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eta文章\数据\"/>
    </mc:Choice>
  </mc:AlternateContent>
  <xr:revisionPtr revIDLastSave="0" documentId="13_ncr:1_{C32AEAAF-93B7-4EC4-A8A4-A5817C599B24}" xr6:coauthVersionLast="47" xr6:coauthVersionMax="47" xr10:uidLastSave="{00000000-0000-0000-0000-000000000000}"/>
  <bookViews>
    <workbookView xWindow="28680" yWindow="-120" windowWidth="29040" windowHeight="15840" tabRatio="689" activeTab="1" xr2:uid="{00000000-000D-0000-FFFF-FFFF00000000}"/>
  </bookViews>
  <sheets>
    <sheet name="Dataset_s1" sheetId="9" r:id="rId1"/>
    <sheet name="relationship_effectsize" sheetId="8" r:id="rId2"/>
    <sheet name="Data_note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M1035" i="9" l="1"/>
  <c r="HW1035" i="9" s="1"/>
  <c r="HL1035" i="9"/>
  <c r="HK1035" i="9"/>
  <c r="HJ1035" i="9"/>
  <c r="HG1035" i="9"/>
  <c r="HN1035" i="9" s="1"/>
  <c r="GF1035" i="9"/>
  <c r="GE1035" i="9"/>
  <c r="GD1035" i="9"/>
  <c r="GC1035" i="9"/>
  <c r="GG1035" i="9" s="1"/>
  <c r="FZ1035" i="9"/>
  <c r="FU1035" i="9"/>
  <c r="FT1035" i="9"/>
  <c r="FS1035" i="9"/>
  <c r="FR1035" i="9"/>
  <c r="FO1035" i="9"/>
  <c r="FL1035" i="9"/>
  <c r="FK1035" i="9"/>
  <c r="FH1035" i="9"/>
  <c r="FG1035" i="9"/>
  <c r="FF1035" i="9"/>
  <c r="FE1035" i="9"/>
  <c r="FI1035" i="9" s="1"/>
  <c r="FB1035" i="9"/>
  <c r="CY1035" i="9"/>
  <c r="DA1035" i="9" s="1"/>
  <c r="AD1035" i="9"/>
  <c r="AB1035" i="9"/>
  <c r="HM1034" i="9"/>
  <c r="HW1034" i="9" s="1"/>
  <c r="HL1034" i="9"/>
  <c r="HK1034" i="9"/>
  <c r="HJ1034" i="9"/>
  <c r="HG1034" i="9"/>
  <c r="GF1034" i="9"/>
  <c r="GE1034" i="9"/>
  <c r="GD1034" i="9"/>
  <c r="GC1034" i="9"/>
  <c r="GG1034" i="9" s="1"/>
  <c r="FZ1034" i="9"/>
  <c r="FU1034" i="9"/>
  <c r="FT1034" i="9"/>
  <c r="FS1034" i="9"/>
  <c r="FR1034" i="9"/>
  <c r="FO1034" i="9"/>
  <c r="FL1034" i="9"/>
  <c r="FK1034" i="9"/>
  <c r="FH1034" i="9"/>
  <c r="FG1034" i="9"/>
  <c r="FF1034" i="9"/>
  <c r="FE1034" i="9"/>
  <c r="FB1034" i="9"/>
  <c r="CY1034" i="9"/>
  <c r="AD1034" i="9"/>
  <c r="AB1034" i="9"/>
  <c r="HM1033" i="9"/>
  <c r="HW1033" i="9" s="1"/>
  <c r="HL1033" i="9"/>
  <c r="HK1033" i="9"/>
  <c r="HJ1033" i="9"/>
  <c r="HG1033" i="9"/>
  <c r="GF1033" i="9"/>
  <c r="GE1033" i="9"/>
  <c r="GD1033" i="9"/>
  <c r="GC1033" i="9"/>
  <c r="GG1033" i="9" s="1"/>
  <c r="FZ1033" i="9"/>
  <c r="FU1033" i="9"/>
  <c r="FT1033" i="9"/>
  <c r="FS1033" i="9"/>
  <c r="FR1033" i="9"/>
  <c r="FV1033" i="9" s="1"/>
  <c r="FO1033" i="9"/>
  <c r="FL1033" i="9"/>
  <c r="FK1033" i="9"/>
  <c r="FH1033" i="9"/>
  <c r="FG1033" i="9"/>
  <c r="FF1033" i="9"/>
  <c r="FE1033" i="9"/>
  <c r="FB1033" i="9"/>
  <c r="CY1033" i="9"/>
  <c r="HY1033" i="9" s="1"/>
  <c r="AD1033" i="9"/>
  <c r="AB1033" i="9"/>
  <c r="HM1032" i="9"/>
  <c r="HW1032" i="9" s="1"/>
  <c r="HL1032" i="9"/>
  <c r="HK1032" i="9"/>
  <c r="HJ1032" i="9"/>
  <c r="HN1032" i="9" s="1"/>
  <c r="HG1032" i="9"/>
  <c r="GF1032" i="9"/>
  <c r="GE1032" i="9"/>
  <c r="GD1032" i="9"/>
  <c r="GC1032" i="9"/>
  <c r="FZ1032" i="9"/>
  <c r="FU1032" i="9"/>
  <c r="FT1032" i="9"/>
  <c r="FS1032" i="9"/>
  <c r="FR1032" i="9"/>
  <c r="FV1032" i="9" s="1"/>
  <c r="FO1032" i="9"/>
  <c r="FL1032" i="9"/>
  <c r="FK1032" i="9"/>
  <c r="FH1032" i="9"/>
  <c r="FG1032" i="9"/>
  <c r="FF1032" i="9"/>
  <c r="FE1032" i="9"/>
  <c r="FB1032" i="9"/>
  <c r="CY1032" i="9"/>
  <c r="CZ1032" i="9" s="1"/>
  <c r="HZ1032" i="9" s="1"/>
  <c r="AD1032" i="9"/>
  <c r="AB1032" i="9"/>
  <c r="HM1031" i="9"/>
  <c r="HW1031" i="9" s="1"/>
  <c r="HL1031" i="9"/>
  <c r="HK1031" i="9"/>
  <c r="HJ1031" i="9"/>
  <c r="HG1031" i="9"/>
  <c r="GF1031" i="9"/>
  <c r="GE1031" i="9"/>
  <c r="GD1031" i="9"/>
  <c r="GC1031" i="9"/>
  <c r="FZ1031" i="9"/>
  <c r="FU1031" i="9"/>
  <c r="FT1031" i="9"/>
  <c r="FS1031" i="9"/>
  <c r="FR1031" i="9"/>
  <c r="FO1031" i="9"/>
  <c r="FL1031" i="9"/>
  <c r="FK1031" i="9"/>
  <c r="FH1031" i="9"/>
  <c r="FG1031" i="9"/>
  <c r="FF1031" i="9"/>
  <c r="FE1031" i="9"/>
  <c r="FB1031" i="9"/>
  <c r="CY1031" i="9"/>
  <c r="DA1031" i="9" s="1"/>
  <c r="IA1031" i="9" s="1"/>
  <c r="AD1031" i="9"/>
  <c r="AB1031" i="9"/>
  <c r="HM1030" i="9"/>
  <c r="HW1030" i="9" s="1"/>
  <c r="HL1030" i="9"/>
  <c r="HK1030" i="9"/>
  <c r="HJ1030" i="9"/>
  <c r="HN1030" i="9" s="1"/>
  <c r="HG1030" i="9"/>
  <c r="GF1030" i="9"/>
  <c r="GE1030" i="9"/>
  <c r="GD1030" i="9"/>
  <c r="GC1030" i="9"/>
  <c r="FZ1030" i="9"/>
  <c r="FU1030" i="9"/>
  <c r="FT1030" i="9"/>
  <c r="FS1030" i="9"/>
  <c r="FR1030" i="9"/>
  <c r="FV1030" i="9" s="1"/>
  <c r="FO1030" i="9"/>
  <c r="FL1030" i="9"/>
  <c r="FK1030" i="9"/>
  <c r="FH1030" i="9"/>
  <c r="FG1030" i="9"/>
  <c r="FF1030" i="9"/>
  <c r="FE1030" i="9"/>
  <c r="FB1030" i="9"/>
  <c r="CY1030" i="9"/>
  <c r="DA1030" i="9" s="1"/>
  <c r="AD1030" i="9"/>
  <c r="AB1030" i="9"/>
  <c r="HM1029" i="9"/>
  <c r="HW1029" i="9" s="1"/>
  <c r="HL1029" i="9"/>
  <c r="HK1029" i="9"/>
  <c r="HJ1029" i="9"/>
  <c r="HG1029" i="9"/>
  <c r="GF1029" i="9"/>
  <c r="GE1029" i="9"/>
  <c r="GD1029" i="9"/>
  <c r="GC1029" i="9"/>
  <c r="FZ1029" i="9"/>
  <c r="FU1029" i="9"/>
  <c r="FT1029" i="9"/>
  <c r="FS1029" i="9"/>
  <c r="FR1029" i="9"/>
  <c r="FO1029" i="9"/>
  <c r="FL1029" i="9"/>
  <c r="FK1029" i="9"/>
  <c r="FH1029" i="9"/>
  <c r="FG1029" i="9"/>
  <c r="FF1029" i="9"/>
  <c r="FE1029" i="9"/>
  <c r="FB1029" i="9"/>
  <c r="CY1029" i="9"/>
  <c r="AD1029" i="9"/>
  <c r="AB1029" i="9"/>
  <c r="HM1028" i="9"/>
  <c r="HW1028" i="9" s="1"/>
  <c r="HL1028" i="9"/>
  <c r="HK1028" i="9"/>
  <c r="HJ1028" i="9"/>
  <c r="HG1028" i="9"/>
  <c r="GF1028" i="9"/>
  <c r="GE1028" i="9"/>
  <c r="GD1028" i="9"/>
  <c r="GC1028" i="9"/>
  <c r="FZ1028" i="9"/>
  <c r="FU1028" i="9"/>
  <c r="FT1028" i="9"/>
  <c r="FS1028" i="9"/>
  <c r="FR1028" i="9"/>
  <c r="FO1028" i="9"/>
  <c r="FL1028" i="9"/>
  <c r="FK1028" i="9"/>
  <c r="FH1028" i="9"/>
  <c r="FG1028" i="9"/>
  <c r="FF1028" i="9"/>
  <c r="FE1028" i="9"/>
  <c r="FB1028" i="9"/>
  <c r="CZ1028" i="9"/>
  <c r="HZ1028" i="9" s="1"/>
  <c r="CY1028" i="9"/>
  <c r="HY1028" i="9" s="1"/>
  <c r="AD1028" i="9"/>
  <c r="AB1028" i="9"/>
  <c r="HM1027" i="9"/>
  <c r="HW1027" i="9" s="1"/>
  <c r="HL1027" i="9"/>
  <c r="HK1027" i="9"/>
  <c r="HJ1027" i="9"/>
  <c r="HG1027" i="9"/>
  <c r="GF1027" i="9"/>
  <c r="GE1027" i="9"/>
  <c r="GD1027" i="9"/>
  <c r="GC1027" i="9"/>
  <c r="FZ1027" i="9"/>
  <c r="FU1027" i="9"/>
  <c r="FT1027" i="9"/>
  <c r="FS1027" i="9"/>
  <c r="FR1027" i="9"/>
  <c r="FO1027" i="9"/>
  <c r="FL1027" i="9"/>
  <c r="FK1027" i="9"/>
  <c r="FH1027" i="9"/>
  <c r="FG1027" i="9"/>
  <c r="FF1027" i="9"/>
  <c r="FE1027" i="9"/>
  <c r="FB1027" i="9"/>
  <c r="CY1027" i="9"/>
  <c r="DA1027" i="9" s="1"/>
  <c r="AD1027" i="9"/>
  <c r="AB1027" i="9"/>
  <c r="HM1026" i="9"/>
  <c r="HW1026" i="9" s="1"/>
  <c r="HL1026" i="9"/>
  <c r="HK1026" i="9"/>
  <c r="HJ1026" i="9"/>
  <c r="HG1026" i="9"/>
  <c r="GF1026" i="9"/>
  <c r="GE1026" i="9"/>
  <c r="GD1026" i="9"/>
  <c r="GC1026" i="9"/>
  <c r="FZ1026" i="9"/>
  <c r="FU1026" i="9"/>
  <c r="FT1026" i="9"/>
  <c r="FS1026" i="9"/>
  <c r="FR1026" i="9"/>
  <c r="FV1026" i="9" s="1"/>
  <c r="FO1026" i="9"/>
  <c r="FL1026" i="9"/>
  <c r="FK1026" i="9"/>
  <c r="FH1026" i="9"/>
  <c r="FG1026" i="9"/>
  <c r="FF1026" i="9"/>
  <c r="FE1026" i="9"/>
  <c r="FB1026" i="9"/>
  <c r="FA1026" i="9"/>
  <c r="CY1026" i="9"/>
  <c r="HY1026" i="9" s="1"/>
  <c r="AD1026" i="9"/>
  <c r="AB1026" i="9"/>
  <c r="HM1025" i="9"/>
  <c r="HW1025" i="9" s="1"/>
  <c r="HL1025" i="9"/>
  <c r="HK1025" i="9"/>
  <c r="HJ1025" i="9"/>
  <c r="HG1025" i="9"/>
  <c r="GF1025" i="9"/>
  <c r="GE1025" i="9"/>
  <c r="GD1025" i="9"/>
  <c r="GC1025" i="9"/>
  <c r="GG1025" i="9" s="1"/>
  <c r="FZ1025" i="9"/>
  <c r="FU1025" i="9"/>
  <c r="FT1025" i="9"/>
  <c r="FS1025" i="9"/>
  <c r="FR1025" i="9"/>
  <c r="FO1025" i="9"/>
  <c r="FL1025" i="9"/>
  <c r="FK1025" i="9"/>
  <c r="FH1025" i="9"/>
  <c r="FG1025" i="9"/>
  <c r="FF1025" i="9"/>
  <c r="FE1025" i="9"/>
  <c r="FI1025" i="9" s="1"/>
  <c r="FB1025" i="9"/>
  <c r="CY1025" i="9"/>
  <c r="HY1025" i="9" s="1"/>
  <c r="AD1025" i="9"/>
  <c r="AB1025" i="9"/>
  <c r="HM1024" i="9"/>
  <c r="HW1024" i="9" s="1"/>
  <c r="HL1024" i="9"/>
  <c r="HK1024" i="9"/>
  <c r="HJ1024" i="9"/>
  <c r="HN1024" i="9" s="1"/>
  <c r="HG1024" i="9"/>
  <c r="GF1024" i="9"/>
  <c r="GE1024" i="9"/>
  <c r="GD1024" i="9"/>
  <c r="GC1024" i="9"/>
  <c r="GG1024" i="9" s="1"/>
  <c r="FZ1024" i="9"/>
  <c r="FU1024" i="9"/>
  <c r="FT1024" i="9"/>
  <c r="FS1024" i="9"/>
  <c r="FR1024" i="9"/>
  <c r="FO1024" i="9"/>
  <c r="FL1024" i="9"/>
  <c r="FK1024" i="9"/>
  <c r="FH1024" i="9"/>
  <c r="FG1024" i="9"/>
  <c r="FF1024" i="9"/>
  <c r="FE1024" i="9"/>
  <c r="FA1024" i="9"/>
  <c r="FB1024" i="9" s="1"/>
  <c r="CY1024" i="9"/>
  <c r="DA1024" i="9" s="1"/>
  <c r="AD1024" i="9"/>
  <c r="AB1024" i="9"/>
  <c r="HM1023" i="9"/>
  <c r="HW1023" i="9" s="1"/>
  <c r="HL1023" i="9"/>
  <c r="HK1023" i="9"/>
  <c r="HJ1023" i="9"/>
  <c r="HG1023" i="9"/>
  <c r="GF1023" i="9"/>
  <c r="GE1023" i="9"/>
  <c r="GD1023" i="9"/>
  <c r="GC1023" i="9"/>
  <c r="FZ1023" i="9"/>
  <c r="FU1023" i="9"/>
  <c r="FT1023" i="9"/>
  <c r="FS1023" i="9"/>
  <c r="FR1023" i="9"/>
  <c r="FO1023" i="9"/>
  <c r="FL1023" i="9"/>
  <c r="FK1023" i="9"/>
  <c r="FH1023" i="9"/>
  <c r="FG1023" i="9"/>
  <c r="FF1023" i="9"/>
  <c r="FE1023" i="9"/>
  <c r="FB1023" i="9"/>
  <c r="CY1023" i="9"/>
  <c r="HY1023" i="9" s="1"/>
  <c r="AD1023" i="9"/>
  <c r="AB1023" i="9"/>
  <c r="HW1022" i="9"/>
  <c r="HM1022" i="9"/>
  <c r="HL1022" i="9"/>
  <c r="HK1022" i="9"/>
  <c r="HJ1022" i="9"/>
  <c r="HG1022" i="9"/>
  <c r="GF1022" i="9"/>
  <c r="GE1022" i="9"/>
  <c r="GD1022" i="9"/>
  <c r="GC1022" i="9"/>
  <c r="FZ1022" i="9"/>
  <c r="FU1022" i="9"/>
  <c r="FT1022" i="9"/>
  <c r="FS1022" i="9"/>
  <c r="FR1022" i="9"/>
  <c r="FO1022" i="9"/>
  <c r="FL1022" i="9"/>
  <c r="FK1022" i="9"/>
  <c r="FH1022" i="9"/>
  <c r="FG1022" i="9"/>
  <c r="FF1022" i="9"/>
  <c r="FE1022" i="9"/>
  <c r="FA1022" i="9"/>
  <c r="FB1022" i="9" s="1"/>
  <c r="CY1022" i="9"/>
  <c r="DA1022" i="9" s="1"/>
  <c r="AD1022" i="9"/>
  <c r="AB1022" i="9"/>
  <c r="HM1021" i="9"/>
  <c r="HW1021" i="9" s="1"/>
  <c r="HL1021" i="9"/>
  <c r="HK1021" i="9"/>
  <c r="HJ1021" i="9"/>
  <c r="HN1021" i="9" s="1"/>
  <c r="HI1021" i="9"/>
  <c r="HF1021" i="9"/>
  <c r="HG1021" i="9" s="1"/>
  <c r="GF1021" i="9"/>
  <c r="GE1021" i="9"/>
  <c r="GD1021" i="9"/>
  <c r="GC1021" i="9"/>
  <c r="FZ1021" i="9"/>
  <c r="FU1021" i="9"/>
  <c r="FT1021" i="9"/>
  <c r="FS1021" i="9"/>
  <c r="FR1021" i="9"/>
  <c r="FV1021" i="9" s="1"/>
  <c r="FO1021" i="9"/>
  <c r="FL1021" i="9"/>
  <c r="FK1021" i="9"/>
  <c r="FH1021" i="9"/>
  <c r="FG1021" i="9"/>
  <c r="FF1021" i="9"/>
  <c r="FD1021" i="9"/>
  <c r="FE1021" i="9" s="1"/>
  <c r="FB1021" i="9"/>
  <c r="FA1021" i="9"/>
  <c r="CY1021" i="9"/>
  <c r="AK1021" i="9"/>
  <c r="AD1021" i="9"/>
  <c r="AB1021" i="9"/>
  <c r="HM1020" i="9"/>
  <c r="HW1020" i="9" s="1"/>
  <c r="HL1020" i="9"/>
  <c r="HK1020" i="9"/>
  <c r="HI1020" i="9"/>
  <c r="HJ1020" i="9" s="1"/>
  <c r="HF1020" i="9"/>
  <c r="HG1020" i="9" s="1"/>
  <c r="GF1020" i="9"/>
  <c r="GE1020" i="9"/>
  <c r="GD1020" i="9"/>
  <c r="GC1020" i="9"/>
  <c r="FZ1020" i="9"/>
  <c r="FU1020" i="9"/>
  <c r="FT1020" i="9"/>
  <c r="FS1020" i="9"/>
  <c r="FR1020" i="9"/>
  <c r="FO1020" i="9"/>
  <c r="FL1020" i="9"/>
  <c r="FK1020" i="9"/>
  <c r="FH1020" i="9"/>
  <c r="FG1020" i="9"/>
  <c r="FF1020" i="9"/>
  <c r="FE1020" i="9"/>
  <c r="FI1020" i="9" s="1"/>
  <c r="FD1020" i="9"/>
  <c r="FA1020" i="9"/>
  <c r="FB1020" i="9" s="1"/>
  <c r="CY1020" i="9"/>
  <c r="HY1020" i="9" s="1"/>
  <c r="AK1020" i="9"/>
  <c r="AD1020" i="9"/>
  <c r="AB1020" i="9"/>
  <c r="HY1019" i="9"/>
  <c r="HM1019" i="9"/>
  <c r="HW1019" i="9" s="1"/>
  <c r="HL1019" i="9"/>
  <c r="HK1019" i="9"/>
  <c r="HI1019" i="9"/>
  <c r="HJ1019" i="9" s="1"/>
  <c r="HF1019" i="9"/>
  <c r="HG1019" i="9" s="1"/>
  <c r="GF1019" i="9"/>
  <c r="GE1019" i="9"/>
  <c r="GD1019" i="9"/>
  <c r="GC1019" i="9"/>
  <c r="FZ1019" i="9"/>
  <c r="FU1019" i="9"/>
  <c r="FT1019" i="9"/>
  <c r="FS1019" i="9"/>
  <c r="FR1019" i="9"/>
  <c r="FO1019" i="9"/>
  <c r="FL1019" i="9"/>
  <c r="FK1019" i="9"/>
  <c r="FH1019" i="9"/>
  <c r="FG1019" i="9"/>
  <c r="FF1019" i="9"/>
  <c r="FD1019" i="9"/>
  <c r="FE1019" i="9" s="1"/>
  <c r="FA1019" i="9"/>
  <c r="FB1019" i="9" s="1"/>
  <c r="CZ1019" i="9"/>
  <c r="HZ1019" i="9" s="1"/>
  <c r="CY1019" i="9"/>
  <c r="DA1019" i="9" s="1"/>
  <c r="AK1019" i="9"/>
  <c r="AD1019" i="9"/>
  <c r="AB1019" i="9"/>
  <c r="HM1018" i="9"/>
  <c r="HW1018" i="9" s="1"/>
  <c r="HL1018" i="9"/>
  <c r="HK1018" i="9"/>
  <c r="HI1018" i="9"/>
  <c r="HJ1018" i="9" s="1"/>
  <c r="HF1018" i="9"/>
  <c r="HG1018" i="9" s="1"/>
  <c r="GF1018" i="9"/>
  <c r="GE1018" i="9"/>
  <c r="GD1018" i="9"/>
  <c r="GC1018" i="9"/>
  <c r="GG1018" i="9" s="1"/>
  <c r="FZ1018" i="9"/>
  <c r="FU1018" i="9"/>
  <c r="FT1018" i="9"/>
  <c r="FS1018" i="9"/>
  <c r="FR1018" i="9"/>
  <c r="FV1018" i="9" s="1"/>
  <c r="FO1018" i="9"/>
  <c r="FL1018" i="9"/>
  <c r="FK1018" i="9"/>
  <c r="FH1018" i="9"/>
  <c r="FG1018" i="9"/>
  <c r="FF1018" i="9"/>
  <c r="FD1018" i="9"/>
  <c r="FE1018" i="9" s="1"/>
  <c r="FA1018" i="9"/>
  <c r="FB1018" i="9" s="1"/>
  <c r="CY1018" i="9"/>
  <c r="HY1018" i="9" s="1"/>
  <c r="AK1018" i="9"/>
  <c r="AD1018" i="9"/>
  <c r="AB1018" i="9"/>
  <c r="HM1017" i="9"/>
  <c r="HW1017" i="9" s="1"/>
  <c r="HL1017" i="9"/>
  <c r="HK1017" i="9"/>
  <c r="HI1017" i="9"/>
  <c r="HJ1017" i="9" s="1"/>
  <c r="HF1017" i="9"/>
  <c r="HG1017" i="9" s="1"/>
  <c r="GF1017" i="9"/>
  <c r="GE1017" i="9"/>
  <c r="GD1017" i="9"/>
  <c r="GC1017" i="9"/>
  <c r="FZ1017" i="9"/>
  <c r="FU1017" i="9"/>
  <c r="FT1017" i="9"/>
  <c r="FS1017" i="9"/>
  <c r="FR1017" i="9"/>
  <c r="FO1017" i="9"/>
  <c r="FL1017" i="9"/>
  <c r="FK1017" i="9"/>
  <c r="FH1017" i="9"/>
  <c r="FG1017" i="9"/>
  <c r="FF1017" i="9"/>
  <c r="FD1017" i="9"/>
  <c r="FE1017" i="9" s="1"/>
  <c r="FA1017" i="9"/>
  <c r="FB1017" i="9" s="1"/>
  <c r="CY1017" i="9"/>
  <c r="AK1017" i="9"/>
  <c r="AD1017" i="9"/>
  <c r="AB1017" i="9"/>
  <c r="HM1016" i="9"/>
  <c r="HW1016" i="9" s="1"/>
  <c r="HL1016" i="9"/>
  <c r="HK1016" i="9"/>
  <c r="HI1016" i="9"/>
  <c r="HJ1016" i="9" s="1"/>
  <c r="HF1016" i="9"/>
  <c r="HG1016" i="9" s="1"/>
  <c r="GF1016" i="9"/>
  <c r="GE1016" i="9"/>
  <c r="GD1016" i="9"/>
  <c r="GC1016" i="9"/>
  <c r="FZ1016" i="9"/>
  <c r="FU1016" i="9"/>
  <c r="FT1016" i="9"/>
  <c r="FS1016" i="9"/>
  <c r="FR1016" i="9"/>
  <c r="FV1016" i="9" s="1"/>
  <c r="FO1016" i="9"/>
  <c r="FL1016" i="9"/>
  <c r="FK1016" i="9"/>
  <c r="FH1016" i="9"/>
  <c r="FG1016" i="9"/>
  <c r="FF1016" i="9"/>
  <c r="FD1016" i="9"/>
  <c r="FE1016" i="9" s="1"/>
  <c r="FA1016" i="9"/>
  <c r="FB1016" i="9" s="1"/>
  <c r="DA1016" i="9"/>
  <c r="CY1016" i="9"/>
  <c r="HY1016" i="9" s="1"/>
  <c r="AK1016" i="9"/>
  <c r="AD1016" i="9"/>
  <c r="AB1016" i="9"/>
  <c r="HM1015" i="9"/>
  <c r="HW1015" i="9" s="1"/>
  <c r="HL1015" i="9"/>
  <c r="HK1015" i="9"/>
  <c r="HI1015" i="9"/>
  <c r="HJ1015" i="9" s="1"/>
  <c r="HF1015" i="9"/>
  <c r="HG1015" i="9" s="1"/>
  <c r="GF1015" i="9"/>
  <c r="GE1015" i="9"/>
  <c r="GD1015" i="9"/>
  <c r="GC1015" i="9"/>
  <c r="FZ1015" i="9"/>
  <c r="FU1015" i="9"/>
  <c r="FT1015" i="9"/>
  <c r="FS1015" i="9"/>
  <c r="FR1015" i="9"/>
  <c r="FO1015" i="9"/>
  <c r="FL1015" i="9"/>
  <c r="FK1015" i="9"/>
  <c r="FH1015" i="9"/>
  <c r="FG1015" i="9"/>
  <c r="FF1015" i="9"/>
  <c r="FD1015" i="9"/>
  <c r="FE1015" i="9" s="1"/>
  <c r="FA1015" i="9"/>
  <c r="FB1015" i="9" s="1"/>
  <c r="CY1015" i="9"/>
  <c r="DA1015" i="9" s="1"/>
  <c r="AK1015" i="9"/>
  <c r="AD1015" i="9"/>
  <c r="AB1015" i="9"/>
  <c r="HW1014" i="9"/>
  <c r="HM1014" i="9"/>
  <c r="HL1014" i="9"/>
  <c r="HK1014" i="9"/>
  <c r="HI1014" i="9"/>
  <c r="HJ1014" i="9" s="1"/>
  <c r="HF1014" i="9"/>
  <c r="HG1014" i="9" s="1"/>
  <c r="GF1014" i="9"/>
  <c r="GE1014" i="9"/>
  <c r="GD1014" i="9"/>
  <c r="GC1014" i="9"/>
  <c r="FZ1014" i="9"/>
  <c r="FU1014" i="9"/>
  <c r="FT1014" i="9"/>
  <c r="FS1014" i="9"/>
  <c r="FR1014" i="9"/>
  <c r="FV1014" i="9" s="1"/>
  <c r="FO1014" i="9"/>
  <c r="FL1014" i="9"/>
  <c r="FK1014" i="9"/>
  <c r="FH1014" i="9"/>
  <c r="FG1014" i="9"/>
  <c r="FF1014" i="9"/>
  <c r="FD1014" i="9"/>
  <c r="FE1014" i="9" s="1"/>
  <c r="FA1014" i="9"/>
  <c r="FB1014" i="9" s="1"/>
  <c r="DA1014" i="9"/>
  <c r="HX1014" i="9" s="1"/>
  <c r="CZ1014" i="9"/>
  <c r="HZ1014" i="9" s="1"/>
  <c r="CY1014" i="9"/>
  <c r="HY1014" i="9" s="1"/>
  <c r="AK1014" i="9"/>
  <c r="AD1014" i="9"/>
  <c r="AB1014" i="9"/>
  <c r="HM1013" i="9"/>
  <c r="HW1013" i="9" s="1"/>
  <c r="HL1013" i="9"/>
  <c r="HK1013" i="9"/>
  <c r="HJ1013" i="9"/>
  <c r="HI1013" i="9"/>
  <c r="HF1013" i="9"/>
  <c r="HG1013" i="9" s="1"/>
  <c r="GF1013" i="9"/>
  <c r="GE1013" i="9"/>
  <c r="GD1013" i="9"/>
  <c r="GC1013" i="9"/>
  <c r="FZ1013" i="9"/>
  <c r="FU1013" i="9"/>
  <c r="FT1013" i="9"/>
  <c r="FS1013" i="9"/>
  <c r="FR1013" i="9"/>
  <c r="FV1013" i="9" s="1"/>
  <c r="FO1013" i="9"/>
  <c r="FL1013" i="9"/>
  <c r="FK1013" i="9"/>
  <c r="FH1013" i="9"/>
  <c r="FG1013" i="9"/>
  <c r="FF1013" i="9"/>
  <c r="FD1013" i="9"/>
  <c r="FE1013" i="9" s="1"/>
  <c r="FA1013" i="9"/>
  <c r="FB1013" i="9" s="1"/>
  <c r="CY1013" i="9"/>
  <c r="AK1013" i="9"/>
  <c r="AD1013" i="9"/>
  <c r="AB1013" i="9"/>
  <c r="HM1012" i="9"/>
  <c r="HW1012" i="9" s="1"/>
  <c r="HL1012" i="9"/>
  <c r="HK1012" i="9"/>
  <c r="HI1012" i="9"/>
  <c r="HJ1012" i="9" s="1"/>
  <c r="HF1012" i="9"/>
  <c r="HG1012" i="9" s="1"/>
  <c r="GF1012" i="9"/>
  <c r="GE1012" i="9"/>
  <c r="GD1012" i="9"/>
  <c r="GC1012" i="9"/>
  <c r="FZ1012" i="9"/>
  <c r="FU1012" i="9"/>
  <c r="FT1012" i="9"/>
  <c r="FS1012" i="9"/>
  <c r="FR1012" i="9"/>
  <c r="FV1012" i="9" s="1"/>
  <c r="FO1012" i="9"/>
  <c r="FL1012" i="9"/>
  <c r="FK1012" i="9"/>
  <c r="FH1012" i="9"/>
  <c r="FG1012" i="9"/>
  <c r="FF1012" i="9"/>
  <c r="FD1012" i="9"/>
  <c r="FE1012" i="9" s="1"/>
  <c r="FA1012" i="9"/>
  <c r="FB1012" i="9" s="1"/>
  <c r="DA1012" i="9"/>
  <c r="CY1012" i="9"/>
  <c r="AK1012" i="9"/>
  <c r="AD1012" i="9"/>
  <c r="AB1012" i="9"/>
  <c r="HM1011" i="9"/>
  <c r="HW1011" i="9" s="1"/>
  <c r="HL1011" i="9"/>
  <c r="HK1011" i="9"/>
  <c r="HI1011" i="9"/>
  <c r="HJ1011" i="9" s="1"/>
  <c r="HF1011" i="9"/>
  <c r="HG1011" i="9" s="1"/>
  <c r="GF1011" i="9"/>
  <c r="GE1011" i="9"/>
  <c r="GD1011" i="9"/>
  <c r="GC1011" i="9"/>
  <c r="FZ1011" i="9"/>
  <c r="FU1011" i="9"/>
  <c r="FT1011" i="9"/>
  <c r="FS1011" i="9"/>
  <c r="FR1011" i="9"/>
  <c r="FO1011" i="9"/>
  <c r="FL1011" i="9"/>
  <c r="FK1011" i="9"/>
  <c r="FH1011" i="9"/>
  <c r="FG1011" i="9"/>
  <c r="FF1011" i="9"/>
  <c r="FD1011" i="9"/>
  <c r="FE1011" i="9" s="1"/>
  <c r="FA1011" i="9"/>
  <c r="FB1011" i="9" s="1"/>
  <c r="FI1011" i="9" s="1"/>
  <c r="CY1011" i="9"/>
  <c r="AK1011" i="9"/>
  <c r="AD1011" i="9"/>
  <c r="AB1011" i="9"/>
  <c r="HW1010" i="9"/>
  <c r="HM1010" i="9"/>
  <c r="HL1010" i="9"/>
  <c r="HK1010" i="9"/>
  <c r="HI1010" i="9"/>
  <c r="HJ1010" i="9" s="1"/>
  <c r="HF1010" i="9"/>
  <c r="HG1010" i="9" s="1"/>
  <c r="GF1010" i="9"/>
  <c r="GE1010" i="9"/>
  <c r="GD1010" i="9"/>
  <c r="GC1010" i="9"/>
  <c r="FZ1010" i="9"/>
  <c r="FU1010" i="9"/>
  <c r="FT1010" i="9"/>
  <c r="FS1010" i="9"/>
  <c r="FR1010" i="9"/>
  <c r="FO1010" i="9"/>
  <c r="FL1010" i="9"/>
  <c r="FK1010" i="9"/>
  <c r="FH1010" i="9"/>
  <c r="FG1010" i="9"/>
  <c r="FF1010" i="9"/>
  <c r="FD1010" i="9"/>
  <c r="FE1010" i="9" s="1"/>
  <c r="FA1010" i="9"/>
  <c r="FB1010" i="9" s="1"/>
  <c r="CY1010" i="9"/>
  <c r="AK1010" i="9"/>
  <c r="AD1010" i="9"/>
  <c r="AB1010" i="9"/>
  <c r="HM1009" i="9"/>
  <c r="HW1009" i="9" s="1"/>
  <c r="HL1009" i="9"/>
  <c r="HK1009" i="9"/>
  <c r="HI1009" i="9"/>
  <c r="HJ1009" i="9" s="1"/>
  <c r="HF1009" i="9"/>
  <c r="HG1009" i="9" s="1"/>
  <c r="BT1009" i="9"/>
  <c r="BY1009" i="9" s="1"/>
  <c r="AX1009" i="9"/>
  <c r="AZ1009" i="9" s="1"/>
  <c r="BB1009" i="9" s="1"/>
  <c r="AB1009" i="9"/>
  <c r="HM1008" i="9"/>
  <c r="HW1008" i="9" s="1"/>
  <c r="HL1008" i="9"/>
  <c r="HK1008" i="9"/>
  <c r="HI1008" i="9"/>
  <c r="HJ1008" i="9" s="1"/>
  <c r="HF1008" i="9"/>
  <c r="HG1008" i="9" s="1"/>
  <c r="AX1008" i="9"/>
  <c r="AZ1008" i="9" s="1"/>
  <c r="BA1008" i="9" s="1"/>
  <c r="HZ1008" i="9" s="1"/>
  <c r="AB1008" i="9"/>
  <c r="HM1007" i="9"/>
  <c r="HW1007" i="9" s="1"/>
  <c r="HL1007" i="9"/>
  <c r="HK1007" i="9"/>
  <c r="HI1007" i="9"/>
  <c r="HJ1007" i="9" s="1"/>
  <c r="HN1007" i="9" s="1"/>
  <c r="HF1007" i="9"/>
  <c r="HG1007" i="9" s="1"/>
  <c r="BT1007" i="9"/>
  <c r="BY1007" i="9" s="1"/>
  <c r="AB1007" i="9"/>
  <c r="HM1006" i="9"/>
  <c r="HW1006" i="9" s="1"/>
  <c r="HL1006" i="9"/>
  <c r="HK1006" i="9"/>
  <c r="HJ1006" i="9"/>
  <c r="HG1006" i="9"/>
  <c r="HB1006" i="9"/>
  <c r="HA1006" i="9"/>
  <c r="GZ1006" i="9"/>
  <c r="GX1006" i="9"/>
  <c r="GY1006" i="9" s="1"/>
  <c r="GU1006" i="9"/>
  <c r="GV1006" i="9" s="1"/>
  <c r="GQ1006" i="9"/>
  <c r="GP1006" i="9"/>
  <c r="GO1006" i="9"/>
  <c r="GN1006" i="9"/>
  <c r="GK1006" i="9"/>
  <c r="GF1006" i="9"/>
  <c r="GE1006" i="9"/>
  <c r="GD1006" i="9"/>
  <c r="GC1006" i="9"/>
  <c r="FZ1006" i="9"/>
  <c r="FU1006" i="9"/>
  <c r="FT1006" i="9"/>
  <c r="FS1006" i="9"/>
  <c r="FR1006" i="9"/>
  <c r="FO1006" i="9"/>
  <c r="FL1006" i="9"/>
  <c r="FK1006" i="9"/>
  <c r="DS1006" i="9"/>
  <c r="DU1006" i="9" s="1"/>
  <c r="HX1006" i="9" s="1"/>
  <c r="AD1006" i="9"/>
  <c r="AB1006" i="9"/>
  <c r="HM1005" i="9"/>
  <c r="HW1005" i="9" s="1"/>
  <c r="HL1005" i="9"/>
  <c r="HK1005" i="9"/>
  <c r="HJ1005" i="9"/>
  <c r="HG1005" i="9"/>
  <c r="HB1005" i="9"/>
  <c r="HA1005" i="9"/>
  <c r="GZ1005" i="9"/>
  <c r="GX1005" i="9"/>
  <c r="GY1005" i="9" s="1"/>
  <c r="GU1005" i="9"/>
  <c r="GV1005" i="9" s="1"/>
  <c r="GQ1005" i="9"/>
  <c r="GP1005" i="9"/>
  <c r="GO1005" i="9"/>
  <c r="GN1005" i="9"/>
  <c r="GK1005" i="9"/>
  <c r="GF1005" i="9"/>
  <c r="GE1005" i="9"/>
  <c r="GD1005" i="9"/>
  <c r="GC1005" i="9"/>
  <c r="FZ1005" i="9"/>
  <c r="FU1005" i="9"/>
  <c r="FT1005" i="9"/>
  <c r="FS1005" i="9"/>
  <c r="FR1005" i="9"/>
  <c r="FO1005" i="9"/>
  <c r="FL1005" i="9"/>
  <c r="FK1005" i="9"/>
  <c r="CF1005" i="9"/>
  <c r="CY1005" i="9" s="1"/>
  <c r="HY1005" i="9" s="1"/>
  <c r="AD1005" i="9"/>
  <c r="AB1005" i="9"/>
  <c r="HM1004" i="9"/>
  <c r="HW1004" i="9" s="1"/>
  <c r="HL1004" i="9"/>
  <c r="HK1004" i="9"/>
  <c r="HJ1004" i="9"/>
  <c r="HG1004" i="9"/>
  <c r="HB1004" i="9"/>
  <c r="HA1004" i="9"/>
  <c r="GZ1004" i="9"/>
  <c r="GX1004" i="9"/>
  <c r="GY1004" i="9" s="1"/>
  <c r="GU1004" i="9"/>
  <c r="GV1004" i="9" s="1"/>
  <c r="GQ1004" i="9"/>
  <c r="GP1004" i="9"/>
  <c r="GO1004" i="9"/>
  <c r="GN1004" i="9"/>
  <c r="GK1004" i="9"/>
  <c r="GF1004" i="9"/>
  <c r="GE1004" i="9"/>
  <c r="GD1004" i="9"/>
  <c r="GC1004" i="9"/>
  <c r="GG1004" i="9" s="1"/>
  <c r="FZ1004" i="9"/>
  <c r="FU1004" i="9"/>
  <c r="FT1004" i="9"/>
  <c r="FS1004" i="9"/>
  <c r="FR1004" i="9"/>
  <c r="FV1004" i="9" s="1"/>
  <c r="FO1004" i="9"/>
  <c r="FL1004" i="9"/>
  <c r="FK1004" i="9"/>
  <c r="CF1004" i="9"/>
  <c r="CY1004" i="9" s="1"/>
  <c r="AD1004" i="9"/>
  <c r="AB1004" i="9"/>
  <c r="HM1003" i="9"/>
  <c r="HW1003" i="9" s="1"/>
  <c r="HL1003" i="9"/>
  <c r="HK1003" i="9"/>
  <c r="HJ1003" i="9"/>
  <c r="HG1003" i="9"/>
  <c r="HB1003" i="9"/>
  <c r="HA1003" i="9"/>
  <c r="GZ1003" i="9"/>
  <c r="GX1003" i="9"/>
  <c r="GY1003" i="9" s="1"/>
  <c r="GU1003" i="9"/>
  <c r="GV1003" i="9" s="1"/>
  <c r="GQ1003" i="9"/>
  <c r="GP1003" i="9"/>
  <c r="GO1003" i="9"/>
  <c r="GN1003" i="9"/>
  <c r="GK1003" i="9"/>
  <c r="GF1003" i="9"/>
  <c r="GE1003" i="9"/>
  <c r="GD1003" i="9"/>
  <c r="GC1003" i="9"/>
  <c r="FZ1003" i="9"/>
  <c r="FU1003" i="9"/>
  <c r="FT1003" i="9"/>
  <c r="FS1003" i="9"/>
  <c r="FR1003" i="9"/>
  <c r="FO1003" i="9"/>
  <c r="FL1003" i="9"/>
  <c r="FK1003" i="9"/>
  <c r="DT1003" i="9"/>
  <c r="HZ1003" i="9" s="1"/>
  <c r="DS1003" i="9"/>
  <c r="DU1003" i="9" s="1"/>
  <c r="HX1003" i="9" s="1"/>
  <c r="AD1003" i="9"/>
  <c r="AB1003" i="9"/>
  <c r="HM1002" i="9"/>
  <c r="HW1002" i="9" s="1"/>
  <c r="HL1002" i="9"/>
  <c r="HK1002" i="9"/>
  <c r="HJ1002" i="9"/>
  <c r="HG1002" i="9"/>
  <c r="HB1002" i="9"/>
  <c r="HA1002" i="9"/>
  <c r="GZ1002" i="9"/>
  <c r="GX1002" i="9"/>
  <c r="GY1002" i="9" s="1"/>
  <c r="GU1002" i="9"/>
  <c r="GV1002" i="9" s="1"/>
  <c r="GQ1002" i="9"/>
  <c r="GP1002" i="9"/>
  <c r="GO1002" i="9"/>
  <c r="GN1002" i="9"/>
  <c r="GK1002" i="9"/>
  <c r="GF1002" i="9"/>
  <c r="GE1002" i="9"/>
  <c r="GD1002" i="9"/>
  <c r="GC1002" i="9"/>
  <c r="FZ1002" i="9"/>
  <c r="FU1002" i="9"/>
  <c r="FT1002" i="9"/>
  <c r="FS1002" i="9"/>
  <c r="FR1002" i="9"/>
  <c r="FO1002" i="9"/>
  <c r="FL1002" i="9"/>
  <c r="FK1002" i="9"/>
  <c r="CF1002" i="9"/>
  <c r="CY1002" i="9" s="1"/>
  <c r="AD1002" i="9"/>
  <c r="AB1002" i="9"/>
  <c r="HM1001" i="9"/>
  <c r="HW1001" i="9" s="1"/>
  <c r="HL1001" i="9"/>
  <c r="HK1001" i="9"/>
  <c r="HJ1001" i="9"/>
  <c r="HG1001" i="9"/>
  <c r="HB1001" i="9"/>
  <c r="HA1001" i="9"/>
  <c r="GZ1001" i="9"/>
  <c r="GX1001" i="9"/>
  <c r="GY1001" i="9" s="1"/>
  <c r="GU1001" i="9"/>
  <c r="GV1001" i="9" s="1"/>
  <c r="GQ1001" i="9"/>
  <c r="GP1001" i="9"/>
  <c r="GO1001" i="9"/>
  <c r="GN1001" i="9"/>
  <c r="GK1001" i="9"/>
  <c r="GF1001" i="9"/>
  <c r="GE1001" i="9"/>
  <c r="GD1001" i="9"/>
  <c r="GC1001" i="9"/>
  <c r="FZ1001" i="9"/>
  <c r="FU1001" i="9"/>
  <c r="FT1001" i="9"/>
  <c r="FS1001" i="9"/>
  <c r="FR1001" i="9"/>
  <c r="FO1001" i="9"/>
  <c r="FV1001" i="9" s="1"/>
  <c r="FL1001" i="9"/>
  <c r="FK1001" i="9"/>
  <c r="CF1001" i="9"/>
  <c r="CY1001" i="9" s="1"/>
  <c r="DA1001" i="9" s="1"/>
  <c r="AD1001" i="9"/>
  <c r="AB1001" i="9"/>
  <c r="HM1000" i="9"/>
  <c r="HW1000" i="9" s="1"/>
  <c r="HL1000" i="9"/>
  <c r="HK1000" i="9"/>
  <c r="HJ1000" i="9"/>
  <c r="HG1000" i="9"/>
  <c r="FU1000" i="9"/>
  <c r="FT1000" i="9"/>
  <c r="FS1000" i="9"/>
  <c r="FR1000" i="9"/>
  <c r="FO1000" i="9"/>
  <c r="FL1000" i="9"/>
  <c r="FK1000" i="9"/>
  <c r="CF1000" i="9"/>
  <c r="CY1000" i="9" s="1"/>
  <c r="BT1000" i="9"/>
  <c r="BY1000" i="9" s="1"/>
  <c r="CA1000" i="9" s="1"/>
  <c r="AD1000" i="9"/>
  <c r="AB1000" i="9"/>
  <c r="HM999" i="9"/>
  <c r="HW999" i="9" s="1"/>
  <c r="HL999" i="9"/>
  <c r="HK999" i="9"/>
  <c r="HJ999" i="9"/>
  <c r="HG999" i="9"/>
  <c r="FU999" i="9"/>
  <c r="FT999" i="9"/>
  <c r="FS999" i="9"/>
  <c r="FR999" i="9"/>
  <c r="FO999" i="9"/>
  <c r="FL999" i="9"/>
  <c r="FK999" i="9"/>
  <c r="CF999" i="9"/>
  <c r="CY999" i="9" s="1"/>
  <c r="BT999" i="9"/>
  <c r="AD999" i="9"/>
  <c r="AB999" i="9"/>
  <c r="HM998" i="9"/>
  <c r="HW998" i="9" s="1"/>
  <c r="HL998" i="9"/>
  <c r="HK998" i="9"/>
  <c r="HJ998" i="9"/>
  <c r="HN998" i="9" s="1"/>
  <c r="HG998" i="9"/>
  <c r="FU998" i="9"/>
  <c r="FT998" i="9"/>
  <c r="FS998" i="9"/>
  <c r="FR998" i="9"/>
  <c r="FO998" i="9"/>
  <c r="FL998" i="9"/>
  <c r="FK998" i="9"/>
  <c r="CF998" i="9"/>
  <c r="CY998" i="9" s="1"/>
  <c r="DA998" i="9" s="1"/>
  <c r="HX998" i="9" s="1"/>
  <c r="AD998" i="9"/>
  <c r="AB998" i="9"/>
  <c r="HM997" i="9"/>
  <c r="HW997" i="9" s="1"/>
  <c r="HL997" i="9"/>
  <c r="HK997" i="9"/>
  <c r="HJ997" i="9"/>
  <c r="HG997" i="9"/>
  <c r="FU997" i="9"/>
  <c r="FT997" i="9"/>
  <c r="FS997" i="9"/>
  <c r="FR997" i="9"/>
  <c r="FO997" i="9"/>
  <c r="FL997" i="9"/>
  <c r="FK997" i="9"/>
  <c r="CF997" i="9"/>
  <c r="CY997" i="9" s="1"/>
  <c r="DA997" i="9" s="1"/>
  <c r="BT997" i="9"/>
  <c r="AD997" i="9"/>
  <c r="AB997" i="9"/>
  <c r="HM996" i="9"/>
  <c r="HW996" i="9" s="1"/>
  <c r="HL996" i="9"/>
  <c r="HK996" i="9"/>
  <c r="HJ996" i="9"/>
  <c r="HG996" i="9"/>
  <c r="FU996" i="9"/>
  <c r="FT996" i="9"/>
  <c r="FS996" i="9"/>
  <c r="FR996" i="9"/>
  <c r="FO996" i="9"/>
  <c r="FL996" i="9"/>
  <c r="FK996" i="9"/>
  <c r="CF996" i="9"/>
  <c r="CY996" i="9" s="1"/>
  <c r="CZ996" i="9" s="1"/>
  <c r="BT996" i="9"/>
  <c r="AD996" i="9"/>
  <c r="AB996" i="9"/>
  <c r="HM995" i="9"/>
  <c r="HW995" i="9" s="1"/>
  <c r="HL995" i="9"/>
  <c r="HK995" i="9"/>
  <c r="HJ995" i="9"/>
  <c r="HG995" i="9"/>
  <c r="FU995" i="9"/>
  <c r="FT995" i="9"/>
  <c r="FS995" i="9"/>
  <c r="FR995" i="9"/>
  <c r="FO995" i="9"/>
  <c r="FL995" i="9"/>
  <c r="FK995" i="9"/>
  <c r="CF995" i="9"/>
  <c r="CY995" i="9" s="1"/>
  <c r="AD995" i="9"/>
  <c r="AB995" i="9"/>
  <c r="HM994" i="9"/>
  <c r="HW994" i="9" s="1"/>
  <c r="HL994" i="9"/>
  <c r="HK994" i="9"/>
  <c r="HJ994" i="9"/>
  <c r="HN994" i="9" s="1"/>
  <c r="HG994" i="9"/>
  <c r="FU994" i="9"/>
  <c r="FT994" i="9"/>
  <c r="FS994" i="9"/>
  <c r="FR994" i="9"/>
  <c r="FO994" i="9"/>
  <c r="FV994" i="9" s="1"/>
  <c r="FL994" i="9"/>
  <c r="FK994" i="9"/>
  <c r="BT994" i="9"/>
  <c r="BY994" i="9" s="1"/>
  <c r="AD994" i="9"/>
  <c r="AB994" i="9"/>
  <c r="HM993" i="9"/>
  <c r="HW993" i="9" s="1"/>
  <c r="HL993" i="9"/>
  <c r="HK993" i="9"/>
  <c r="HJ993" i="9"/>
  <c r="HN993" i="9" s="1"/>
  <c r="HG993" i="9"/>
  <c r="FU993" i="9"/>
  <c r="FT993" i="9"/>
  <c r="FS993" i="9"/>
  <c r="FR993" i="9"/>
  <c r="FO993" i="9"/>
  <c r="FL993" i="9"/>
  <c r="FK993" i="9"/>
  <c r="BT993" i="9"/>
  <c r="BY993" i="9" s="1"/>
  <c r="CA993" i="9" s="1"/>
  <c r="HX993" i="9" s="1"/>
  <c r="AD993" i="9"/>
  <c r="AB993" i="9"/>
  <c r="HN992" i="9"/>
  <c r="HM992" i="9"/>
  <c r="HW992" i="9" s="1"/>
  <c r="HL992" i="9"/>
  <c r="HK992" i="9"/>
  <c r="BT992" i="9"/>
  <c r="BY992" i="9" s="1"/>
  <c r="HY992" i="9" s="1"/>
  <c r="AB992" i="9"/>
  <c r="HN991" i="9"/>
  <c r="HM991" i="9"/>
  <c r="HW991" i="9" s="1"/>
  <c r="HL991" i="9"/>
  <c r="HK991" i="9"/>
  <c r="BT991" i="9"/>
  <c r="BY991" i="9" s="1"/>
  <c r="AB991" i="9"/>
  <c r="HN990" i="9"/>
  <c r="HM990" i="9"/>
  <c r="HW990" i="9" s="1"/>
  <c r="HL990" i="9"/>
  <c r="HK990" i="9"/>
  <c r="BT990" i="9"/>
  <c r="BY990" i="9" s="1"/>
  <c r="AB990" i="9"/>
  <c r="HN989" i="9"/>
  <c r="HM989" i="9"/>
  <c r="HW989" i="9" s="1"/>
  <c r="HL989" i="9"/>
  <c r="HK989" i="9"/>
  <c r="BT989" i="9"/>
  <c r="BY989" i="9" s="1"/>
  <c r="AB989" i="9"/>
  <c r="HN988" i="9"/>
  <c r="HM988" i="9"/>
  <c r="HW988" i="9" s="1"/>
  <c r="HL988" i="9"/>
  <c r="HK988" i="9"/>
  <c r="BT988" i="9"/>
  <c r="BY988" i="9" s="1"/>
  <c r="AB988" i="9"/>
  <c r="HN987" i="9"/>
  <c r="HM987" i="9"/>
  <c r="HW987" i="9" s="1"/>
  <c r="HL987" i="9"/>
  <c r="HK987" i="9"/>
  <c r="BT987" i="9"/>
  <c r="BY987" i="9" s="1"/>
  <c r="AB987" i="9"/>
  <c r="HN986" i="9"/>
  <c r="HM986" i="9"/>
  <c r="HW986" i="9" s="1"/>
  <c r="HL986" i="9"/>
  <c r="HK986" i="9"/>
  <c r="BT986" i="9"/>
  <c r="BY986" i="9" s="1"/>
  <c r="AB986" i="9"/>
  <c r="HN985" i="9"/>
  <c r="HM985" i="9"/>
  <c r="HW985" i="9" s="1"/>
  <c r="HL985" i="9"/>
  <c r="HK985" i="9"/>
  <c r="BT985" i="9"/>
  <c r="BY985" i="9" s="1"/>
  <c r="BZ985" i="9" s="1"/>
  <c r="HZ985" i="9" s="1"/>
  <c r="AB985" i="9"/>
  <c r="HM984" i="9"/>
  <c r="HW984" i="9" s="1"/>
  <c r="HL984" i="9"/>
  <c r="HK984" i="9"/>
  <c r="HJ984" i="9"/>
  <c r="HG984" i="9"/>
  <c r="GC984" i="9"/>
  <c r="GG984" i="9" s="1"/>
  <c r="GA984" i="9"/>
  <c r="FZ984" i="9"/>
  <c r="FX984" i="9"/>
  <c r="FU984" i="9"/>
  <c r="FT984" i="9"/>
  <c r="FS984" i="9"/>
  <c r="FR984" i="9"/>
  <c r="FO984" i="9"/>
  <c r="FL984" i="9"/>
  <c r="FK984" i="9"/>
  <c r="EW984" i="9"/>
  <c r="HY984" i="9" s="1"/>
  <c r="CY984" i="9"/>
  <c r="BY984" i="9"/>
  <c r="BZ984" i="9" s="1"/>
  <c r="AD984" i="9"/>
  <c r="AB984" i="9"/>
  <c r="HM983" i="9"/>
  <c r="HW983" i="9" s="1"/>
  <c r="HL983" i="9"/>
  <c r="HK983" i="9"/>
  <c r="HJ983" i="9"/>
  <c r="HG983" i="9"/>
  <c r="GC983" i="9"/>
  <c r="GA983" i="9"/>
  <c r="FZ983" i="9"/>
  <c r="FX983" i="9"/>
  <c r="FU983" i="9"/>
  <c r="FT983" i="9"/>
  <c r="FS983" i="9"/>
  <c r="FR983" i="9"/>
  <c r="FV983" i="9" s="1"/>
  <c r="FO983" i="9"/>
  <c r="FL983" i="9"/>
  <c r="FK983" i="9"/>
  <c r="BY983" i="9"/>
  <c r="BZ983" i="9" s="1"/>
  <c r="HZ983" i="9" s="1"/>
  <c r="AD983" i="9"/>
  <c r="AB983" i="9"/>
  <c r="HM982" i="9"/>
  <c r="HW982" i="9" s="1"/>
  <c r="HL982" i="9"/>
  <c r="HK982" i="9"/>
  <c r="HJ982" i="9"/>
  <c r="HN982" i="9" s="1"/>
  <c r="HG982" i="9"/>
  <c r="GC982" i="9"/>
  <c r="GA982" i="9"/>
  <c r="FZ982" i="9"/>
  <c r="FX982" i="9"/>
  <c r="FU982" i="9"/>
  <c r="FT982" i="9"/>
  <c r="FS982" i="9"/>
  <c r="FR982" i="9"/>
  <c r="FO982" i="9"/>
  <c r="FL982" i="9"/>
  <c r="FK982" i="9"/>
  <c r="CY982" i="9"/>
  <c r="HY982" i="9" s="1"/>
  <c r="AD982" i="9"/>
  <c r="AB982" i="9"/>
  <c r="HM981" i="9"/>
  <c r="HW981" i="9" s="1"/>
  <c r="HL981" i="9"/>
  <c r="HK981" i="9"/>
  <c r="HJ981" i="9"/>
  <c r="HG981" i="9"/>
  <c r="GE981" i="9"/>
  <c r="GC981" i="9"/>
  <c r="GA981" i="9"/>
  <c r="FZ981" i="9"/>
  <c r="FX981" i="9"/>
  <c r="FU981" i="9"/>
  <c r="FT981" i="9"/>
  <c r="FS981" i="9"/>
  <c r="FR981" i="9"/>
  <c r="FV981" i="9" s="1"/>
  <c r="FO981" i="9"/>
  <c r="FL981" i="9"/>
  <c r="FK981" i="9"/>
  <c r="CY981" i="9"/>
  <c r="DA981" i="9" s="1"/>
  <c r="HX981" i="9" s="1"/>
  <c r="AD981" i="9"/>
  <c r="AB981" i="9"/>
  <c r="HM980" i="9"/>
  <c r="HW980" i="9" s="1"/>
  <c r="HL980" i="9"/>
  <c r="HK980" i="9"/>
  <c r="HJ980" i="9"/>
  <c r="HN980" i="9" s="1"/>
  <c r="HG980" i="9"/>
  <c r="GC980" i="9"/>
  <c r="GA980" i="9"/>
  <c r="GD980" i="9" s="1"/>
  <c r="FZ980" i="9"/>
  <c r="FX980" i="9"/>
  <c r="FU980" i="9"/>
  <c r="FT980" i="9"/>
  <c r="FS980" i="9"/>
  <c r="FR980" i="9"/>
  <c r="FO980" i="9"/>
  <c r="FL980" i="9"/>
  <c r="FK980" i="9"/>
  <c r="CY980" i="9"/>
  <c r="HY980" i="9" s="1"/>
  <c r="AD980" i="9"/>
  <c r="AB980" i="9"/>
  <c r="HM979" i="9"/>
  <c r="HW979" i="9" s="1"/>
  <c r="HL979" i="9"/>
  <c r="HK979" i="9"/>
  <c r="HI979" i="9"/>
  <c r="HJ979" i="9" s="1"/>
  <c r="HN979" i="9" s="1"/>
  <c r="HF979" i="9"/>
  <c r="HG979" i="9" s="1"/>
  <c r="GQ979" i="9"/>
  <c r="GP979" i="9"/>
  <c r="GO979" i="9"/>
  <c r="GM979" i="9"/>
  <c r="GN979" i="9" s="1"/>
  <c r="GJ979" i="9"/>
  <c r="GK979" i="9" s="1"/>
  <c r="FU979" i="9"/>
  <c r="FT979" i="9"/>
  <c r="FS979" i="9"/>
  <c r="FQ979" i="9"/>
  <c r="FR979" i="9" s="1"/>
  <c r="FN979" i="9"/>
  <c r="FO979" i="9" s="1"/>
  <c r="FL979" i="9"/>
  <c r="FK979" i="9"/>
  <c r="FH979" i="9"/>
  <c r="FG979" i="9"/>
  <c r="FF979" i="9"/>
  <c r="FE979" i="9"/>
  <c r="FB979" i="9"/>
  <c r="CY979" i="9"/>
  <c r="CZ979" i="9" s="1"/>
  <c r="HZ979" i="9" s="1"/>
  <c r="AD979" i="9"/>
  <c r="AB979" i="9"/>
  <c r="HM978" i="9"/>
  <c r="HW978" i="9" s="1"/>
  <c r="HL978" i="9"/>
  <c r="HK978" i="9"/>
  <c r="HI978" i="9"/>
  <c r="HJ978" i="9" s="1"/>
  <c r="HF978" i="9"/>
  <c r="HG978" i="9" s="1"/>
  <c r="GQ978" i="9"/>
  <c r="GP978" i="9"/>
  <c r="GO978" i="9"/>
  <c r="GM978" i="9"/>
  <c r="GN978" i="9" s="1"/>
  <c r="GJ978" i="9"/>
  <c r="GK978" i="9" s="1"/>
  <c r="FU978" i="9"/>
  <c r="FT978" i="9"/>
  <c r="FS978" i="9"/>
  <c r="FQ978" i="9"/>
  <c r="FR978" i="9" s="1"/>
  <c r="FN978" i="9"/>
  <c r="FO978" i="9" s="1"/>
  <c r="FL978" i="9"/>
  <c r="FK978" i="9"/>
  <c r="FH978" i="9"/>
  <c r="FG978" i="9"/>
  <c r="FF978" i="9"/>
  <c r="FE978" i="9"/>
  <c r="FB978" i="9"/>
  <c r="CY978" i="9"/>
  <c r="AD978" i="9"/>
  <c r="AB978" i="9"/>
  <c r="HM977" i="9"/>
  <c r="HW977" i="9" s="1"/>
  <c r="HL977" i="9"/>
  <c r="HK977" i="9"/>
  <c r="HI977" i="9"/>
  <c r="HJ977" i="9" s="1"/>
  <c r="HG977" i="9"/>
  <c r="HF977" i="9"/>
  <c r="GQ977" i="9"/>
  <c r="GP977" i="9"/>
  <c r="GO977" i="9"/>
  <c r="GM977" i="9"/>
  <c r="GN977" i="9" s="1"/>
  <c r="GJ977" i="9"/>
  <c r="GK977" i="9" s="1"/>
  <c r="FU977" i="9"/>
  <c r="FT977" i="9"/>
  <c r="FS977" i="9"/>
  <c r="FR977" i="9"/>
  <c r="FQ977" i="9"/>
  <c r="FN977" i="9"/>
  <c r="FO977" i="9" s="1"/>
  <c r="FL977" i="9"/>
  <c r="FK977" i="9"/>
  <c r="FH977" i="9"/>
  <c r="FG977" i="9"/>
  <c r="FF977" i="9"/>
  <c r="FE977" i="9"/>
  <c r="FI977" i="9" s="1"/>
  <c r="FB977" i="9"/>
  <c r="CY977" i="9"/>
  <c r="AD977" i="9"/>
  <c r="AB977" i="9"/>
  <c r="HM976" i="9"/>
  <c r="HW976" i="9" s="1"/>
  <c r="HL976" i="9"/>
  <c r="HK976" i="9"/>
  <c r="HI976" i="9"/>
  <c r="HJ976" i="9" s="1"/>
  <c r="HF976" i="9"/>
  <c r="HG976" i="9" s="1"/>
  <c r="GQ976" i="9"/>
  <c r="GP976" i="9"/>
  <c r="GO976" i="9"/>
  <c r="GM976" i="9"/>
  <c r="GN976" i="9" s="1"/>
  <c r="GJ976" i="9"/>
  <c r="GK976" i="9" s="1"/>
  <c r="FU976" i="9"/>
  <c r="FT976" i="9"/>
  <c r="FS976" i="9"/>
  <c r="FQ976" i="9"/>
  <c r="FR976" i="9" s="1"/>
  <c r="FN976" i="9"/>
  <c r="FO976" i="9" s="1"/>
  <c r="FL976" i="9"/>
  <c r="FK976" i="9"/>
  <c r="FH976" i="9"/>
  <c r="FG976" i="9"/>
  <c r="FF976" i="9"/>
  <c r="FE976" i="9"/>
  <c r="FB976" i="9"/>
  <c r="CZ976" i="9"/>
  <c r="HZ976" i="9" s="1"/>
  <c r="CY976" i="9"/>
  <c r="DA976" i="9" s="1"/>
  <c r="AD976" i="9"/>
  <c r="AB976" i="9"/>
  <c r="HM975" i="9"/>
  <c r="HW975" i="9" s="1"/>
  <c r="HL975" i="9"/>
  <c r="HK975" i="9"/>
  <c r="HJ975" i="9"/>
  <c r="HI975" i="9"/>
  <c r="HG975" i="9"/>
  <c r="HF975" i="9"/>
  <c r="GQ975" i="9"/>
  <c r="GP975" i="9"/>
  <c r="GO975" i="9"/>
  <c r="GM975" i="9"/>
  <c r="GN975" i="9" s="1"/>
  <c r="GJ975" i="9"/>
  <c r="GK975" i="9" s="1"/>
  <c r="FU975" i="9"/>
  <c r="FT975" i="9"/>
  <c r="FS975" i="9"/>
  <c r="FR975" i="9"/>
  <c r="FQ975" i="9"/>
  <c r="FN975" i="9"/>
  <c r="FO975" i="9" s="1"/>
  <c r="FL975" i="9"/>
  <c r="FK975" i="9"/>
  <c r="FH975" i="9"/>
  <c r="FG975" i="9"/>
  <c r="FF975" i="9"/>
  <c r="FE975" i="9"/>
  <c r="FB975" i="9"/>
  <c r="CY975" i="9"/>
  <c r="DA975" i="9" s="1"/>
  <c r="AD975" i="9"/>
  <c r="AB975" i="9"/>
  <c r="HM974" i="9"/>
  <c r="HW974" i="9" s="1"/>
  <c r="HL974" i="9"/>
  <c r="HK974" i="9"/>
  <c r="HI974" i="9"/>
  <c r="HJ974" i="9" s="1"/>
  <c r="HN974" i="9" s="1"/>
  <c r="HF974" i="9"/>
  <c r="HG974" i="9" s="1"/>
  <c r="GQ974" i="9"/>
  <c r="GP974" i="9"/>
  <c r="GO974" i="9"/>
  <c r="GM974" i="9"/>
  <c r="GN974" i="9" s="1"/>
  <c r="GJ974" i="9"/>
  <c r="GK974" i="9" s="1"/>
  <c r="FU974" i="9"/>
  <c r="FT974" i="9"/>
  <c r="FS974" i="9"/>
  <c r="FQ974" i="9"/>
  <c r="FR974" i="9" s="1"/>
  <c r="FN974" i="9"/>
  <c r="FO974" i="9" s="1"/>
  <c r="FL974" i="9"/>
  <c r="FK974" i="9"/>
  <c r="FH974" i="9"/>
  <c r="FG974" i="9"/>
  <c r="FF974" i="9"/>
  <c r="FE974" i="9"/>
  <c r="FB974" i="9"/>
  <c r="CY974" i="9"/>
  <c r="HY974" i="9" s="1"/>
  <c r="AD974" i="9"/>
  <c r="AB974" i="9"/>
  <c r="HM973" i="9"/>
  <c r="HW973" i="9" s="1"/>
  <c r="HL973" i="9"/>
  <c r="HK973" i="9"/>
  <c r="HJ973" i="9"/>
  <c r="HN973" i="9" s="1"/>
  <c r="HG973" i="9"/>
  <c r="HB973" i="9"/>
  <c r="HA973" i="9"/>
  <c r="GZ973" i="9"/>
  <c r="GX973" i="9"/>
  <c r="GY973" i="9" s="1"/>
  <c r="GU973" i="9"/>
  <c r="GV973" i="9" s="1"/>
  <c r="GQ973" i="9"/>
  <c r="GP973" i="9"/>
  <c r="GO973" i="9"/>
  <c r="GM973" i="9"/>
  <c r="GN973" i="9" s="1"/>
  <c r="GJ973" i="9"/>
  <c r="GK973" i="9" s="1"/>
  <c r="GF973" i="9"/>
  <c r="GE973" i="9"/>
  <c r="GD973" i="9"/>
  <c r="GC973" i="9"/>
  <c r="GB973" i="9"/>
  <c r="FZ973" i="9"/>
  <c r="FY973" i="9"/>
  <c r="FU973" i="9"/>
  <c r="FT973" i="9"/>
  <c r="FS973" i="9"/>
  <c r="FQ973" i="9"/>
  <c r="FR973" i="9" s="1"/>
  <c r="FN973" i="9"/>
  <c r="FO973" i="9" s="1"/>
  <c r="FL973" i="9"/>
  <c r="FK973" i="9"/>
  <c r="CF973" i="9"/>
  <c r="CY973" i="9" s="1"/>
  <c r="AB973" i="9"/>
  <c r="HM972" i="9"/>
  <c r="HW972" i="9" s="1"/>
  <c r="HL972" i="9"/>
  <c r="HK972" i="9"/>
  <c r="HJ972" i="9"/>
  <c r="HG972" i="9"/>
  <c r="HB972" i="9"/>
  <c r="HA972" i="9"/>
  <c r="GZ972" i="9"/>
  <c r="GX972" i="9"/>
  <c r="GY972" i="9" s="1"/>
  <c r="GU972" i="9"/>
  <c r="GV972" i="9" s="1"/>
  <c r="GQ972" i="9"/>
  <c r="GP972" i="9"/>
  <c r="GO972" i="9"/>
  <c r="GM972" i="9"/>
  <c r="GN972" i="9" s="1"/>
  <c r="GJ972" i="9"/>
  <c r="GK972" i="9" s="1"/>
  <c r="GF972" i="9"/>
  <c r="GE972" i="9"/>
  <c r="GD972" i="9"/>
  <c r="GB972" i="9"/>
  <c r="GC972" i="9" s="1"/>
  <c r="FY972" i="9"/>
  <c r="FZ972" i="9" s="1"/>
  <c r="FU972" i="9"/>
  <c r="FT972" i="9"/>
  <c r="FS972" i="9"/>
  <c r="FQ972" i="9"/>
  <c r="FR972" i="9" s="1"/>
  <c r="FN972" i="9"/>
  <c r="FO972" i="9" s="1"/>
  <c r="FL972" i="9"/>
  <c r="FK972" i="9"/>
  <c r="CF972" i="9"/>
  <c r="CY972" i="9" s="1"/>
  <c r="AB972" i="9"/>
  <c r="HM971" i="9"/>
  <c r="HW971" i="9" s="1"/>
  <c r="HL971" i="9"/>
  <c r="HK971" i="9"/>
  <c r="HJ971" i="9"/>
  <c r="HN971" i="9" s="1"/>
  <c r="HG971" i="9"/>
  <c r="HB971" i="9"/>
  <c r="HA971" i="9"/>
  <c r="GZ971" i="9"/>
  <c r="GX971" i="9"/>
  <c r="GY971" i="9" s="1"/>
  <c r="GU971" i="9"/>
  <c r="GV971" i="9" s="1"/>
  <c r="GQ971" i="9"/>
  <c r="GP971" i="9"/>
  <c r="GO971" i="9"/>
  <c r="GM971" i="9"/>
  <c r="GN971" i="9" s="1"/>
  <c r="GJ971" i="9"/>
  <c r="GK971" i="9" s="1"/>
  <c r="GF971" i="9"/>
  <c r="GE971" i="9"/>
  <c r="GD971" i="9"/>
  <c r="GB971" i="9"/>
  <c r="GC971" i="9" s="1"/>
  <c r="FY971" i="9"/>
  <c r="FZ971" i="9" s="1"/>
  <c r="FU971" i="9"/>
  <c r="FT971" i="9"/>
  <c r="FS971" i="9"/>
  <c r="FQ971" i="9"/>
  <c r="FR971" i="9" s="1"/>
  <c r="FO971" i="9"/>
  <c r="FN971" i="9"/>
  <c r="FL971" i="9"/>
  <c r="FK971" i="9"/>
  <c r="CF971" i="9"/>
  <c r="CY971" i="9" s="1"/>
  <c r="AB971" i="9"/>
  <c r="HM970" i="9"/>
  <c r="HW970" i="9" s="1"/>
  <c r="HL970" i="9"/>
  <c r="HK970" i="9"/>
  <c r="HJ970" i="9"/>
  <c r="HG970" i="9"/>
  <c r="HB970" i="9"/>
  <c r="HA970" i="9"/>
  <c r="GZ970" i="9"/>
  <c r="GX970" i="9"/>
  <c r="GY970" i="9" s="1"/>
  <c r="GU970" i="9"/>
  <c r="GV970" i="9" s="1"/>
  <c r="GQ970" i="9"/>
  <c r="GP970" i="9"/>
  <c r="GO970" i="9"/>
  <c r="GM970" i="9"/>
  <c r="GN970" i="9" s="1"/>
  <c r="GJ970" i="9"/>
  <c r="GK970" i="9" s="1"/>
  <c r="GF970" i="9"/>
  <c r="GE970" i="9"/>
  <c r="GD970" i="9"/>
  <c r="GB970" i="9"/>
  <c r="GC970" i="9" s="1"/>
  <c r="GG970" i="9" s="1"/>
  <c r="FY970" i="9"/>
  <c r="FZ970" i="9" s="1"/>
  <c r="FU970" i="9"/>
  <c r="FT970" i="9"/>
  <c r="FS970" i="9"/>
  <c r="FQ970" i="9"/>
  <c r="FR970" i="9" s="1"/>
  <c r="FN970" i="9"/>
  <c r="FO970" i="9" s="1"/>
  <c r="FL970" i="9"/>
  <c r="FK970" i="9"/>
  <c r="CF970" i="9"/>
  <c r="CY970" i="9" s="1"/>
  <c r="AB970" i="9"/>
  <c r="HM969" i="9"/>
  <c r="HW969" i="9" s="1"/>
  <c r="HL969" i="9"/>
  <c r="HK969" i="9"/>
  <c r="HJ969" i="9"/>
  <c r="HG969" i="9"/>
  <c r="HB969" i="9"/>
  <c r="HA969" i="9"/>
  <c r="GZ969" i="9"/>
  <c r="GX969" i="9"/>
  <c r="GY969" i="9" s="1"/>
  <c r="GU969" i="9"/>
  <c r="GV969" i="9" s="1"/>
  <c r="GQ969" i="9"/>
  <c r="GP969" i="9"/>
  <c r="GO969" i="9"/>
  <c r="GM969" i="9"/>
  <c r="GN969" i="9" s="1"/>
  <c r="GJ969" i="9"/>
  <c r="GK969" i="9" s="1"/>
  <c r="GF969" i="9"/>
  <c r="GE969" i="9"/>
  <c r="GD969" i="9"/>
  <c r="GB969" i="9"/>
  <c r="GC969" i="9" s="1"/>
  <c r="FY969" i="9"/>
  <c r="FZ969" i="9" s="1"/>
  <c r="FU969" i="9"/>
  <c r="FT969" i="9"/>
  <c r="FS969" i="9"/>
  <c r="FR969" i="9"/>
  <c r="FQ969" i="9"/>
  <c r="FN969" i="9"/>
  <c r="FO969" i="9" s="1"/>
  <c r="FL969" i="9"/>
  <c r="FK969" i="9"/>
  <c r="CY969" i="9"/>
  <c r="HY969" i="9" s="1"/>
  <c r="CF969" i="9"/>
  <c r="AB969" i="9"/>
  <c r="HM968" i="9"/>
  <c r="HW968" i="9" s="1"/>
  <c r="HL968" i="9"/>
  <c r="HK968" i="9"/>
  <c r="HJ968" i="9"/>
  <c r="HN968" i="9" s="1"/>
  <c r="HG968" i="9"/>
  <c r="HB968" i="9"/>
  <c r="HA968" i="9"/>
  <c r="GZ968" i="9"/>
  <c r="GX968" i="9"/>
  <c r="GY968" i="9" s="1"/>
  <c r="GU968" i="9"/>
  <c r="GV968" i="9" s="1"/>
  <c r="GQ968" i="9"/>
  <c r="GP968" i="9"/>
  <c r="GO968" i="9"/>
  <c r="GM968" i="9"/>
  <c r="GN968" i="9" s="1"/>
  <c r="GJ968" i="9"/>
  <c r="GK968" i="9" s="1"/>
  <c r="GF968" i="9"/>
  <c r="GE968" i="9"/>
  <c r="GD968" i="9"/>
  <c r="GB968" i="9"/>
  <c r="GC968" i="9" s="1"/>
  <c r="FY968" i="9"/>
  <c r="FZ968" i="9" s="1"/>
  <c r="FU968" i="9"/>
  <c r="FT968" i="9"/>
  <c r="FS968" i="9"/>
  <c r="FQ968" i="9"/>
  <c r="FR968" i="9" s="1"/>
  <c r="FN968" i="9"/>
  <c r="FO968" i="9" s="1"/>
  <c r="FL968" i="9"/>
  <c r="FK968" i="9"/>
  <c r="CZ968" i="9"/>
  <c r="HZ968" i="9" s="1"/>
  <c r="CF968" i="9"/>
  <c r="CY968" i="9" s="1"/>
  <c r="AB968" i="9"/>
  <c r="HM967" i="9"/>
  <c r="HW967" i="9" s="1"/>
  <c r="HL967" i="9"/>
  <c r="HK967" i="9"/>
  <c r="HJ967" i="9"/>
  <c r="HG967" i="9"/>
  <c r="HB967" i="9"/>
  <c r="HA967" i="9"/>
  <c r="GZ967" i="9"/>
  <c r="GX967" i="9"/>
  <c r="GY967" i="9" s="1"/>
  <c r="GU967" i="9"/>
  <c r="GV967" i="9" s="1"/>
  <c r="GQ967" i="9"/>
  <c r="GP967" i="9"/>
  <c r="GO967" i="9"/>
  <c r="GM967" i="9"/>
  <c r="GN967" i="9" s="1"/>
  <c r="GJ967" i="9"/>
  <c r="GK967" i="9" s="1"/>
  <c r="GF967" i="9"/>
  <c r="GE967" i="9"/>
  <c r="GD967" i="9"/>
  <c r="GB967" i="9"/>
  <c r="GC967" i="9" s="1"/>
  <c r="FY967" i="9"/>
  <c r="FZ967" i="9" s="1"/>
  <c r="FU967" i="9"/>
  <c r="FT967" i="9"/>
  <c r="FS967" i="9"/>
  <c r="FQ967" i="9"/>
  <c r="FR967" i="9" s="1"/>
  <c r="FN967" i="9"/>
  <c r="FO967" i="9" s="1"/>
  <c r="FL967" i="9"/>
  <c r="FK967" i="9"/>
  <c r="CF967" i="9"/>
  <c r="CY967" i="9" s="1"/>
  <c r="HY967" i="9" s="1"/>
  <c r="AB967" i="9"/>
  <c r="HM966" i="9"/>
  <c r="HW966" i="9" s="1"/>
  <c r="HL966" i="9"/>
  <c r="HK966" i="9"/>
  <c r="HJ966" i="9"/>
  <c r="HG966" i="9"/>
  <c r="HB966" i="9"/>
  <c r="HA966" i="9"/>
  <c r="GZ966" i="9"/>
  <c r="GX966" i="9"/>
  <c r="GY966" i="9" s="1"/>
  <c r="GU966" i="9"/>
  <c r="GV966" i="9" s="1"/>
  <c r="GQ966" i="9"/>
  <c r="GP966" i="9"/>
  <c r="GO966" i="9"/>
  <c r="GM966" i="9"/>
  <c r="GN966" i="9" s="1"/>
  <c r="GJ966" i="9"/>
  <c r="GK966" i="9" s="1"/>
  <c r="GF966" i="9"/>
  <c r="GE966" i="9"/>
  <c r="GD966" i="9"/>
  <c r="GB966" i="9"/>
  <c r="GC966" i="9" s="1"/>
  <c r="FY966" i="9"/>
  <c r="FZ966" i="9" s="1"/>
  <c r="FU966" i="9"/>
  <c r="FT966" i="9"/>
  <c r="FS966" i="9"/>
  <c r="FQ966" i="9"/>
  <c r="FR966" i="9" s="1"/>
  <c r="FN966" i="9"/>
  <c r="FO966" i="9" s="1"/>
  <c r="FL966" i="9"/>
  <c r="FK966" i="9"/>
  <c r="CF966" i="9"/>
  <c r="CY966" i="9" s="1"/>
  <c r="AB966" i="9"/>
  <c r="HM965" i="9"/>
  <c r="HW965" i="9" s="1"/>
  <c r="HL965" i="9"/>
  <c r="HK965" i="9"/>
  <c r="HJ965" i="9"/>
  <c r="HG965" i="9"/>
  <c r="HB965" i="9"/>
  <c r="HA965" i="9"/>
  <c r="GZ965" i="9"/>
  <c r="GX965" i="9"/>
  <c r="GY965" i="9" s="1"/>
  <c r="GU965" i="9"/>
  <c r="GV965" i="9" s="1"/>
  <c r="GQ965" i="9"/>
  <c r="GP965" i="9"/>
  <c r="GO965" i="9"/>
  <c r="GM965" i="9"/>
  <c r="GN965" i="9" s="1"/>
  <c r="GJ965" i="9"/>
  <c r="GK965" i="9" s="1"/>
  <c r="GF965" i="9"/>
  <c r="GE965" i="9"/>
  <c r="GD965" i="9"/>
  <c r="GB965" i="9"/>
  <c r="GC965" i="9" s="1"/>
  <c r="FY965" i="9"/>
  <c r="FZ965" i="9" s="1"/>
  <c r="FU965" i="9"/>
  <c r="FT965" i="9"/>
  <c r="FS965" i="9"/>
  <c r="FQ965" i="9"/>
  <c r="FR965" i="9" s="1"/>
  <c r="FN965" i="9"/>
  <c r="FO965" i="9" s="1"/>
  <c r="FL965" i="9"/>
  <c r="FK965" i="9"/>
  <c r="CF965" i="9"/>
  <c r="CY965" i="9" s="1"/>
  <c r="AB965" i="9"/>
  <c r="HM964" i="9"/>
  <c r="HW964" i="9" s="1"/>
  <c r="HL964" i="9"/>
  <c r="HK964" i="9"/>
  <c r="HJ964" i="9"/>
  <c r="HG964" i="9"/>
  <c r="HB964" i="9"/>
  <c r="HA964" i="9"/>
  <c r="GZ964" i="9"/>
  <c r="GX964" i="9"/>
  <c r="GY964" i="9" s="1"/>
  <c r="GU964" i="9"/>
  <c r="GV964" i="9" s="1"/>
  <c r="GQ964" i="9"/>
  <c r="GP964" i="9"/>
  <c r="GO964" i="9"/>
  <c r="GM964" i="9"/>
  <c r="GN964" i="9" s="1"/>
  <c r="GJ964" i="9"/>
  <c r="GK964" i="9" s="1"/>
  <c r="GF964" i="9"/>
  <c r="GE964" i="9"/>
  <c r="GD964" i="9"/>
  <c r="GB964" i="9"/>
  <c r="GC964" i="9" s="1"/>
  <c r="GG964" i="9" s="1"/>
  <c r="FY964" i="9"/>
  <c r="FZ964" i="9" s="1"/>
  <c r="FU964" i="9"/>
  <c r="FT964" i="9"/>
  <c r="FS964" i="9"/>
  <c r="FQ964" i="9"/>
  <c r="FR964" i="9" s="1"/>
  <c r="FN964" i="9"/>
  <c r="FO964" i="9" s="1"/>
  <c r="FL964" i="9"/>
  <c r="FK964" i="9"/>
  <c r="CF964" i="9"/>
  <c r="CY964" i="9" s="1"/>
  <c r="AB964" i="9"/>
  <c r="HM963" i="9"/>
  <c r="HW963" i="9" s="1"/>
  <c r="HL963" i="9"/>
  <c r="HK963" i="9"/>
  <c r="HJ963" i="9"/>
  <c r="HN963" i="9" s="1"/>
  <c r="HG963" i="9"/>
  <c r="GF963" i="9"/>
  <c r="GE963" i="9"/>
  <c r="GD963" i="9"/>
  <c r="GB963" i="9"/>
  <c r="GC963" i="9" s="1"/>
  <c r="FY963" i="9"/>
  <c r="FZ963" i="9" s="1"/>
  <c r="CF963" i="9"/>
  <c r="CY963" i="9" s="1"/>
  <c r="DA963" i="9" s="1"/>
  <c r="BT963" i="9"/>
  <c r="BY963" i="9" s="1"/>
  <c r="CA963" i="9" s="1"/>
  <c r="BI963" i="9"/>
  <c r="HM962" i="9"/>
  <c r="HW962" i="9" s="1"/>
  <c r="HL962" i="9"/>
  <c r="HK962" i="9"/>
  <c r="HJ962" i="9"/>
  <c r="HG962" i="9"/>
  <c r="GF962" i="9"/>
  <c r="GE962" i="9"/>
  <c r="GD962" i="9"/>
  <c r="GC962" i="9"/>
  <c r="GB962" i="9"/>
  <c r="FY962" i="9"/>
  <c r="FZ962" i="9" s="1"/>
  <c r="CF962" i="9"/>
  <c r="BT962" i="9"/>
  <c r="BY962" i="9" s="1"/>
  <c r="BI962" i="9"/>
  <c r="HM961" i="9"/>
  <c r="HW961" i="9" s="1"/>
  <c r="HL961" i="9"/>
  <c r="HK961" i="9"/>
  <c r="HJ961" i="9"/>
  <c r="HN961" i="9" s="1"/>
  <c r="HG961" i="9"/>
  <c r="GF961" i="9"/>
  <c r="GE961" i="9"/>
  <c r="GD961" i="9"/>
  <c r="GC961" i="9"/>
  <c r="GB961" i="9"/>
  <c r="FY961" i="9"/>
  <c r="FZ961" i="9" s="1"/>
  <c r="CF961" i="9"/>
  <c r="CY961" i="9" s="1"/>
  <c r="BT961" i="9"/>
  <c r="BY961" i="9" s="1"/>
  <c r="CA961" i="9" s="1"/>
  <c r="BI961" i="9"/>
  <c r="HM960" i="9"/>
  <c r="HW960" i="9" s="1"/>
  <c r="HL960" i="9"/>
  <c r="HK960" i="9"/>
  <c r="HJ960" i="9"/>
  <c r="HG960" i="9"/>
  <c r="GF960" i="9"/>
  <c r="GE960" i="9"/>
  <c r="GD960" i="9"/>
  <c r="GB960" i="9"/>
  <c r="GC960" i="9" s="1"/>
  <c r="GG960" i="9" s="1"/>
  <c r="FY960" i="9"/>
  <c r="FZ960" i="9" s="1"/>
  <c r="CF960" i="9"/>
  <c r="CY960" i="9" s="1"/>
  <c r="DA960" i="9" s="1"/>
  <c r="BT960" i="9"/>
  <c r="BY960" i="9" s="1"/>
  <c r="CA960" i="9" s="1"/>
  <c r="BI960" i="9"/>
  <c r="HM959" i="9"/>
  <c r="HW959" i="9" s="1"/>
  <c r="HL959" i="9"/>
  <c r="HK959" i="9"/>
  <c r="HJ959" i="9"/>
  <c r="HG959" i="9"/>
  <c r="GF959" i="9"/>
  <c r="GE959" i="9"/>
  <c r="GD959" i="9"/>
  <c r="GB959" i="9"/>
  <c r="GC959" i="9" s="1"/>
  <c r="FY959" i="9"/>
  <c r="FZ959" i="9" s="1"/>
  <c r="BT959" i="9"/>
  <c r="BY959" i="9" s="1"/>
  <c r="CA959" i="9" s="1"/>
  <c r="HX959" i="9" s="1"/>
  <c r="BI959" i="9"/>
  <c r="HM958" i="9"/>
  <c r="HW958" i="9" s="1"/>
  <c r="HL958" i="9"/>
  <c r="HK958" i="9"/>
  <c r="HJ958" i="9"/>
  <c r="HG958" i="9"/>
  <c r="GF958" i="9"/>
  <c r="GE958" i="9"/>
  <c r="GD958" i="9"/>
  <c r="GB958" i="9"/>
  <c r="GC958" i="9" s="1"/>
  <c r="FY958" i="9"/>
  <c r="FZ958" i="9" s="1"/>
  <c r="BT958" i="9"/>
  <c r="BY958" i="9" s="1"/>
  <c r="BZ958" i="9" s="1"/>
  <c r="HZ958" i="9" s="1"/>
  <c r="BI958" i="9"/>
  <c r="HM957" i="9"/>
  <c r="HW957" i="9" s="1"/>
  <c r="HL957" i="9"/>
  <c r="HK957" i="9"/>
  <c r="HI957" i="9"/>
  <c r="HJ957" i="9" s="1"/>
  <c r="HF957" i="9"/>
  <c r="HG957" i="9" s="1"/>
  <c r="FU957" i="9"/>
  <c r="FT957" i="9"/>
  <c r="FS957" i="9"/>
  <c r="FQ957" i="9"/>
  <c r="FR957" i="9" s="1"/>
  <c r="FN957" i="9"/>
  <c r="FO957" i="9" s="1"/>
  <c r="FL957" i="9"/>
  <c r="FK957" i="9"/>
  <c r="FH957" i="9"/>
  <c r="FG957" i="9"/>
  <c r="FF957" i="9"/>
  <c r="FE957" i="9"/>
  <c r="FD957" i="9"/>
  <c r="FB957" i="9"/>
  <c r="FA957" i="9"/>
  <c r="ES957" i="9"/>
  <c r="ET957" i="9" s="1"/>
  <c r="AX957" i="9"/>
  <c r="AZ957" i="9" s="1"/>
  <c r="AB957" i="9"/>
  <c r="HM956" i="9"/>
  <c r="HW956" i="9" s="1"/>
  <c r="HL956" i="9"/>
  <c r="HK956" i="9"/>
  <c r="HI956" i="9"/>
  <c r="HJ956" i="9" s="1"/>
  <c r="HF956" i="9"/>
  <c r="HG956" i="9" s="1"/>
  <c r="FU956" i="9"/>
  <c r="FT956" i="9"/>
  <c r="FS956" i="9"/>
  <c r="FQ956" i="9"/>
  <c r="FR956" i="9" s="1"/>
  <c r="FN956" i="9"/>
  <c r="FO956" i="9" s="1"/>
  <c r="FL956" i="9"/>
  <c r="FK956" i="9"/>
  <c r="FH956" i="9"/>
  <c r="FG956" i="9"/>
  <c r="FF956" i="9"/>
  <c r="FD956" i="9"/>
  <c r="FE956" i="9" s="1"/>
  <c r="FA956" i="9"/>
  <c r="FB956" i="9" s="1"/>
  <c r="ES956" i="9"/>
  <c r="AB956" i="9"/>
  <c r="HM955" i="9"/>
  <c r="HW955" i="9" s="1"/>
  <c r="HL955" i="9"/>
  <c r="HK955" i="9"/>
  <c r="HI955" i="9"/>
  <c r="HJ955" i="9" s="1"/>
  <c r="HF955" i="9"/>
  <c r="HG955" i="9" s="1"/>
  <c r="FU955" i="9"/>
  <c r="FT955" i="9"/>
  <c r="FS955" i="9"/>
  <c r="FQ955" i="9"/>
  <c r="FR955" i="9" s="1"/>
  <c r="FN955" i="9"/>
  <c r="FO955" i="9" s="1"/>
  <c r="FL955" i="9"/>
  <c r="FK955" i="9"/>
  <c r="FH955" i="9"/>
  <c r="FG955" i="9"/>
  <c r="FF955" i="9"/>
  <c r="FD955" i="9"/>
  <c r="FE955" i="9" s="1"/>
  <c r="FA955" i="9"/>
  <c r="FB955" i="9" s="1"/>
  <c r="AX955" i="9"/>
  <c r="AZ955" i="9" s="1"/>
  <c r="BA955" i="9" s="1"/>
  <c r="HZ955" i="9" s="1"/>
  <c r="AB955" i="9"/>
  <c r="FU954" i="9"/>
  <c r="FT954" i="9"/>
  <c r="FS954" i="9"/>
  <c r="FR954" i="9"/>
  <c r="FO954" i="9"/>
  <c r="FL954" i="9"/>
  <c r="FK954" i="9"/>
  <c r="AZ954" i="9"/>
  <c r="HY954" i="9" s="1"/>
  <c r="AD954" i="9"/>
  <c r="AB954" i="9"/>
  <c r="HY953" i="9"/>
  <c r="FU953" i="9"/>
  <c r="FT953" i="9"/>
  <c r="FS953" i="9"/>
  <c r="FR953" i="9"/>
  <c r="FO953" i="9"/>
  <c r="FL953" i="9"/>
  <c r="FK953" i="9"/>
  <c r="BB953" i="9"/>
  <c r="IA953" i="9" s="1"/>
  <c r="AZ953" i="9"/>
  <c r="BA953" i="9" s="1"/>
  <c r="HZ953" i="9" s="1"/>
  <c r="AD953" i="9"/>
  <c r="AB953" i="9"/>
  <c r="FU952" i="9"/>
  <c r="FT952" i="9"/>
  <c r="FS952" i="9"/>
  <c r="FR952" i="9"/>
  <c r="FO952" i="9"/>
  <c r="FL952" i="9"/>
  <c r="FK952" i="9"/>
  <c r="AZ952" i="9"/>
  <c r="BB952" i="9" s="1"/>
  <c r="IA952" i="9" s="1"/>
  <c r="AD952" i="9"/>
  <c r="AB952" i="9"/>
  <c r="FU951" i="9"/>
  <c r="FT951" i="9"/>
  <c r="FS951" i="9"/>
  <c r="FR951" i="9"/>
  <c r="FO951" i="9"/>
  <c r="FL951" i="9"/>
  <c r="FK951" i="9"/>
  <c r="AZ951" i="9"/>
  <c r="BB951" i="9" s="1"/>
  <c r="IA951" i="9" s="1"/>
  <c r="AD951" i="9"/>
  <c r="AB951" i="9"/>
  <c r="HB950" i="9"/>
  <c r="HA950" i="9"/>
  <c r="GZ950" i="9"/>
  <c r="GX950" i="9"/>
  <c r="GY950" i="9" s="1"/>
  <c r="HC950" i="9" s="1"/>
  <c r="GU950" i="9"/>
  <c r="GV950" i="9" s="1"/>
  <c r="GQ950" i="9"/>
  <c r="GP950" i="9"/>
  <c r="GO950" i="9"/>
  <c r="GN950" i="9"/>
  <c r="GM950" i="9"/>
  <c r="GJ950" i="9"/>
  <c r="GK950" i="9" s="1"/>
  <c r="GF950" i="9"/>
  <c r="GE950" i="9"/>
  <c r="GD950" i="9"/>
  <c r="GB950" i="9"/>
  <c r="GC950" i="9" s="1"/>
  <c r="FY950" i="9"/>
  <c r="FZ950" i="9" s="1"/>
  <c r="FU950" i="9"/>
  <c r="FT950" i="9"/>
  <c r="FS950" i="9"/>
  <c r="FQ950" i="9"/>
  <c r="FR950" i="9" s="1"/>
  <c r="FV950" i="9" s="1"/>
  <c r="FN950" i="9"/>
  <c r="FO950" i="9" s="1"/>
  <c r="FL950" i="9"/>
  <c r="FK950" i="9"/>
  <c r="AZ950" i="9"/>
  <c r="AB950" i="9"/>
  <c r="HB949" i="9"/>
  <c r="HA949" i="9"/>
  <c r="GZ949" i="9"/>
  <c r="GX949" i="9"/>
  <c r="GY949" i="9" s="1"/>
  <c r="GU949" i="9"/>
  <c r="GV949" i="9" s="1"/>
  <c r="GQ949" i="9"/>
  <c r="GP949" i="9"/>
  <c r="GO949" i="9"/>
  <c r="GM949" i="9"/>
  <c r="GN949" i="9" s="1"/>
  <c r="GJ949" i="9"/>
  <c r="GK949" i="9" s="1"/>
  <c r="GF949" i="9"/>
  <c r="GE949" i="9"/>
  <c r="GD949" i="9"/>
  <c r="GB949" i="9"/>
  <c r="GC949" i="9" s="1"/>
  <c r="FY949" i="9"/>
  <c r="FZ949" i="9" s="1"/>
  <c r="FU949" i="9"/>
  <c r="FT949" i="9"/>
  <c r="FS949" i="9"/>
  <c r="FQ949" i="9"/>
  <c r="FR949" i="9" s="1"/>
  <c r="FN949" i="9"/>
  <c r="FO949" i="9" s="1"/>
  <c r="FL949" i="9"/>
  <c r="FK949" i="9"/>
  <c r="AZ949" i="9"/>
  <c r="BB949" i="9" s="1"/>
  <c r="IA949" i="9" s="1"/>
  <c r="AB949" i="9"/>
  <c r="HB948" i="9"/>
  <c r="HA948" i="9"/>
  <c r="GZ948" i="9"/>
  <c r="GX948" i="9"/>
  <c r="GY948" i="9" s="1"/>
  <c r="GU948" i="9"/>
  <c r="GV948" i="9" s="1"/>
  <c r="GQ948" i="9"/>
  <c r="GP948" i="9"/>
  <c r="GO948" i="9"/>
  <c r="GM948" i="9"/>
  <c r="GN948" i="9" s="1"/>
  <c r="GJ948" i="9"/>
  <c r="GK948" i="9" s="1"/>
  <c r="GF948" i="9"/>
  <c r="GE948" i="9"/>
  <c r="GD948" i="9"/>
  <c r="GB948" i="9"/>
  <c r="GC948" i="9" s="1"/>
  <c r="FY948" i="9"/>
  <c r="FZ948" i="9" s="1"/>
  <c r="FU948" i="9"/>
  <c r="FT948" i="9"/>
  <c r="FS948" i="9"/>
  <c r="FQ948" i="9"/>
  <c r="FR948" i="9" s="1"/>
  <c r="FN948" i="9"/>
  <c r="FO948" i="9" s="1"/>
  <c r="FL948" i="9"/>
  <c r="FK948" i="9"/>
  <c r="AZ948" i="9"/>
  <c r="BB948" i="9" s="1"/>
  <c r="IA948" i="9" s="1"/>
  <c r="AB948" i="9"/>
  <c r="HM947" i="9"/>
  <c r="HW947" i="9" s="1"/>
  <c r="HL947" i="9"/>
  <c r="HK947" i="9"/>
  <c r="HI947" i="9"/>
  <c r="HG947" i="9"/>
  <c r="HN947" i="9" s="1"/>
  <c r="HB947" i="9"/>
  <c r="HA947" i="9"/>
  <c r="GZ947" i="9"/>
  <c r="GY947" i="9"/>
  <c r="GV947" i="9"/>
  <c r="GQ947" i="9"/>
  <c r="GP947" i="9"/>
  <c r="GO947" i="9"/>
  <c r="GN947" i="9"/>
  <c r="GK947" i="9"/>
  <c r="GF947" i="9"/>
  <c r="GE947" i="9"/>
  <c r="GD947" i="9"/>
  <c r="GC947" i="9"/>
  <c r="FZ947" i="9"/>
  <c r="FU947" i="9"/>
  <c r="FT947" i="9"/>
  <c r="FS947" i="9"/>
  <c r="FR947" i="9"/>
  <c r="FV947" i="9" s="1"/>
  <c r="FO947" i="9"/>
  <c r="FL947" i="9"/>
  <c r="FK947" i="9"/>
  <c r="FH947" i="9"/>
  <c r="FG947" i="9"/>
  <c r="FF947" i="9"/>
  <c r="FE947" i="9"/>
  <c r="FB947" i="9"/>
  <c r="AZ947" i="9"/>
  <c r="AB947" i="9"/>
  <c r="HN946" i="9"/>
  <c r="HM946" i="9"/>
  <c r="HW946" i="9" s="1"/>
  <c r="HL946" i="9"/>
  <c r="HK946" i="9"/>
  <c r="HI946" i="9"/>
  <c r="HG946" i="9"/>
  <c r="HB946" i="9"/>
  <c r="HA946" i="9"/>
  <c r="GZ946" i="9"/>
  <c r="GY946" i="9"/>
  <c r="GV946" i="9"/>
  <c r="GQ946" i="9"/>
  <c r="GP946" i="9"/>
  <c r="GO946" i="9"/>
  <c r="GN946" i="9"/>
  <c r="GK946" i="9"/>
  <c r="GF946" i="9"/>
  <c r="GE946" i="9"/>
  <c r="GD946" i="9"/>
  <c r="GC946" i="9"/>
  <c r="FZ946" i="9"/>
  <c r="FU946" i="9"/>
  <c r="FT946" i="9"/>
  <c r="FS946" i="9"/>
  <c r="FR946" i="9"/>
  <c r="FV946" i="9" s="1"/>
  <c r="FO946" i="9"/>
  <c r="FL946" i="9"/>
  <c r="FK946" i="9"/>
  <c r="FH946" i="9"/>
  <c r="FG946" i="9"/>
  <c r="FF946" i="9"/>
  <c r="FE946" i="9"/>
  <c r="FB946" i="9"/>
  <c r="BA946" i="9"/>
  <c r="HZ946" i="9" s="1"/>
  <c r="AZ946" i="9"/>
  <c r="BB946" i="9" s="1"/>
  <c r="HX946" i="9" s="1"/>
  <c r="AB946" i="9"/>
  <c r="HM945" i="9"/>
  <c r="HW945" i="9" s="1"/>
  <c r="HL945" i="9"/>
  <c r="HK945" i="9"/>
  <c r="HI945" i="9"/>
  <c r="HG945" i="9"/>
  <c r="HN945" i="9" s="1"/>
  <c r="HF945" i="9"/>
  <c r="HB945" i="9"/>
  <c r="HA945" i="9"/>
  <c r="GZ945" i="9"/>
  <c r="GY945" i="9"/>
  <c r="GV945" i="9"/>
  <c r="GQ945" i="9"/>
  <c r="GP945" i="9"/>
  <c r="GO945" i="9"/>
  <c r="GN945" i="9"/>
  <c r="GK945" i="9"/>
  <c r="GF945" i="9"/>
  <c r="GE945" i="9"/>
  <c r="GD945" i="9"/>
  <c r="GC945" i="9"/>
  <c r="FZ945" i="9"/>
  <c r="FU945" i="9"/>
  <c r="FT945" i="9"/>
  <c r="FS945" i="9"/>
  <c r="FR945" i="9"/>
  <c r="FO945" i="9"/>
  <c r="FL945" i="9"/>
  <c r="FK945" i="9"/>
  <c r="FH945" i="9"/>
  <c r="FG945" i="9"/>
  <c r="FF945" i="9"/>
  <c r="FE945" i="9"/>
  <c r="FB945" i="9"/>
  <c r="AZ945" i="9"/>
  <c r="BB945" i="9" s="1"/>
  <c r="HX945" i="9" s="1"/>
  <c r="AB945" i="9"/>
  <c r="HM944" i="9"/>
  <c r="HW944" i="9" s="1"/>
  <c r="HL944" i="9"/>
  <c r="HK944" i="9"/>
  <c r="HI944" i="9"/>
  <c r="HF944" i="9"/>
  <c r="HG944" i="9" s="1"/>
  <c r="HN944" i="9" s="1"/>
  <c r="HB944" i="9"/>
  <c r="HA944" i="9"/>
  <c r="GZ944" i="9"/>
  <c r="GX944" i="9"/>
  <c r="GY944" i="9" s="1"/>
  <c r="GV944" i="9"/>
  <c r="GQ944" i="9"/>
  <c r="GP944" i="9"/>
  <c r="GO944" i="9"/>
  <c r="GN944" i="9"/>
  <c r="GK944" i="9"/>
  <c r="GF944" i="9"/>
  <c r="GE944" i="9"/>
  <c r="GD944" i="9"/>
  <c r="GC944" i="9"/>
  <c r="FZ944" i="9"/>
  <c r="FU944" i="9"/>
  <c r="FT944" i="9"/>
  <c r="FS944" i="9"/>
  <c r="FR944" i="9"/>
  <c r="FO944" i="9"/>
  <c r="FL944" i="9"/>
  <c r="FK944" i="9"/>
  <c r="FH944" i="9"/>
  <c r="FG944" i="9"/>
  <c r="FF944" i="9"/>
  <c r="FE944" i="9"/>
  <c r="FI944" i="9" s="1"/>
  <c r="FB944" i="9"/>
  <c r="BB944" i="9"/>
  <c r="HX944" i="9" s="1"/>
  <c r="BA944" i="9"/>
  <c r="HZ944" i="9" s="1"/>
  <c r="AZ944" i="9"/>
  <c r="HY944" i="9" s="1"/>
  <c r="AB944" i="9"/>
  <c r="HM943" i="9"/>
  <c r="HW943" i="9" s="1"/>
  <c r="HL943" i="9"/>
  <c r="HK943" i="9"/>
  <c r="HI943" i="9"/>
  <c r="HJ943" i="9" s="1"/>
  <c r="HF943" i="9"/>
  <c r="HG943" i="9" s="1"/>
  <c r="FU943" i="9"/>
  <c r="FT943" i="9"/>
  <c r="FS943" i="9"/>
  <c r="FR943" i="9"/>
  <c r="FO943" i="9"/>
  <c r="FL943" i="9"/>
  <c r="FK943" i="9"/>
  <c r="CF943" i="9"/>
  <c r="CY943" i="9" s="1"/>
  <c r="AX943" i="9"/>
  <c r="AB943" i="9"/>
  <c r="HW942" i="9"/>
  <c r="HM942" i="9"/>
  <c r="HL942" i="9"/>
  <c r="HK942" i="9"/>
  <c r="HI942" i="9"/>
  <c r="HJ942" i="9" s="1"/>
  <c r="HF942" i="9"/>
  <c r="HG942" i="9" s="1"/>
  <c r="FU942" i="9"/>
  <c r="FT942" i="9"/>
  <c r="FS942" i="9"/>
  <c r="FR942" i="9"/>
  <c r="FV942" i="9" s="1"/>
  <c r="FO942" i="9"/>
  <c r="FL942" i="9"/>
  <c r="FK942" i="9"/>
  <c r="CF942" i="9"/>
  <c r="CY942" i="9" s="1"/>
  <c r="AB942" i="9"/>
  <c r="HM941" i="9"/>
  <c r="HW941" i="9" s="1"/>
  <c r="HL941" i="9"/>
  <c r="HK941" i="9"/>
  <c r="HI941" i="9"/>
  <c r="HJ941" i="9" s="1"/>
  <c r="HF941" i="9"/>
  <c r="HG941" i="9" s="1"/>
  <c r="FU941" i="9"/>
  <c r="FT941" i="9"/>
  <c r="FS941" i="9"/>
  <c r="FR941" i="9"/>
  <c r="FV941" i="9" s="1"/>
  <c r="FO941" i="9"/>
  <c r="FL941" i="9"/>
  <c r="FK941" i="9"/>
  <c r="AX941" i="9"/>
  <c r="AZ941" i="9" s="1"/>
  <c r="HY941" i="9" s="1"/>
  <c r="AB941" i="9"/>
  <c r="HM940" i="9"/>
  <c r="HW940" i="9" s="1"/>
  <c r="HL940" i="9"/>
  <c r="HK940" i="9"/>
  <c r="HJ940" i="9"/>
  <c r="HF940" i="9"/>
  <c r="HG940" i="9" s="1"/>
  <c r="FU940" i="9"/>
  <c r="FT940" i="9"/>
  <c r="FS940" i="9"/>
  <c r="FR940" i="9"/>
  <c r="FO940" i="9"/>
  <c r="FL940" i="9"/>
  <c r="FK940" i="9"/>
  <c r="CF940" i="9"/>
  <c r="CY940" i="9" s="1"/>
  <c r="AB940" i="9"/>
  <c r="HM939" i="9"/>
  <c r="HW939" i="9" s="1"/>
  <c r="HL939" i="9"/>
  <c r="HK939" i="9"/>
  <c r="HJ939" i="9"/>
  <c r="HF939" i="9"/>
  <c r="HG939" i="9" s="1"/>
  <c r="FU939" i="9"/>
  <c r="FT939" i="9"/>
  <c r="FS939" i="9"/>
  <c r="FR939" i="9"/>
  <c r="FO939" i="9"/>
  <c r="FV939" i="9" s="1"/>
  <c r="FL939" i="9"/>
  <c r="FK939" i="9"/>
  <c r="DA939" i="9"/>
  <c r="IA939" i="9" s="1"/>
  <c r="CF939" i="9"/>
  <c r="CY939" i="9" s="1"/>
  <c r="AB939" i="9"/>
  <c r="HM938" i="9"/>
  <c r="HW938" i="9" s="1"/>
  <c r="HL938" i="9"/>
  <c r="HK938" i="9"/>
  <c r="HJ938" i="9"/>
  <c r="HF938" i="9"/>
  <c r="HG938" i="9" s="1"/>
  <c r="FU938" i="9"/>
  <c r="FT938" i="9"/>
  <c r="FS938" i="9"/>
  <c r="FR938" i="9"/>
  <c r="FO938" i="9"/>
  <c r="FL938" i="9"/>
  <c r="FK938" i="9"/>
  <c r="CF938" i="9"/>
  <c r="CY938" i="9" s="1"/>
  <c r="AB938" i="9"/>
  <c r="HM937" i="9"/>
  <c r="HW937" i="9" s="1"/>
  <c r="HL937" i="9"/>
  <c r="HK937" i="9"/>
  <c r="HJ937" i="9"/>
  <c r="HF937" i="9"/>
  <c r="HG937" i="9" s="1"/>
  <c r="FU937" i="9"/>
  <c r="FT937" i="9"/>
  <c r="FS937" i="9"/>
  <c r="FR937" i="9"/>
  <c r="FO937" i="9"/>
  <c r="FL937" i="9"/>
  <c r="FK937" i="9"/>
  <c r="CY937" i="9"/>
  <c r="CF937" i="9"/>
  <c r="AB937" i="9"/>
  <c r="HM936" i="9"/>
  <c r="HW936" i="9" s="1"/>
  <c r="HL936" i="9"/>
  <c r="HK936" i="9"/>
  <c r="HJ936" i="9"/>
  <c r="HN936" i="9" s="1"/>
  <c r="HG936" i="9"/>
  <c r="FU936" i="9"/>
  <c r="FT936" i="9"/>
  <c r="FS936" i="9"/>
  <c r="FR936" i="9"/>
  <c r="FV936" i="9" s="1"/>
  <c r="FO936" i="9"/>
  <c r="FL936" i="9"/>
  <c r="FK936" i="9"/>
  <c r="CF936" i="9"/>
  <c r="CY936" i="9" s="1"/>
  <c r="HY936" i="9" s="1"/>
  <c r="AB936" i="9"/>
  <c r="HM935" i="9"/>
  <c r="HW935" i="9" s="1"/>
  <c r="HL935" i="9"/>
  <c r="HK935" i="9"/>
  <c r="HJ935" i="9"/>
  <c r="HG935" i="9"/>
  <c r="FU935" i="9"/>
  <c r="FT935" i="9"/>
  <c r="FS935" i="9"/>
  <c r="FR935" i="9"/>
  <c r="FO935" i="9"/>
  <c r="FL935" i="9"/>
  <c r="FK935" i="9"/>
  <c r="CF935" i="9"/>
  <c r="CY935" i="9" s="1"/>
  <c r="DA935" i="9" s="1"/>
  <c r="BT935" i="9"/>
  <c r="BY935" i="9" s="1"/>
  <c r="AB935" i="9"/>
  <c r="HM934" i="9"/>
  <c r="HW934" i="9" s="1"/>
  <c r="HL934" i="9"/>
  <c r="HK934" i="9"/>
  <c r="HJ934" i="9"/>
  <c r="HG934" i="9"/>
  <c r="FU934" i="9"/>
  <c r="FT934" i="9"/>
  <c r="FS934" i="9"/>
  <c r="FR934" i="9"/>
  <c r="FO934" i="9"/>
  <c r="FL934" i="9"/>
  <c r="FK934" i="9"/>
  <c r="CF934" i="9"/>
  <c r="CY934" i="9" s="1"/>
  <c r="DA934" i="9" s="1"/>
  <c r="BT934" i="9"/>
  <c r="AB934" i="9"/>
  <c r="HM933" i="9"/>
  <c r="HW933" i="9" s="1"/>
  <c r="HL933" i="9"/>
  <c r="HK933" i="9"/>
  <c r="HJ933" i="9"/>
  <c r="HG933" i="9"/>
  <c r="FU933" i="9"/>
  <c r="FT933" i="9"/>
  <c r="FS933" i="9"/>
  <c r="FR933" i="9"/>
  <c r="FV933" i="9" s="1"/>
  <c r="FO933" i="9"/>
  <c r="FL933" i="9"/>
  <c r="FK933" i="9"/>
  <c r="CF933" i="9"/>
  <c r="CY933" i="9" s="1"/>
  <c r="DA933" i="9" s="1"/>
  <c r="BT933" i="9"/>
  <c r="AB933" i="9"/>
  <c r="HM932" i="9"/>
  <c r="HW932" i="9" s="1"/>
  <c r="HL932" i="9"/>
  <c r="HK932" i="9"/>
  <c r="HJ932" i="9"/>
  <c r="HG932" i="9"/>
  <c r="HN932" i="9" s="1"/>
  <c r="FU932" i="9"/>
  <c r="FT932" i="9"/>
  <c r="FS932" i="9"/>
  <c r="FR932" i="9"/>
  <c r="FV932" i="9" s="1"/>
  <c r="FO932" i="9"/>
  <c r="FL932" i="9"/>
  <c r="FK932" i="9"/>
  <c r="BT932" i="9"/>
  <c r="BY932" i="9" s="1"/>
  <c r="AB932" i="9"/>
  <c r="HM931" i="9"/>
  <c r="HW931" i="9" s="1"/>
  <c r="HL931" i="9"/>
  <c r="HK931" i="9"/>
  <c r="HI931" i="9"/>
  <c r="HJ931" i="9" s="1"/>
  <c r="HF931" i="9"/>
  <c r="HG931" i="9" s="1"/>
  <c r="FU931" i="9"/>
  <c r="FT931" i="9"/>
  <c r="FS931" i="9"/>
  <c r="FR931" i="9"/>
  <c r="FO931" i="9"/>
  <c r="FL931" i="9"/>
  <c r="FK931" i="9"/>
  <c r="BY931" i="9"/>
  <c r="AB931" i="9"/>
  <c r="HM930" i="9"/>
  <c r="HW930" i="9" s="1"/>
  <c r="HL930" i="9"/>
  <c r="HK930" i="9"/>
  <c r="HI930" i="9"/>
  <c r="HJ930" i="9" s="1"/>
  <c r="HF930" i="9"/>
  <c r="HG930" i="9" s="1"/>
  <c r="FU930" i="9"/>
  <c r="FT930" i="9"/>
  <c r="FS930" i="9"/>
  <c r="FR930" i="9"/>
  <c r="FO930" i="9"/>
  <c r="FL930" i="9"/>
  <c r="FK930" i="9"/>
  <c r="CY930" i="9"/>
  <c r="AB930" i="9"/>
  <c r="HM929" i="9"/>
  <c r="HW929" i="9" s="1"/>
  <c r="HL929" i="9"/>
  <c r="HK929" i="9"/>
  <c r="HI929" i="9"/>
  <c r="HJ929" i="9" s="1"/>
  <c r="HF929" i="9"/>
  <c r="HG929" i="9" s="1"/>
  <c r="FU929" i="9"/>
  <c r="FT929" i="9"/>
  <c r="FS929" i="9"/>
  <c r="FR929" i="9"/>
  <c r="FV929" i="9" s="1"/>
  <c r="FO929" i="9"/>
  <c r="FL929" i="9"/>
  <c r="FK929" i="9"/>
  <c r="AX929" i="9"/>
  <c r="AZ929" i="9" s="1"/>
  <c r="AB929" i="9"/>
  <c r="HM928" i="9"/>
  <c r="HW928" i="9" s="1"/>
  <c r="HL928" i="9"/>
  <c r="HK928" i="9"/>
  <c r="HI928" i="9"/>
  <c r="HJ928" i="9" s="1"/>
  <c r="HF928" i="9"/>
  <c r="HG928" i="9" s="1"/>
  <c r="FU928" i="9"/>
  <c r="FT928" i="9"/>
  <c r="FS928" i="9"/>
  <c r="FQ928" i="9"/>
  <c r="FR928" i="9" s="1"/>
  <c r="FN928" i="9"/>
  <c r="FO928" i="9" s="1"/>
  <c r="FL928" i="9"/>
  <c r="FK928" i="9"/>
  <c r="BY928" i="9"/>
  <c r="BI928" i="9"/>
  <c r="AB928" i="9"/>
  <c r="HM927" i="9"/>
  <c r="HW927" i="9" s="1"/>
  <c r="HL927" i="9"/>
  <c r="HK927" i="9"/>
  <c r="HI927" i="9"/>
  <c r="HJ927" i="9" s="1"/>
  <c r="HF927" i="9"/>
  <c r="HG927" i="9" s="1"/>
  <c r="FU927" i="9"/>
  <c r="FT927" i="9"/>
  <c r="FS927" i="9"/>
  <c r="FQ927" i="9"/>
  <c r="FR927" i="9" s="1"/>
  <c r="FO927" i="9"/>
  <c r="FN927" i="9"/>
  <c r="FL927" i="9"/>
  <c r="FK927" i="9"/>
  <c r="BY927" i="9"/>
  <c r="BI927" i="9"/>
  <c r="AB927" i="9"/>
  <c r="GF926" i="9"/>
  <c r="GE926" i="9"/>
  <c r="GD926" i="9"/>
  <c r="GC926" i="9"/>
  <c r="FZ926" i="9"/>
  <c r="FH926" i="9"/>
  <c r="FG926" i="9"/>
  <c r="FF926" i="9"/>
  <c r="FD926" i="9"/>
  <c r="FE926" i="9" s="1"/>
  <c r="FA926" i="9"/>
  <c r="FB926" i="9" s="1"/>
  <c r="CF926" i="9"/>
  <c r="CY926" i="9" s="1"/>
  <c r="HY926" i="9" s="1"/>
  <c r="GF925" i="9"/>
  <c r="GE925" i="9"/>
  <c r="GD925" i="9"/>
  <c r="GC925" i="9"/>
  <c r="FZ925" i="9"/>
  <c r="FH925" i="9"/>
  <c r="FG925" i="9"/>
  <c r="FF925" i="9"/>
  <c r="FD925" i="9"/>
  <c r="FE925" i="9" s="1"/>
  <c r="FA925" i="9"/>
  <c r="FB925" i="9" s="1"/>
  <c r="CF925" i="9"/>
  <c r="CY925" i="9" s="1"/>
  <c r="BT925" i="9"/>
  <c r="BI925" i="9"/>
  <c r="GF924" i="9"/>
  <c r="GE924" i="9"/>
  <c r="GD924" i="9"/>
  <c r="GC924" i="9"/>
  <c r="GG924" i="9" s="1"/>
  <c r="FZ924" i="9"/>
  <c r="FH924" i="9"/>
  <c r="FG924" i="9"/>
  <c r="FF924" i="9"/>
  <c r="FE924" i="9"/>
  <c r="FD924" i="9"/>
  <c r="FA924" i="9"/>
  <c r="FB924" i="9" s="1"/>
  <c r="CF924" i="9"/>
  <c r="CY924" i="9" s="1"/>
  <c r="BT924" i="9"/>
  <c r="BY924" i="9" s="1"/>
  <c r="BI924" i="9"/>
  <c r="GF923" i="9"/>
  <c r="GE923" i="9"/>
  <c r="GD923" i="9"/>
  <c r="GC923" i="9"/>
  <c r="FZ923" i="9"/>
  <c r="FH923" i="9"/>
  <c r="FG923" i="9"/>
  <c r="FF923" i="9"/>
  <c r="FD923" i="9"/>
  <c r="FE923" i="9" s="1"/>
  <c r="FA923" i="9"/>
  <c r="FB923" i="9" s="1"/>
  <c r="CF923" i="9"/>
  <c r="CY923" i="9" s="1"/>
  <c r="BT923" i="9"/>
  <c r="BY923" i="9" s="1"/>
  <c r="BI923" i="9"/>
  <c r="GF922" i="9"/>
  <c r="GE922" i="9"/>
  <c r="GD922" i="9"/>
  <c r="GC922" i="9"/>
  <c r="FZ922" i="9"/>
  <c r="FH922" i="9"/>
  <c r="FG922" i="9"/>
  <c r="FF922" i="9"/>
  <c r="FD922" i="9"/>
  <c r="FE922" i="9" s="1"/>
  <c r="FA922" i="9"/>
  <c r="FB922" i="9" s="1"/>
  <c r="BT922" i="9"/>
  <c r="BY922" i="9" s="1"/>
  <c r="CA922" i="9" s="1"/>
  <c r="IA922" i="9" s="1"/>
  <c r="BI922" i="9"/>
  <c r="GF921" i="9"/>
  <c r="GE921" i="9"/>
  <c r="GD921" i="9"/>
  <c r="GC921" i="9"/>
  <c r="FZ921" i="9"/>
  <c r="FU921" i="9"/>
  <c r="FT921" i="9"/>
  <c r="FS921" i="9"/>
  <c r="FR921" i="9"/>
  <c r="FV921" i="9" s="1"/>
  <c r="FO921" i="9"/>
  <c r="FL921" i="9"/>
  <c r="FK921" i="9"/>
  <c r="FH921" i="9"/>
  <c r="FG921" i="9"/>
  <c r="FF921" i="9"/>
  <c r="FE921" i="9"/>
  <c r="FI921" i="9" s="1"/>
  <c r="FB921" i="9"/>
  <c r="CY921" i="9"/>
  <c r="AB921" i="9"/>
  <c r="HM920" i="9"/>
  <c r="HW920" i="9" s="1"/>
  <c r="HL920" i="9"/>
  <c r="HK920" i="9"/>
  <c r="HJ920" i="9"/>
  <c r="HG920" i="9"/>
  <c r="GF920" i="9"/>
  <c r="GE920" i="9"/>
  <c r="GD920" i="9"/>
  <c r="GC920" i="9"/>
  <c r="FZ920" i="9"/>
  <c r="FU920" i="9"/>
  <c r="FT920" i="9"/>
  <c r="FS920" i="9"/>
  <c r="FR920" i="9"/>
  <c r="FV920" i="9" s="1"/>
  <c r="FO920" i="9"/>
  <c r="FL920" i="9"/>
  <c r="FK920" i="9"/>
  <c r="BY920" i="9"/>
  <c r="AB920" i="9"/>
  <c r="HM919" i="9"/>
  <c r="HW919" i="9" s="1"/>
  <c r="HL919" i="9"/>
  <c r="HK919" i="9"/>
  <c r="HJ919" i="9"/>
  <c r="HN919" i="9" s="1"/>
  <c r="HG919" i="9"/>
  <c r="GF919" i="9"/>
  <c r="GE919" i="9"/>
  <c r="GD919" i="9"/>
  <c r="GC919" i="9"/>
  <c r="FZ919" i="9"/>
  <c r="FU919" i="9"/>
  <c r="FT919" i="9"/>
  <c r="FS919" i="9"/>
  <c r="FR919" i="9"/>
  <c r="FO919" i="9"/>
  <c r="FL919" i="9"/>
  <c r="FK919" i="9"/>
  <c r="BY919" i="9"/>
  <c r="HY919" i="9" s="1"/>
  <c r="AB919" i="9"/>
  <c r="HM918" i="9"/>
  <c r="HW918" i="9" s="1"/>
  <c r="HL918" i="9"/>
  <c r="HK918" i="9"/>
  <c r="HJ918" i="9"/>
  <c r="HG918" i="9"/>
  <c r="GF918" i="9"/>
  <c r="GE918" i="9"/>
  <c r="GD918" i="9"/>
  <c r="GC918" i="9"/>
  <c r="FZ918" i="9"/>
  <c r="FU918" i="9"/>
  <c r="FT918" i="9"/>
  <c r="FS918" i="9"/>
  <c r="FR918" i="9"/>
  <c r="FO918" i="9"/>
  <c r="FL918" i="9"/>
  <c r="FK918" i="9"/>
  <c r="BY918" i="9"/>
  <c r="BZ918" i="9" s="1"/>
  <c r="HZ918" i="9" s="1"/>
  <c r="AB918" i="9"/>
  <c r="HM917" i="9"/>
  <c r="HW917" i="9" s="1"/>
  <c r="HL917" i="9"/>
  <c r="HK917" i="9"/>
  <c r="HJ917" i="9"/>
  <c r="HG917" i="9"/>
  <c r="GF917" i="9"/>
  <c r="GE917" i="9"/>
  <c r="GD917" i="9"/>
  <c r="GC917" i="9"/>
  <c r="GG917" i="9" s="1"/>
  <c r="FZ917" i="9"/>
  <c r="FU917" i="9"/>
  <c r="FT917" i="9"/>
  <c r="FS917" i="9"/>
  <c r="FR917" i="9"/>
  <c r="FO917" i="9"/>
  <c r="FL917" i="9"/>
  <c r="FK917" i="9"/>
  <c r="BY917" i="9"/>
  <c r="AB917" i="9"/>
  <c r="HM916" i="9"/>
  <c r="HW916" i="9" s="1"/>
  <c r="HL916" i="9"/>
  <c r="HK916" i="9"/>
  <c r="HI916" i="9"/>
  <c r="HJ916" i="9" s="1"/>
  <c r="HF916" i="9"/>
  <c r="HG916" i="9" s="1"/>
  <c r="EW916" i="9"/>
  <c r="HY916" i="9" s="1"/>
  <c r="CY916" i="9"/>
  <c r="DA916" i="9" s="1"/>
  <c r="BY916" i="9"/>
  <c r="BI916" i="9"/>
  <c r="HM915" i="9"/>
  <c r="HW915" i="9" s="1"/>
  <c r="HL915" i="9"/>
  <c r="HK915" i="9"/>
  <c r="HI915" i="9"/>
  <c r="HJ915" i="9" s="1"/>
  <c r="HF915" i="9"/>
  <c r="HG915" i="9" s="1"/>
  <c r="BY915" i="9"/>
  <c r="CA915" i="9" s="1"/>
  <c r="BI915" i="9"/>
  <c r="HM914" i="9"/>
  <c r="HW914" i="9" s="1"/>
  <c r="HL914" i="9"/>
  <c r="HK914" i="9"/>
  <c r="HI914" i="9"/>
  <c r="HJ914" i="9" s="1"/>
  <c r="HF914" i="9"/>
  <c r="HG914" i="9" s="1"/>
  <c r="CY914" i="9"/>
  <c r="DA914" i="9" s="1"/>
  <c r="HM913" i="9"/>
  <c r="HW913" i="9" s="1"/>
  <c r="HL913" i="9"/>
  <c r="HK913" i="9"/>
  <c r="HI913" i="9"/>
  <c r="HJ913" i="9" s="1"/>
  <c r="HF913" i="9"/>
  <c r="HG913" i="9" s="1"/>
  <c r="GF913" i="9"/>
  <c r="GE913" i="9"/>
  <c r="GD913" i="9"/>
  <c r="GB913" i="9"/>
  <c r="GC913" i="9" s="1"/>
  <c r="FY913" i="9"/>
  <c r="FZ913" i="9" s="1"/>
  <c r="FU913" i="9"/>
  <c r="FT913" i="9"/>
  <c r="FS913" i="9"/>
  <c r="FQ913" i="9"/>
  <c r="FR913" i="9" s="1"/>
  <c r="FN913" i="9"/>
  <c r="FO913" i="9" s="1"/>
  <c r="FL913" i="9"/>
  <c r="FK913" i="9"/>
  <c r="DY913" i="9"/>
  <c r="ES913" i="9" s="1"/>
  <c r="AB913" i="9"/>
  <c r="HM912" i="9"/>
  <c r="HW912" i="9" s="1"/>
  <c r="HL912" i="9"/>
  <c r="HK912" i="9"/>
  <c r="HI912" i="9"/>
  <c r="HJ912" i="9" s="1"/>
  <c r="HF912" i="9"/>
  <c r="HG912" i="9" s="1"/>
  <c r="GF912" i="9"/>
  <c r="GE912" i="9"/>
  <c r="GD912" i="9"/>
  <c r="GB912" i="9"/>
  <c r="GC912" i="9" s="1"/>
  <c r="FY912" i="9"/>
  <c r="FZ912" i="9" s="1"/>
  <c r="FU912" i="9"/>
  <c r="FT912" i="9"/>
  <c r="FS912" i="9"/>
  <c r="FQ912" i="9"/>
  <c r="FR912" i="9" s="1"/>
  <c r="FN912" i="9"/>
  <c r="FO912" i="9" s="1"/>
  <c r="FL912" i="9"/>
  <c r="FK912" i="9"/>
  <c r="DY912" i="9"/>
  <c r="ES912" i="9" s="1"/>
  <c r="EU912" i="9" s="1"/>
  <c r="AB912" i="9"/>
  <c r="HM911" i="9"/>
  <c r="HW911" i="9" s="1"/>
  <c r="HL911" i="9"/>
  <c r="HK911" i="9"/>
  <c r="HI911" i="9"/>
  <c r="HJ911" i="9" s="1"/>
  <c r="HN911" i="9" s="1"/>
  <c r="HF911" i="9"/>
  <c r="HG911" i="9" s="1"/>
  <c r="GF911" i="9"/>
  <c r="GE911" i="9"/>
  <c r="GD911" i="9"/>
  <c r="GB911" i="9"/>
  <c r="GC911" i="9" s="1"/>
  <c r="GG911" i="9" s="1"/>
  <c r="FY911" i="9"/>
  <c r="FZ911" i="9" s="1"/>
  <c r="FU911" i="9"/>
  <c r="FT911" i="9"/>
  <c r="FS911" i="9"/>
  <c r="FR911" i="9"/>
  <c r="FV911" i="9" s="1"/>
  <c r="FQ911" i="9"/>
  <c r="FN911" i="9"/>
  <c r="FO911" i="9" s="1"/>
  <c r="FL911" i="9"/>
  <c r="FK911" i="9"/>
  <c r="DY911" i="9"/>
  <c r="ES911" i="9" s="1"/>
  <c r="AB911" i="9"/>
  <c r="HM910" i="9"/>
  <c r="HW910" i="9" s="1"/>
  <c r="HL910" i="9"/>
  <c r="HK910" i="9"/>
  <c r="HI910" i="9"/>
  <c r="HJ910" i="9" s="1"/>
  <c r="HF910" i="9"/>
  <c r="HG910" i="9" s="1"/>
  <c r="GF910" i="9"/>
  <c r="GE910" i="9"/>
  <c r="GD910" i="9"/>
  <c r="GB910" i="9"/>
  <c r="GC910" i="9" s="1"/>
  <c r="FY910" i="9"/>
  <c r="FZ910" i="9" s="1"/>
  <c r="FU910" i="9"/>
  <c r="FT910" i="9"/>
  <c r="FS910" i="9"/>
  <c r="FQ910" i="9"/>
  <c r="FR910" i="9" s="1"/>
  <c r="FN910" i="9"/>
  <c r="FO910" i="9" s="1"/>
  <c r="FL910" i="9"/>
  <c r="FK910" i="9"/>
  <c r="DY910" i="9"/>
  <c r="ES910" i="9" s="1"/>
  <c r="AB910" i="9"/>
  <c r="HM909" i="9"/>
  <c r="HW909" i="9" s="1"/>
  <c r="HL909" i="9"/>
  <c r="HK909" i="9"/>
  <c r="HI909" i="9"/>
  <c r="HJ909" i="9" s="1"/>
  <c r="HF909" i="9"/>
  <c r="HG909" i="9" s="1"/>
  <c r="HN909" i="9" s="1"/>
  <c r="GF909" i="9"/>
  <c r="GE909" i="9"/>
  <c r="GD909" i="9"/>
  <c r="GB909" i="9"/>
  <c r="GC909" i="9" s="1"/>
  <c r="GG909" i="9" s="1"/>
  <c r="FY909" i="9"/>
  <c r="FZ909" i="9" s="1"/>
  <c r="FU909" i="9"/>
  <c r="FT909" i="9"/>
  <c r="FS909" i="9"/>
  <c r="FQ909" i="9"/>
  <c r="FR909" i="9" s="1"/>
  <c r="FN909" i="9"/>
  <c r="FO909" i="9" s="1"/>
  <c r="FL909" i="9"/>
  <c r="FK909" i="9"/>
  <c r="DY909" i="9"/>
  <c r="ES909" i="9" s="1"/>
  <c r="AB909" i="9"/>
  <c r="HM908" i="9"/>
  <c r="HW908" i="9" s="1"/>
  <c r="HL908" i="9"/>
  <c r="HK908" i="9"/>
  <c r="HI908" i="9"/>
  <c r="HJ908" i="9" s="1"/>
  <c r="HF908" i="9"/>
  <c r="HG908" i="9" s="1"/>
  <c r="GF908" i="9"/>
  <c r="GE908" i="9"/>
  <c r="GD908" i="9"/>
  <c r="GB908" i="9"/>
  <c r="GC908" i="9" s="1"/>
  <c r="FY908" i="9"/>
  <c r="FZ908" i="9" s="1"/>
  <c r="FU908" i="9"/>
  <c r="FT908" i="9"/>
  <c r="FS908" i="9"/>
  <c r="FQ908" i="9"/>
  <c r="FR908" i="9" s="1"/>
  <c r="FV908" i="9" s="1"/>
  <c r="FN908" i="9"/>
  <c r="FO908" i="9" s="1"/>
  <c r="FL908" i="9"/>
  <c r="FK908" i="9"/>
  <c r="DY908" i="9"/>
  <c r="ES908" i="9" s="1"/>
  <c r="HY908" i="9" s="1"/>
  <c r="AB908" i="9"/>
  <c r="HM907" i="9"/>
  <c r="HW907" i="9" s="1"/>
  <c r="HL907" i="9"/>
  <c r="HK907" i="9"/>
  <c r="HJ907" i="9"/>
  <c r="HI907" i="9"/>
  <c r="HF907" i="9"/>
  <c r="HG907" i="9" s="1"/>
  <c r="GF907" i="9"/>
  <c r="GE907" i="9"/>
  <c r="GD907" i="9"/>
  <c r="GB907" i="9"/>
  <c r="GC907" i="9" s="1"/>
  <c r="FY907" i="9"/>
  <c r="FZ907" i="9" s="1"/>
  <c r="FU907" i="9"/>
  <c r="FT907" i="9"/>
  <c r="FS907" i="9"/>
  <c r="FQ907" i="9"/>
  <c r="FR907" i="9" s="1"/>
  <c r="FN907" i="9"/>
  <c r="FO907" i="9" s="1"/>
  <c r="FL907" i="9"/>
  <c r="FK907" i="9"/>
  <c r="DY907" i="9"/>
  <c r="ES907" i="9" s="1"/>
  <c r="AB907" i="9"/>
  <c r="HM906" i="9"/>
  <c r="HL906" i="9"/>
  <c r="HK906" i="9"/>
  <c r="HJ906" i="9"/>
  <c r="HG906" i="9"/>
  <c r="BY906" i="9"/>
  <c r="CA906" i="9" s="1"/>
  <c r="IA906" i="9" s="1"/>
  <c r="AB906" i="9"/>
  <c r="HM905" i="9"/>
  <c r="HL905" i="9"/>
  <c r="HK905" i="9"/>
  <c r="HJ905" i="9"/>
  <c r="HG905" i="9"/>
  <c r="BY905" i="9"/>
  <c r="CA905" i="9" s="1"/>
  <c r="IA905" i="9" s="1"/>
  <c r="AB905" i="9"/>
  <c r="HH904" i="9"/>
  <c r="HL904" i="9" s="1"/>
  <c r="HE904" i="9"/>
  <c r="HF904" i="9" s="1"/>
  <c r="HG904" i="9" s="1"/>
  <c r="CF904" i="9"/>
  <c r="CY904" i="9" s="1"/>
  <c r="DA904" i="9" s="1"/>
  <c r="IA904" i="9" s="1"/>
  <c r="AB904" i="9"/>
  <c r="HM903" i="9"/>
  <c r="HW903" i="9" s="1"/>
  <c r="HL903" i="9"/>
  <c r="HK903" i="9"/>
  <c r="HJ903" i="9"/>
  <c r="HG903" i="9"/>
  <c r="CO903" i="9"/>
  <c r="CM903" i="9"/>
  <c r="CK903" i="9"/>
  <c r="CF903" i="9"/>
  <c r="CY903" i="9" s="1"/>
  <c r="AB903" i="9"/>
  <c r="HM902" i="9"/>
  <c r="HW902" i="9" s="1"/>
  <c r="HL902" i="9"/>
  <c r="HK902" i="9"/>
  <c r="HJ902" i="9"/>
  <c r="HG902" i="9"/>
  <c r="CO902" i="9"/>
  <c r="CM902" i="9"/>
  <c r="CK902" i="9"/>
  <c r="CF902" i="9"/>
  <c r="CY902" i="9" s="1"/>
  <c r="HY902" i="9" s="1"/>
  <c r="AB902" i="9"/>
  <c r="HM901" i="9"/>
  <c r="HW901" i="9" s="1"/>
  <c r="HL901" i="9"/>
  <c r="HK901" i="9"/>
  <c r="HJ901" i="9"/>
  <c r="HG901" i="9"/>
  <c r="CO901" i="9"/>
  <c r="CM901" i="9"/>
  <c r="CK901" i="9"/>
  <c r="CF901" i="9"/>
  <c r="CY901" i="9" s="1"/>
  <c r="AB901" i="9"/>
  <c r="HM900" i="9"/>
  <c r="HW900" i="9" s="1"/>
  <c r="HL900" i="9"/>
  <c r="HK900" i="9"/>
  <c r="HJ900" i="9"/>
  <c r="HG900" i="9"/>
  <c r="CO900" i="9"/>
  <c r="CM900" i="9"/>
  <c r="CK900" i="9"/>
  <c r="CF900" i="9"/>
  <c r="CY900" i="9" s="1"/>
  <c r="AB900" i="9"/>
  <c r="HM899" i="9"/>
  <c r="HW899" i="9" s="1"/>
  <c r="HL899" i="9"/>
  <c r="HK899" i="9"/>
  <c r="HI899" i="9"/>
  <c r="HJ899" i="9" s="1"/>
  <c r="HF899" i="9"/>
  <c r="HG899" i="9" s="1"/>
  <c r="BT899" i="9"/>
  <c r="BY899" i="9" s="1"/>
  <c r="BI899" i="9"/>
  <c r="AB899" i="9"/>
  <c r="HM898" i="9"/>
  <c r="HW898" i="9" s="1"/>
  <c r="HL898" i="9"/>
  <c r="HK898" i="9"/>
  <c r="HI898" i="9"/>
  <c r="HJ898" i="9" s="1"/>
  <c r="HF898" i="9"/>
  <c r="HG898" i="9" s="1"/>
  <c r="BT898" i="9"/>
  <c r="BY898" i="9" s="1"/>
  <c r="BI898" i="9"/>
  <c r="AB898" i="9"/>
  <c r="HM897" i="9"/>
  <c r="HW897" i="9" s="1"/>
  <c r="HL897" i="9"/>
  <c r="HK897" i="9"/>
  <c r="HI897" i="9"/>
  <c r="HJ897" i="9" s="1"/>
  <c r="HF897" i="9"/>
  <c r="HG897" i="9" s="1"/>
  <c r="BT897" i="9"/>
  <c r="BY897" i="9" s="1"/>
  <c r="BI897" i="9"/>
  <c r="AB897" i="9"/>
  <c r="HM896" i="9"/>
  <c r="HW896" i="9" s="1"/>
  <c r="HL896" i="9"/>
  <c r="HK896" i="9"/>
  <c r="HI896" i="9"/>
  <c r="HJ896" i="9" s="1"/>
  <c r="HF896" i="9"/>
  <c r="HG896" i="9" s="1"/>
  <c r="BT896" i="9"/>
  <c r="BY896" i="9" s="1"/>
  <c r="CA896" i="9" s="1"/>
  <c r="BI896" i="9"/>
  <c r="AB896" i="9"/>
  <c r="HB895" i="9"/>
  <c r="HA895" i="9"/>
  <c r="GZ895" i="9"/>
  <c r="GX895" i="9"/>
  <c r="GY895" i="9" s="1"/>
  <c r="GU895" i="9"/>
  <c r="GV895" i="9" s="1"/>
  <c r="FV895" i="9"/>
  <c r="FU895" i="9"/>
  <c r="FT895" i="9"/>
  <c r="FS895" i="9"/>
  <c r="FR895" i="9"/>
  <c r="FO895" i="9"/>
  <c r="FL895" i="9"/>
  <c r="FK895" i="9"/>
  <c r="DY895" i="9"/>
  <c r="EW895" i="9" s="1"/>
  <c r="HY895" i="9" s="1"/>
  <c r="DX895" i="9"/>
  <c r="AB895" i="9"/>
  <c r="HB894" i="9"/>
  <c r="HA894" i="9"/>
  <c r="GZ894" i="9"/>
  <c r="GX894" i="9"/>
  <c r="GY894" i="9" s="1"/>
  <c r="GU894" i="9"/>
  <c r="GV894" i="9" s="1"/>
  <c r="FU894" i="9"/>
  <c r="FT894" i="9"/>
  <c r="FS894" i="9"/>
  <c r="FR894" i="9"/>
  <c r="FO894" i="9"/>
  <c r="FL894" i="9"/>
  <c r="FK894" i="9"/>
  <c r="DX894" i="9"/>
  <c r="DY894" i="9" s="1"/>
  <c r="AB894" i="9"/>
  <c r="HB893" i="9"/>
  <c r="HA893" i="9"/>
  <c r="GZ893" i="9"/>
  <c r="GX893" i="9"/>
  <c r="GY893" i="9" s="1"/>
  <c r="GU893" i="9"/>
  <c r="GV893" i="9" s="1"/>
  <c r="FU893" i="9"/>
  <c r="FT893" i="9"/>
  <c r="FS893" i="9"/>
  <c r="FR893" i="9"/>
  <c r="FO893" i="9"/>
  <c r="FL893" i="9"/>
  <c r="FK893" i="9"/>
  <c r="DX893" i="9"/>
  <c r="DY893" i="9" s="1"/>
  <c r="AB893" i="9"/>
  <c r="HB892" i="9"/>
  <c r="HA892" i="9"/>
  <c r="GZ892" i="9"/>
  <c r="GX892" i="9"/>
  <c r="GY892" i="9" s="1"/>
  <c r="GU892" i="9"/>
  <c r="GV892" i="9" s="1"/>
  <c r="FU892" i="9"/>
  <c r="FT892" i="9"/>
  <c r="FS892" i="9"/>
  <c r="FR892" i="9"/>
  <c r="FO892" i="9"/>
  <c r="FL892" i="9"/>
  <c r="FK892" i="9"/>
  <c r="AB892" i="9"/>
  <c r="HB891" i="9"/>
  <c r="HA891" i="9"/>
  <c r="GZ891" i="9"/>
  <c r="GX891" i="9"/>
  <c r="GY891" i="9" s="1"/>
  <c r="GU891" i="9"/>
  <c r="GV891" i="9" s="1"/>
  <c r="FU891" i="9"/>
  <c r="FT891" i="9"/>
  <c r="FS891" i="9"/>
  <c r="FR891" i="9"/>
  <c r="FO891" i="9"/>
  <c r="FL891" i="9"/>
  <c r="FK891" i="9"/>
  <c r="DY891" i="9"/>
  <c r="ES891" i="9" s="1"/>
  <c r="HY891" i="9" s="1"/>
  <c r="AB891" i="9"/>
  <c r="HB890" i="9"/>
  <c r="HA890" i="9"/>
  <c r="GZ890" i="9"/>
  <c r="GX890" i="9"/>
  <c r="GY890" i="9" s="1"/>
  <c r="HC890" i="9" s="1"/>
  <c r="GU890" i="9"/>
  <c r="GV890" i="9" s="1"/>
  <c r="FU890" i="9"/>
  <c r="FT890" i="9"/>
  <c r="FS890" i="9"/>
  <c r="FR890" i="9"/>
  <c r="FO890" i="9"/>
  <c r="FV890" i="9" s="1"/>
  <c r="FL890" i="9"/>
  <c r="FK890" i="9"/>
  <c r="DY890" i="9"/>
  <c r="ES890" i="9" s="1"/>
  <c r="HY890" i="9" s="1"/>
  <c r="AB890" i="9"/>
  <c r="HB889" i="9"/>
  <c r="HA889" i="9"/>
  <c r="GZ889" i="9"/>
  <c r="GX889" i="9"/>
  <c r="GY889" i="9" s="1"/>
  <c r="GU889" i="9"/>
  <c r="GV889" i="9" s="1"/>
  <c r="FU889" i="9"/>
  <c r="FT889" i="9"/>
  <c r="FS889" i="9"/>
  <c r="FR889" i="9"/>
  <c r="FV889" i="9" s="1"/>
  <c r="FO889" i="9"/>
  <c r="FL889" i="9"/>
  <c r="FK889" i="9"/>
  <c r="DY889" i="9"/>
  <c r="ES889" i="9" s="1"/>
  <c r="HY889" i="9" s="1"/>
  <c r="AB889" i="9"/>
  <c r="HB888" i="9"/>
  <c r="HA888" i="9"/>
  <c r="GZ888" i="9"/>
  <c r="GX888" i="9"/>
  <c r="GY888" i="9" s="1"/>
  <c r="GU888" i="9"/>
  <c r="GV888" i="9" s="1"/>
  <c r="FU888" i="9"/>
  <c r="FT888" i="9"/>
  <c r="FS888" i="9"/>
  <c r="FR888" i="9"/>
  <c r="FO888" i="9"/>
  <c r="FL888" i="9"/>
  <c r="FK888" i="9"/>
  <c r="DX888" i="9"/>
  <c r="DX892" i="9" s="1"/>
  <c r="DY892" i="9" s="1"/>
  <c r="ES892" i="9" s="1"/>
  <c r="EU892" i="9" s="1"/>
  <c r="EY892" i="9" s="1"/>
  <c r="IA892" i="9" s="1"/>
  <c r="AB888" i="9"/>
  <c r="HM887" i="9"/>
  <c r="HW887" i="9" s="1"/>
  <c r="HL887" i="9"/>
  <c r="HK887" i="9"/>
  <c r="HI887" i="9"/>
  <c r="HJ887" i="9" s="1"/>
  <c r="HF887" i="9"/>
  <c r="HG887" i="9" s="1"/>
  <c r="DE887" i="9"/>
  <c r="DS887" i="9" s="1"/>
  <c r="DU887" i="9" s="1"/>
  <c r="HM886" i="9"/>
  <c r="HW886" i="9" s="1"/>
  <c r="HL886" i="9"/>
  <c r="HK886" i="9"/>
  <c r="HI886" i="9"/>
  <c r="HJ886" i="9" s="1"/>
  <c r="HN886" i="9" s="1"/>
  <c r="HF886" i="9"/>
  <c r="HG886" i="9" s="1"/>
  <c r="BT886" i="9"/>
  <c r="BY886" i="9" s="1"/>
  <c r="HM885" i="9"/>
  <c r="HW885" i="9" s="1"/>
  <c r="HL885" i="9"/>
  <c r="HK885" i="9"/>
  <c r="HI885" i="9"/>
  <c r="HJ885" i="9" s="1"/>
  <c r="HF885" i="9"/>
  <c r="HG885" i="9" s="1"/>
  <c r="HN885" i="9" s="1"/>
  <c r="AX885" i="9"/>
  <c r="AZ885" i="9" s="1"/>
  <c r="HY885" i="9" s="1"/>
  <c r="HI884" i="9"/>
  <c r="HJ884" i="9" s="1"/>
  <c r="HE884" i="9"/>
  <c r="GF884" i="9"/>
  <c r="GE884" i="9"/>
  <c r="GD884" i="9"/>
  <c r="GC884" i="9"/>
  <c r="FZ884" i="9"/>
  <c r="GG884" i="9" s="1"/>
  <c r="FU884" i="9"/>
  <c r="FT884" i="9"/>
  <c r="FS884" i="9"/>
  <c r="FR884" i="9"/>
  <c r="FO884" i="9"/>
  <c r="FL884" i="9"/>
  <c r="FK884" i="9"/>
  <c r="CE884" i="9"/>
  <c r="CF884" i="9" s="1"/>
  <c r="CY884" i="9" s="1"/>
  <c r="AB884" i="9"/>
  <c r="HI883" i="9"/>
  <c r="HJ883" i="9" s="1"/>
  <c r="HE883" i="9"/>
  <c r="HK883" i="9" s="1"/>
  <c r="GF883" i="9"/>
  <c r="GE883" i="9"/>
  <c r="GD883" i="9"/>
  <c r="GC883" i="9"/>
  <c r="FZ883" i="9"/>
  <c r="FU883" i="9"/>
  <c r="FT883" i="9"/>
  <c r="FS883" i="9"/>
  <c r="FR883" i="9"/>
  <c r="FO883" i="9"/>
  <c r="FL883" i="9"/>
  <c r="FK883" i="9"/>
  <c r="CE883" i="9"/>
  <c r="CF883" i="9" s="1"/>
  <c r="CY883" i="9" s="1"/>
  <c r="AB883" i="9"/>
  <c r="HI882" i="9"/>
  <c r="HJ882" i="9" s="1"/>
  <c r="HE882" i="9"/>
  <c r="HM882" i="9" s="1"/>
  <c r="HW882" i="9" s="1"/>
  <c r="GF882" i="9"/>
  <c r="GE882" i="9"/>
  <c r="GD882" i="9"/>
  <c r="GC882" i="9"/>
  <c r="FZ882" i="9"/>
  <c r="FU882" i="9"/>
  <c r="FT882" i="9"/>
  <c r="FS882" i="9"/>
  <c r="FR882" i="9"/>
  <c r="FO882" i="9"/>
  <c r="FL882" i="9"/>
  <c r="FK882" i="9"/>
  <c r="CE882" i="9"/>
  <c r="CF882" i="9" s="1"/>
  <c r="CY882" i="9" s="1"/>
  <c r="AB882" i="9"/>
  <c r="HI881" i="9"/>
  <c r="HJ881" i="9" s="1"/>
  <c r="HE881" i="9"/>
  <c r="GF881" i="9"/>
  <c r="GE881" i="9"/>
  <c r="GD881" i="9"/>
  <c r="GC881" i="9"/>
  <c r="FZ881" i="9"/>
  <c r="FU881" i="9"/>
  <c r="FT881" i="9"/>
  <c r="FS881" i="9"/>
  <c r="FR881" i="9"/>
  <c r="FO881" i="9"/>
  <c r="FL881" i="9"/>
  <c r="FK881" i="9"/>
  <c r="CE881" i="9"/>
  <c r="CF881" i="9" s="1"/>
  <c r="CY881" i="9" s="1"/>
  <c r="AB881" i="9"/>
  <c r="HI880" i="9"/>
  <c r="HJ880" i="9" s="1"/>
  <c r="HE880" i="9"/>
  <c r="GF880" i="9"/>
  <c r="GE880" i="9"/>
  <c r="GD880" i="9"/>
  <c r="GC880" i="9"/>
  <c r="FZ880" i="9"/>
  <c r="FU880" i="9"/>
  <c r="FT880" i="9"/>
  <c r="FS880" i="9"/>
  <c r="FR880" i="9"/>
  <c r="FO880" i="9"/>
  <c r="FL880" i="9"/>
  <c r="FK880" i="9"/>
  <c r="CE880" i="9"/>
  <c r="CF880" i="9" s="1"/>
  <c r="CY880" i="9" s="1"/>
  <c r="AB880" i="9"/>
  <c r="HI879" i="9"/>
  <c r="HJ879" i="9" s="1"/>
  <c r="HE879" i="9"/>
  <c r="HL879" i="9" s="1"/>
  <c r="GF879" i="9"/>
  <c r="GE879" i="9"/>
  <c r="GD879" i="9"/>
  <c r="GC879" i="9"/>
  <c r="FZ879" i="9"/>
  <c r="FU879" i="9"/>
  <c r="FT879" i="9"/>
  <c r="FS879" i="9"/>
  <c r="FR879" i="9"/>
  <c r="FO879" i="9"/>
  <c r="FL879" i="9"/>
  <c r="FK879" i="9"/>
  <c r="CF879" i="9"/>
  <c r="CY879" i="9" s="1"/>
  <c r="CZ879" i="9" s="1"/>
  <c r="HZ879" i="9" s="1"/>
  <c r="CE879" i="9"/>
  <c r="AB879" i="9"/>
  <c r="HI878" i="9"/>
  <c r="HJ878" i="9" s="1"/>
  <c r="HE878" i="9"/>
  <c r="HK878" i="9" s="1"/>
  <c r="GF878" i="9"/>
  <c r="GE878" i="9"/>
  <c r="GD878" i="9"/>
  <c r="GC878" i="9"/>
  <c r="FZ878" i="9"/>
  <c r="FU878" i="9"/>
  <c r="FT878" i="9"/>
  <c r="FS878" i="9"/>
  <c r="FR878" i="9"/>
  <c r="FO878" i="9"/>
  <c r="FL878" i="9"/>
  <c r="FK878" i="9"/>
  <c r="CE878" i="9"/>
  <c r="CF878" i="9" s="1"/>
  <c r="CY878" i="9" s="1"/>
  <c r="HY878" i="9" s="1"/>
  <c r="AB878" i="9"/>
  <c r="HI877" i="9"/>
  <c r="HJ877" i="9" s="1"/>
  <c r="HE877" i="9"/>
  <c r="HF877" i="9" s="1"/>
  <c r="HG877" i="9" s="1"/>
  <c r="GF877" i="9"/>
  <c r="GE877" i="9"/>
  <c r="GD877" i="9"/>
  <c r="GC877" i="9"/>
  <c r="GG877" i="9" s="1"/>
  <c r="FZ877" i="9"/>
  <c r="FU877" i="9"/>
  <c r="FT877" i="9"/>
  <c r="FS877" i="9"/>
  <c r="FR877" i="9"/>
  <c r="FO877" i="9"/>
  <c r="FL877" i="9"/>
  <c r="FK877" i="9"/>
  <c r="CE877" i="9"/>
  <c r="CF877" i="9" s="1"/>
  <c r="CY877" i="9" s="1"/>
  <c r="DA877" i="9" s="1"/>
  <c r="AB877" i="9"/>
  <c r="HI876" i="9"/>
  <c r="HJ876" i="9" s="1"/>
  <c r="HE876" i="9"/>
  <c r="HL876" i="9" s="1"/>
  <c r="GF876" i="9"/>
  <c r="GE876" i="9"/>
  <c r="GD876" i="9"/>
  <c r="GC876" i="9"/>
  <c r="FZ876" i="9"/>
  <c r="FU876" i="9"/>
  <c r="FT876" i="9"/>
  <c r="FS876" i="9"/>
  <c r="FR876" i="9"/>
  <c r="FO876" i="9"/>
  <c r="FL876" i="9"/>
  <c r="FK876" i="9"/>
  <c r="CE876" i="9"/>
  <c r="CF876" i="9" s="1"/>
  <c r="CY876" i="9" s="1"/>
  <c r="AB876" i="9"/>
  <c r="GF875" i="9"/>
  <c r="GE875" i="9"/>
  <c r="GD875" i="9"/>
  <c r="GC875" i="9"/>
  <c r="GG875" i="9" s="1"/>
  <c r="GB875" i="9"/>
  <c r="FZ875" i="9"/>
  <c r="FU875" i="9"/>
  <c r="FT875" i="9"/>
  <c r="FS875" i="9"/>
  <c r="FR875" i="9"/>
  <c r="FV875" i="9" s="1"/>
  <c r="FO875" i="9"/>
  <c r="FL875" i="9"/>
  <c r="FK875" i="9"/>
  <c r="BT875" i="9"/>
  <c r="BY875" i="9" s="1"/>
  <c r="BZ875" i="9" s="1"/>
  <c r="HZ875" i="9" s="1"/>
  <c r="BK875" i="9"/>
  <c r="BI875" i="9"/>
  <c r="AB875" i="9"/>
  <c r="GF874" i="9"/>
  <c r="GE874" i="9"/>
  <c r="GD874" i="9"/>
  <c r="GB874" i="9"/>
  <c r="GC874" i="9" s="1"/>
  <c r="GG874" i="9" s="1"/>
  <c r="FZ874" i="9"/>
  <c r="FU874" i="9"/>
  <c r="FT874" i="9"/>
  <c r="FS874" i="9"/>
  <c r="FR874" i="9"/>
  <c r="FO874" i="9"/>
  <c r="FL874" i="9"/>
  <c r="FK874" i="9"/>
  <c r="BT874" i="9"/>
  <c r="BY874" i="9" s="1"/>
  <c r="HY874" i="9" s="1"/>
  <c r="BS874" i="9"/>
  <c r="BK874" i="9"/>
  <c r="BI874" i="9"/>
  <c r="AB874" i="9"/>
  <c r="GF873" i="9"/>
  <c r="GE873" i="9"/>
  <c r="GD873" i="9"/>
  <c r="GB873" i="9"/>
  <c r="GC873" i="9" s="1"/>
  <c r="GG873" i="9" s="1"/>
  <c r="FZ873" i="9"/>
  <c r="FU873" i="9"/>
  <c r="FT873" i="9"/>
  <c r="FS873" i="9"/>
  <c r="FR873" i="9"/>
  <c r="FO873" i="9"/>
  <c r="FL873" i="9"/>
  <c r="FK873" i="9"/>
  <c r="BS873" i="9"/>
  <c r="BT873" i="9" s="1"/>
  <c r="BY873" i="9" s="1"/>
  <c r="BK873" i="9"/>
  <c r="BI873" i="9"/>
  <c r="AB873" i="9"/>
  <c r="GF872" i="9"/>
  <c r="GE872" i="9"/>
  <c r="GD872" i="9"/>
  <c r="GC872" i="9"/>
  <c r="GB872" i="9"/>
  <c r="FZ872" i="9"/>
  <c r="FU872" i="9"/>
  <c r="FT872" i="9"/>
  <c r="FS872" i="9"/>
  <c r="FR872" i="9"/>
  <c r="FO872" i="9"/>
  <c r="FL872" i="9"/>
  <c r="FK872" i="9"/>
  <c r="BS872" i="9"/>
  <c r="BT872" i="9" s="1"/>
  <c r="BY872" i="9" s="1"/>
  <c r="HY872" i="9" s="1"/>
  <c r="BK872" i="9"/>
  <c r="BI872" i="9"/>
  <c r="AB872" i="9"/>
  <c r="HM871" i="9"/>
  <c r="HW871" i="9" s="1"/>
  <c r="HL871" i="9"/>
  <c r="HK871" i="9"/>
  <c r="HJ871" i="9"/>
  <c r="HF871" i="9"/>
  <c r="HG871" i="9" s="1"/>
  <c r="GF871" i="9"/>
  <c r="GE871" i="9"/>
  <c r="GD871" i="9"/>
  <c r="GB871" i="9"/>
  <c r="GC871" i="9" s="1"/>
  <c r="FY871" i="9"/>
  <c r="FZ871" i="9" s="1"/>
  <c r="FU871" i="9"/>
  <c r="FT871" i="9"/>
  <c r="FS871" i="9"/>
  <c r="FR871" i="9"/>
  <c r="FO871" i="9"/>
  <c r="FL871" i="9"/>
  <c r="FK871" i="9"/>
  <c r="DE871" i="9"/>
  <c r="EW871" i="9" s="1"/>
  <c r="HY871" i="9" s="1"/>
  <c r="BZ871" i="9"/>
  <c r="BT871" i="9"/>
  <c r="BY871" i="9" s="1"/>
  <c r="CA871" i="9" s="1"/>
  <c r="AD871" i="9"/>
  <c r="AB871" i="9"/>
  <c r="HM870" i="9"/>
  <c r="HW870" i="9" s="1"/>
  <c r="HL870" i="9"/>
  <c r="HK870" i="9"/>
  <c r="HJ870" i="9"/>
  <c r="HN870" i="9" s="1"/>
  <c r="HG870" i="9"/>
  <c r="HF870" i="9"/>
  <c r="GF870" i="9"/>
  <c r="GE870" i="9"/>
  <c r="GD870" i="9"/>
  <c r="GB870" i="9"/>
  <c r="GC870" i="9" s="1"/>
  <c r="FY870" i="9"/>
  <c r="FZ870" i="9" s="1"/>
  <c r="FU870" i="9"/>
  <c r="FT870" i="9"/>
  <c r="FS870" i="9"/>
  <c r="FR870" i="9"/>
  <c r="FO870" i="9"/>
  <c r="FL870" i="9"/>
  <c r="FK870" i="9"/>
  <c r="DS870" i="9"/>
  <c r="DT870" i="9" s="1"/>
  <c r="DE870" i="9"/>
  <c r="BT870" i="9"/>
  <c r="AD870" i="9"/>
  <c r="AB870" i="9"/>
  <c r="HM869" i="9"/>
  <c r="HW869" i="9" s="1"/>
  <c r="HL869" i="9"/>
  <c r="HK869" i="9"/>
  <c r="HI869" i="9"/>
  <c r="HJ869" i="9" s="1"/>
  <c r="HF869" i="9"/>
  <c r="HG869" i="9" s="1"/>
  <c r="GF869" i="9"/>
  <c r="GE869" i="9"/>
  <c r="GD869" i="9"/>
  <c r="GB869" i="9"/>
  <c r="GC869" i="9" s="1"/>
  <c r="FY869" i="9"/>
  <c r="FZ869" i="9" s="1"/>
  <c r="FU869" i="9"/>
  <c r="FT869" i="9"/>
  <c r="FS869" i="9"/>
  <c r="FR869" i="9"/>
  <c r="FO869" i="9"/>
  <c r="FL869" i="9"/>
  <c r="FK869" i="9"/>
  <c r="DE869" i="9"/>
  <c r="DS869" i="9" s="1"/>
  <c r="BY869" i="9"/>
  <c r="BT869" i="9"/>
  <c r="AD869" i="9"/>
  <c r="AB869" i="9"/>
  <c r="HM868" i="9"/>
  <c r="HW868" i="9" s="1"/>
  <c r="HL868" i="9"/>
  <c r="HK868" i="9"/>
  <c r="HI868" i="9"/>
  <c r="HJ868" i="9" s="1"/>
  <c r="HN868" i="9" s="1"/>
  <c r="HF868" i="9"/>
  <c r="HG868" i="9" s="1"/>
  <c r="GF868" i="9"/>
  <c r="GE868" i="9"/>
  <c r="GD868" i="9"/>
  <c r="GB868" i="9"/>
  <c r="GC868" i="9" s="1"/>
  <c r="FY868" i="9"/>
  <c r="FZ868" i="9" s="1"/>
  <c r="FU868" i="9"/>
  <c r="FT868" i="9"/>
  <c r="FS868" i="9"/>
  <c r="FR868" i="9"/>
  <c r="FO868" i="9"/>
  <c r="FL868" i="9"/>
  <c r="FK868" i="9"/>
  <c r="CY868" i="9"/>
  <c r="HY868" i="9" s="1"/>
  <c r="CF868" i="9"/>
  <c r="AD868" i="9"/>
  <c r="AB868" i="9"/>
  <c r="HM867" i="9"/>
  <c r="HW867" i="9" s="1"/>
  <c r="HL867" i="9"/>
  <c r="HK867" i="9"/>
  <c r="HJ867" i="9"/>
  <c r="HF867" i="9"/>
  <c r="HG867" i="9" s="1"/>
  <c r="GF867" i="9"/>
  <c r="GE867" i="9"/>
  <c r="GD867" i="9"/>
  <c r="GB867" i="9"/>
  <c r="GC867" i="9" s="1"/>
  <c r="FY867" i="9"/>
  <c r="FZ867" i="9" s="1"/>
  <c r="FU867" i="9"/>
  <c r="FT867" i="9"/>
  <c r="FS867" i="9"/>
  <c r="FR867" i="9"/>
  <c r="FO867" i="9"/>
  <c r="FL867" i="9"/>
  <c r="FK867" i="9"/>
  <c r="CZ867" i="9"/>
  <c r="HZ867" i="9" s="1"/>
  <c r="CF867" i="9"/>
  <c r="CY867" i="9" s="1"/>
  <c r="DA867" i="9" s="1"/>
  <c r="HX867" i="9" s="1"/>
  <c r="AD867" i="9"/>
  <c r="AB867" i="9"/>
  <c r="HM866" i="9"/>
  <c r="HW866" i="9" s="1"/>
  <c r="HL866" i="9"/>
  <c r="HK866" i="9"/>
  <c r="HI866" i="9"/>
  <c r="HJ866" i="9" s="1"/>
  <c r="HF866" i="9"/>
  <c r="HG866" i="9" s="1"/>
  <c r="GF866" i="9"/>
  <c r="GE866" i="9"/>
  <c r="GD866" i="9"/>
  <c r="GB866" i="9"/>
  <c r="GC866" i="9" s="1"/>
  <c r="FY866" i="9"/>
  <c r="FZ866" i="9" s="1"/>
  <c r="FU866" i="9"/>
  <c r="FT866" i="9"/>
  <c r="FS866" i="9"/>
  <c r="FR866" i="9"/>
  <c r="FO866" i="9"/>
  <c r="FL866" i="9"/>
  <c r="FK866" i="9"/>
  <c r="CF866" i="9"/>
  <c r="CY866" i="9" s="1"/>
  <c r="AD866" i="9"/>
  <c r="AB866" i="9"/>
  <c r="HM865" i="9"/>
  <c r="HW865" i="9" s="1"/>
  <c r="HL865" i="9"/>
  <c r="HK865" i="9"/>
  <c r="HI865" i="9"/>
  <c r="HJ865" i="9" s="1"/>
  <c r="HN865" i="9" s="1"/>
  <c r="HF865" i="9"/>
  <c r="HG865" i="9" s="1"/>
  <c r="GF865" i="9"/>
  <c r="GE865" i="9"/>
  <c r="GD865" i="9"/>
  <c r="GB865" i="9"/>
  <c r="GC865" i="9" s="1"/>
  <c r="FY865" i="9"/>
  <c r="FZ865" i="9" s="1"/>
  <c r="FU865" i="9"/>
  <c r="FT865" i="9"/>
  <c r="FS865" i="9"/>
  <c r="FR865" i="9"/>
  <c r="FO865" i="9"/>
  <c r="FL865" i="9"/>
  <c r="FK865" i="9"/>
  <c r="BT865" i="9"/>
  <c r="BY865" i="9" s="1"/>
  <c r="BZ865" i="9" s="1"/>
  <c r="HZ865" i="9" s="1"/>
  <c r="AD865" i="9"/>
  <c r="AB865" i="9"/>
  <c r="HM864" i="9"/>
  <c r="HW864" i="9" s="1"/>
  <c r="HL864" i="9"/>
  <c r="HK864" i="9"/>
  <c r="HI864" i="9"/>
  <c r="HJ864" i="9" s="1"/>
  <c r="HF864" i="9"/>
  <c r="HG864" i="9" s="1"/>
  <c r="GF864" i="9"/>
  <c r="GE864" i="9"/>
  <c r="GD864" i="9"/>
  <c r="GB864" i="9"/>
  <c r="GC864" i="9" s="1"/>
  <c r="FY864" i="9"/>
  <c r="FZ864" i="9" s="1"/>
  <c r="FU864" i="9"/>
  <c r="FT864" i="9"/>
  <c r="FS864" i="9"/>
  <c r="FR864" i="9"/>
  <c r="FO864" i="9"/>
  <c r="FL864" i="9"/>
  <c r="FK864" i="9"/>
  <c r="BT864" i="9"/>
  <c r="BY864" i="9" s="1"/>
  <c r="AD864" i="9"/>
  <c r="AB864" i="9"/>
  <c r="HM863" i="9"/>
  <c r="HW863" i="9" s="1"/>
  <c r="HL863" i="9"/>
  <c r="HK863" i="9"/>
  <c r="HI863" i="9"/>
  <c r="HJ863" i="9" s="1"/>
  <c r="HF863" i="9"/>
  <c r="HG863" i="9" s="1"/>
  <c r="GF863" i="9"/>
  <c r="GE863" i="9"/>
  <c r="GD863" i="9"/>
  <c r="GB863" i="9"/>
  <c r="GC863" i="9" s="1"/>
  <c r="FY863" i="9"/>
  <c r="FZ863" i="9" s="1"/>
  <c r="FU863" i="9"/>
  <c r="FT863" i="9"/>
  <c r="FS863" i="9"/>
  <c r="FR863" i="9"/>
  <c r="FO863" i="9"/>
  <c r="FL863" i="9"/>
  <c r="FK863" i="9"/>
  <c r="BT863" i="9"/>
  <c r="BY863" i="9" s="1"/>
  <c r="BZ863" i="9" s="1"/>
  <c r="HZ863" i="9" s="1"/>
  <c r="AD863" i="9"/>
  <c r="AB863" i="9"/>
  <c r="HM862" i="9"/>
  <c r="HW862" i="9" s="1"/>
  <c r="HL862" i="9"/>
  <c r="HK862" i="9"/>
  <c r="HI862" i="9"/>
  <c r="HJ862" i="9" s="1"/>
  <c r="HF862" i="9"/>
  <c r="HG862" i="9" s="1"/>
  <c r="GF862" i="9"/>
  <c r="GE862" i="9"/>
  <c r="GD862" i="9"/>
  <c r="GB862" i="9"/>
  <c r="GC862" i="9" s="1"/>
  <c r="FY862" i="9"/>
  <c r="FZ862" i="9" s="1"/>
  <c r="FU862" i="9"/>
  <c r="FT862" i="9"/>
  <c r="FS862" i="9"/>
  <c r="FR862" i="9"/>
  <c r="FO862" i="9"/>
  <c r="FL862" i="9"/>
  <c r="FK862" i="9"/>
  <c r="DE862" i="9"/>
  <c r="DS862" i="9" s="1"/>
  <c r="AD862" i="9"/>
  <c r="AB862" i="9"/>
  <c r="HM861" i="9"/>
  <c r="HW861" i="9" s="1"/>
  <c r="HL861" i="9"/>
  <c r="HK861" i="9"/>
  <c r="HI861" i="9"/>
  <c r="HJ861" i="9" s="1"/>
  <c r="HF861" i="9"/>
  <c r="HG861" i="9" s="1"/>
  <c r="GF861" i="9"/>
  <c r="GE861" i="9"/>
  <c r="GD861" i="9"/>
  <c r="GB861" i="9"/>
  <c r="GC861" i="9" s="1"/>
  <c r="FY861" i="9"/>
  <c r="FZ861" i="9" s="1"/>
  <c r="FU861" i="9"/>
  <c r="FT861" i="9"/>
  <c r="FS861" i="9"/>
  <c r="FR861" i="9"/>
  <c r="FO861" i="9"/>
  <c r="FL861" i="9"/>
  <c r="FK861" i="9"/>
  <c r="DE861" i="9"/>
  <c r="DS861" i="9" s="1"/>
  <c r="AD861" i="9"/>
  <c r="AB861" i="9"/>
  <c r="HM860" i="9"/>
  <c r="HW860" i="9" s="1"/>
  <c r="HL860" i="9"/>
  <c r="HK860" i="9"/>
  <c r="HI860" i="9"/>
  <c r="HJ860" i="9" s="1"/>
  <c r="HF860" i="9"/>
  <c r="HG860" i="9" s="1"/>
  <c r="GF860" i="9"/>
  <c r="GE860" i="9"/>
  <c r="GD860" i="9"/>
  <c r="GB860" i="9"/>
  <c r="GC860" i="9" s="1"/>
  <c r="FY860" i="9"/>
  <c r="FZ860" i="9" s="1"/>
  <c r="FU860" i="9"/>
  <c r="FT860" i="9"/>
  <c r="FS860" i="9"/>
  <c r="FR860" i="9"/>
  <c r="FO860" i="9"/>
  <c r="FL860" i="9"/>
  <c r="FK860" i="9"/>
  <c r="DE860" i="9"/>
  <c r="DS860" i="9" s="1"/>
  <c r="AD860" i="9"/>
  <c r="AB860" i="9"/>
  <c r="HM859" i="9"/>
  <c r="HW859" i="9" s="1"/>
  <c r="HL859" i="9"/>
  <c r="HK859" i="9"/>
  <c r="HI859" i="9"/>
  <c r="HJ859" i="9" s="1"/>
  <c r="HF859" i="9"/>
  <c r="HG859" i="9" s="1"/>
  <c r="GF859" i="9"/>
  <c r="GE859" i="9"/>
  <c r="GD859" i="9"/>
  <c r="GB859" i="9"/>
  <c r="GC859" i="9" s="1"/>
  <c r="FY859" i="9"/>
  <c r="FZ859" i="9" s="1"/>
  <c r="FU859" i="9"/>
  <c r="FT859" i="9"/>
  <c r="FS859" i="9"/>
  <c r="FR859" i="9"/>
  <c r="FO859" i="9"/>
  <c r="FL859" i="9"/>
  <c r="FK859" i="9"/>
  <c r="DE859" i="9"/>
  <c r="DS859" i="9" s="1"/>
  <c r="AD859" i="9"/>
  <c r="AB859" i="9"/>
  <c r="HM858" i="9"/>
  <c r="HW858" i="9" s="1"/>
  <c r="HL858" i="9"/>
  <c r="HK858" i="9"/>
  <c r="HI858" i="9"/>
  <c r="HJ858" i="9" s="1"/>
  <c r="HF858" i="9"/>
  <c r="HG858" i="9" s="1"/>
  <c r="GF858" i="9"/>
  <c r="GE858" i="9"/>
  <c r="GD858" i="9"/>
  <c r="GB858" i="9"/>
  <c r="GC858" i="9" s="1"/>
  <c r="FY858" i="9"/>
  <c r="FZ858" i="9" s="1"/>
  <c r="FU858" i="9"/>
  <c r="FT858" i="9"/>
  <c r="FS858" i="9"/>
  <c r="FR858" i="9"/>
  <c r="FO858" i="9"/>
  <c r="FL858" i="9"/>
  <c r="FK858" i="9"/>
  <c r="DE858" i="9"/>
  <c r="DS858" i="9" s="1"/>
  <c r="AD858" i="9"/>
  <c r="AB858" i="9"/>
  <c r="HM857" i="9"/>
  <c r="HW857" i="9" s="1"/>
  <c r="HL857" i="9"/>
  <c r="HK857" i="9"/>
  <c r="HI857" i="9"/>
  <c r="HJ857" i="9" s="1"/>
  <c r="HF857" i="9"/>
  <c r="HG857" i="9" s="1"/>
  <c r="GF857" i="9"/>
  <c r="GE857" i="9"/>
  <c r="GD857" i="9"/>
  <c r="GB857" i="9"/>
  <c r="GC857" i="9" s="1"/>
  <c r="FY857" i="9"/>
  <c r="FZ857" i="9" s="1"/>
  <c r="FU857" i="9"/>
  <c r="FT857" i="9"/>
  <c r="FS857" i="9"/>
  <c r="FR857" i="9"/>
  <c r="FO857" i="9"/>
  <c r="FL857" i="9"/>
  <c r="FK857" i="9"/>
  <c r="DE857" i="9"/>
  <c r="DS857" i="9" s="1"/>
  <c r="AD857" i="9"/>
  <c r="AB857" i="9"/>
  <c r="HM856" i="9"/>
  <c r="HW856" i="9" s="1"/>
  <c r="HL856" i="9"/>
  <c r="HK856" i="9"/>
  <c r="HI856" i="9"/>
  <c r="HJ856" i="9" s="1"/>
  <c r="HF856" i="9"/>
  <c r="HG856" i="9" s="1"/>
  <c r="GF856" i="9"/>
  <c r="GE856" i="9"/>
  <c r="GD856" i="9"/>
  <c r="GB856" i="9"/>
  <c r="GC856" i="9" s="1"/>
  <c r="FY856" i="9"/>
  <c r="FZ856" i="9" s="1"/>
  <c r="FU856" i="9"/>
  <c r="FT856" i="9"/>
  <c r="FS856" i="9"/>
  <c r="FQ856" i="9"/>
  <c r="FR856" i="9" s="1"/>
  <c r="FN856" i="9"/>
  <c r="FO856" i="9" s="1"/>
  <c r="FL856" i="9"/>
  <c r="FK856" i="9"/>
  <c r="DD856" i="9"/>
  <c r="DE856" i="9" s="1"/>
  <c r="DS856" i="9" s="1"/>
  <c r="BT856" i="9"/>
  <c r="AB856" i="9"/>
  <c r="HM855" i="9"/>
  <c r="HW855" i="9" s="1"/>
  <c r="HL855" i="9"/>
  <c r="HK855" i="9"/>
  <c r="HI855" i="9"/>
  <c r="HJ855" i="9" s="1"/>
  <c r="HF855" i="9"/>
  <c r="HG855" i="9" s="1"/>
  <c r="GF855" i="9"/>
  <c r="GE855" i="9"/>
  <c r="GD855" i="9"/>
  <c r="GB855" i="9"/>
  <c r="GC855" i="9" s="1"/>
  <c r="FY855" i="9"/>
  <c r="FZ855" i="9" s="1"/>
  <c r="FU855" i="9"/>
  <c r="FT855" i="9"/>
  <c r="FS855" i="9"/>
  <c r="FQ855" i="9"/>
  <c r="FR855" i="9" s="1"/>
  <c r="FN855" i="9"/>
  <c r="FO855" i="9" s="1"/>
  <c r="FL855" i="9"/>
  <c r="FK855" i="9"/>
  <c r="DD855" i="9"/>
  <c r="DE855" i="9" s="1"/>
  <c r="DS855" i="9" s="1"/>
  <c r="BT855" i="9"/>
  <c r="AB855" i="9"/>
  <c r="HM854" i="9"/>
  <c r="HW854" i="9" s="1"/>
  <c r="HL854" i="9"/>
  <c r="HK854" i="9"/>
  <c r="HI854" i="9"/>
  <c r="HJ854" i="9" s="1"/>
  <c r="HF854" i="9"/>
  <c r="HG854" i="9" s="1"/>
  <c r="GF854" i="9"/>
  <c r="GE854" i="9"/>
  <c r="GD854" i="9"/>
  <c r="GB854" i="9"/>
  <c r="GC854" i="9" s="1"/>
  <c r="FY854" i="9"/>
  <c r="FZ854" i="9" s="1"/>
  <c r="FU854" i="9"/>
  <c r="FT854" i="9"/>
  <c r="FS854" i="9"/>
  <c r="FQ854" i="9"/>
  <c r="FR854" i="9" s="1"/>
  <c r="FN854" i="9"/>
  <c r="FO854" i="9" s="1"/>
  <c r="FL854" i="9"/>
  <c r="FK854" i="9"/>
  <c r="DD854" i="9"/>
  <c r="DE854" i="9" s="1"/>
  <c r="DS854" i="9" s="1"/>
  <c r="AB854" i="9"/>
  <c r="HM853" i="9"/>
  <c r="HW853" i="9" s="1"/>
  <c r="HL853" i="9"/>
  <c r="HK853" i="9"/>
  <c r="HI853" i="9"/>
  <c r="HJ853" i="9" s="1"/>
  <c r="HF853" i="9"/>
  <c r="HG853" i="9" s="1"/>
  <c r="GF853" i="9"/>
  <c r="GE853" i="9"/>
  <c r="GD853" i="9"/>
  <c r="GB853" i="9"/>
  <c r="GC853" i="9" s="1"/>
  <c r="FY853" i="9"/>
  <c r="FZ853" i="9" s="1"/>
  <c r="FU853" i="9"/>
  <c r="FT853" i="9"/>
  <c r="FS853" i="9"/>
  <c r="FQ853" i="9"/>
  <c r="FR853" i="9" s="1"/>
  <c r="FN853" i="9"/>
  <c r="FO853" i="9" s="1"/>
  <c r="FL853" i="9"/>
  <c r="FK853" i="9"/>
  <c r="DD853" i="9"/>
  <c r="DE853" i="9" s="1"/>
  <c r="DS853" i="9" s="1"/>
  <c r="HY853" i="9" s="1"/>
  <c r="AB853" i="9"/>
  <c r="HM852" i="9"/>
  <c r="HW852" i="9" s="1"/>
  <c r="HL852" i="9"/>
  <c r="HK852" i="9"/>
  <c r="HI852" i="9"/>
  <c r="HJ852" i="9" s="1"/>
  <c r="HN852" i="9" s="1"/>
  <c r="HF852" i="9"/>
  <c r="HG852" i="9" s="1"/>
  <c r="GF852" i="9"/>
  <c r="GE852" i="9"/>
  <c r="GD852" i="9"/>
  <c r="GB852" i="9"/>
  <c r="GC852" i="9" s="1"/>
  <c r="FY852" i="9"/>
  <c r="FZ852" i="9" s="1"/>
  <c r="FU852" i="9"/>
  <c r="FT852" i="9"/>
  <c r="FS852" i="9"/>
  <c r="FQ852" i="9"/>
  <c r="FR852" i="9" s="1"/>
  <c r="FN852" i="9"/>
  <c r="FO852" i="9" s="1"/>
  <c r="FL852" i="9"/>
  <c r="FK852" i="9"/>
  <c r="BZ852" i="9"/>
  <c r="HZ852" i="9" s="1"/>
  <c r="BT852" i="9"/>
  <c r="BY852" i="9" s="1"/>
  <c r="AB852" i="9"/>
  <c r="HM851" i="9"/>
  <c r="HW851" i="9" s="1"/>
  <c r="HL851" i="9"/>
  <c r="HK851" i="9"/>
  <c r="HI851" i="9"/>
  <c r="HJ851" i="9" s="1"/>
  <c r="HF851" i="9"/>
  <c r="HG851" i="9" s="1"/>
  <c r="HN851" i="9" s="1"/>
  <c r="GF851" i="9"/>
  <c r="GE851" i="9"/>
  <c r="GD851" i="9"/>
  <c r="GB851" i="9"/>
  <c r="GC851" i="9" s="1"/>
  <c r="FZ851" i="9"/>
  <c r="FY851" i="9"/>
  <c r="FU851" i="9"/>
  <c r="FT851" i="9"/>
  <c r="FS851" i="9"/>
  <c r="FR851" i="9"/>
  <c r="FQ851" i="9"/>
  <c r="FN851" i="9"/>
  <c r="FO851" i="9" s="1"/>
  <c r="FL851" i="9"/>
  <c r="FK851" i="9"/>
  <c r="BT851" i="9"/>
  <c r="BY851" i="9" s="1"/>
  <c r="AB851" i="9"/>
  <c r="HM850" i="9"/>
  <c r="HW850" i="9" s="1"/>
  <c r="HL850" i="9"/>
  <c r="HK850" i="9"/>
  <c r="HI850" i="9"/>
  <c r="HJ850" i="9" s="1"/>
  <c r="HF850" i="9"/>
  <c r="HG850" i="9" s="1"/>
  <c r="GF850" i="9"/>
  <c r="GE850" i="9"/>
  <c r="GC850" i="9"/>
  <c r="GB850" i="9"/>
  <c r="FZ850" i="9"/>
  <c r="FY850" i="9"/>
  <c r="FU850" i="9"/>
  <c r="FT850" i="9"/>
  <c r="FS850" i="9"/>
  <c r="FQ850" i="9"/>
  <c r="FR850" i="9" s="1"/>
  <c r="FN850" i="9"/>
  <c r="FO850" i="9" s="1"/>
  <c r="FL850" i="9"/>
  <c r="FK850" i="9"/>
  <c r="AX850" i="9"/>
  <c r="AZ850" i="9" s="1"/>
  <c r="AB850" i="9"/>
  <c r="HM849" i="9"/>
  <c r="HW849" i="9" s="1"/>
  <c r="HL849" i="9"/>
  <c r="HK849" i="9"/>
  <c r="HI849" i="9"/>
  <c r="HJ849" i="9" s="1"/>
  <c r="HF849" i="9"/>
  <c r="HG849" i="9" s="1"/>
  <c r="GF849" i="9"/>
  <c r="GE849" i="9"/>
  <c r="GB849" i="9"/>
  <c r="GC849" i="9" s="1"/>
  <c r="FY849" i="9"/>
  <c r="FZ849" i="9" s="1"/>
  <c r="FU849" i="9"/>
  <c r="FT849" i="9"/>
  <c r="FS849" i="9"/>
  <c r="FQ849" i="9"/>
  <c r="FR849" i="9" s="1"/>
  <c r="FN849" i="9"/>
  <c r="FO849" i="9" s="1"/>
  <c r="FL849" i="9"/>
  <c r="FK849" i="9"/>
  <c r="AX849" i="9"/>
  <c r="AZ849" i="9" s="1"/>
  <c r="BA849" i="9" s="1"/>
  <c r="HZ849" i="9" s="1"/>
  <c r="AB849" i="9"/>
  <c r="HM848" i="9"/>
  <c r="HW848" i="9" s="1"/>
  <c r="HL848" i="9"/>
  <c r="HK848" i="9"/>
  <c r="HI848" i="9"/>
  <c r="HJ848" i="9" s="1"/>
  <c r="HF848" i="9"/>
  <c r="HG848" i="9" s="1"/>
  <c r="GF848" i="9"/>
  <c r="GE848" i="9"/>
  <c r="GB848" i="9"/>
  <c r="GC848" i="9" s="1"/>
  <c r="FY848" i="9"/>
  <c r="FZ848" i="9" s="1"/>
  <c r="FU848" i="9"/>
  <c r="FT848" i="9"/>
  <c r="FS848" i="9"/>
  <c r="FQ848" i="9"/>
  <c r="FR848" i="9" s="1"/>
  <c r="FN848" i="9"/>
  <c r="FO848" i="9" s="1"/>
  <c r="FL848" i="9"/>
  <c r="FK848" i="9"/>
  <c r="AZ848" i="9"/>
  <c r="HY848" i="9" s="1"/>
  <c r="AX848" i="9"/>
  <c r="AB848" i="9"/>
  <c r="HM847" i="9"/>
  <c r="HW847" i="9" s="1"/>
  <c r="HL847" i="9"/>
  <c r="HK847" i="9"/>
  <c r="HI847" i="9"/>
  <c r="HJ847" i="9" s="1"/>
  <c r="HF847" i="9"/>
  <c r="HG847" i="9" s="1"/>
  <c r="FU847" i="9"/>
  <c r="FT847" i="9"/>
  <c r="FS847" i="9"/>
  <c r="FQ847" i="9"/>
  <c r="FR847" i="9" s="1"/>
  <c r="FN847" i="9"/>
  <c r="FO847" i="9" s="1"/>
  <c r="FL847" i="9"/>
  <c r="FK847" i="9"/>
  <c r="CZ847" i="9"/>
  <c r="HZ847" i="9" s="1"/>
  <c r="CY847" i="9"/>
  <c r="DA847" i="9" s="1"/>
  <c r="IA847" i="9" s="1"/>
  <c r="AX847" i="9"/>
  <c r="AZ847" i="9" s="1"/>
  <c r="BA847" i="9" s="1"/>
  <c r="AB847" i="9"/>
  <c r="HM846" i="9"/>
  <c r="HW846" i="9" s="1"/>
  <c r="HL846" i="9"/>
  <c r="HK846" i="9"/>
  <c r="HI846" i="9"/>
  <c r="HJ846" i="9" s="1"/>
  <c r="HF846" i="9"/>
  <c r="HG846" i="9" s="1"/>
  <c r="FU846" i="9"/>
  <c r="FT846" i="9"/>
  <c r="FS846" i="9"/>
  <c r="FQ846" i="9"/>
  <c r="FR846" i="9" s="1"/>
  <c r="FN846" i="9"/>
  <c r="FO846" i="9" s="1"/>
  <c r="FL846" i="9"/>
  <c r="FK846" i="9"/>
  <c r="AX846" i="9"/>
  <c r="AZ846" i="9" s="1"/>
  <c r="AB846" i="9"/>
  <c r="HM845" i="9"/>
  <c r="HW845" i="9" s="1"/>
  <c r="HL845" i="9"/>
  <c r="HK845" i="9"/>
  <c r="HI845" i="9"/>
  <c r="HJ845" i="9" s="1"/>
  <c r="HF845" i="9"/>
  <c r="HG845" i="9" s="1"/>
  <c r="GF845" i="9"/>
  <c r="GE845" i="9"/>
  <c r="GB845" i="9"/>
  <c r="GC845" i="9" s="1"/>
  <c r="FY845" i="9"/>
  <c r="FZ845" i="9" s="1"/>
  <c r="FU845" i="9"/>
  <c r="FT845" i="9"/>
  <c r="FS845" i="9"/>
  <c r="FQ845" i="9"/>
  <c r="FR845" i="9" s="1"/>
  <c r="FN845" i="9"/>
  <c r="FO845" i="9" s="1"/>
  <c r="FL845" i="9"/>
  <c r="FK845" i="9"/>
  <c r="AX845" i="9"/>
  <c r="AZ845" i="9" s="1"/>
  <c r="AB845" i="9"/>
  <c r="HM844" i="9"/>
  <c r="HW844" i="9" s="1"/>
  <c r="HL844" i="9"/>
  <c r="HK844" i="9"/>
  <c r="HJ844" i="9"/>
  <c r="HI844" i="9"/>
  <c r="HF844" i="9"/>
  <c r="HG844" i="9" s="1"/>
  <c r="GF844" i="9"/>
  <c r="GE844" i="9"/>
  <c r="GB844" i="9"/>
  <c r="GC844" i="9" s="1"/>
  <c r="FY844" i="9"/>
  <c r="FZ844" i="9" s="1"/>
  <c r="FU844" i="9"/>
  <c r="FT844" i="9"/>
  <c r="FS844" i="9"/>
  <c r="FQ844" i="9"/>
  <c r="FR844" i="9" s="1"/>
  <c r="FV844" i="9" s="1"/>
  <c r="FN844" i="9"/>
  <c r="FO844" i="9" s="1"/>
  <c r="FL844" i="9"/>
  <c r="FK844" i="9"/>
  <c r="AX844" i="9"/>
  <c r="AZ844" i="9" s="1"/>
  <c r="AB844" i="9"/>
  <c r="HM843" i="9"/>
  <c r="HW843" i="9" s="1"/>
  <c r="HL843" i="9"/>
  <c r="HK843" i="9"/>
  <c r="HI843" i="9"/>
  <c r="HJ843" i="9" s="1"/>
  <c r="HF843" i="9"/>
  <c r="HG843" i="9" s="1"/>
  <c r="GF843" i="9"/>
  <c r="GE843" i="9"/>
  <c r="GB843" i="9"/>
  <c r="GC843" i="9" s="1"/>
  <c r="FY843" i="9"/>
  <c r="FZ843" i="9" s="1"/>
  <c r="FU843" i="9"/>
  <c r="FT843" i="9"/>
  <c r="FS843" i="9"/>
  <c r="FQ843" i="9"/>
  <c r="FR843" i="9" s="1"/>
  <c r="FN843" i="9"/>
  <c r="FO843" i="9" s="1"/>
  <c r="FL843" i="9"/>
  <c r="FK843" i="9"/>
  <c r="AX843" i="9"/>
  <c r="AZ843" i="9" s="1"/>
  <c r="AB843" i="9"/>
  <c r="HM842" i="9"/>
  <c r="HW842" i="9" s="1"/>
  <c r="HL842" i="9"/>
  <c r="HK842" i="9"/>
  <c r="HJ842" i="9"/>
  <c r="HI842" i="9"/>
  <c r="HF842" i="9"/>
  <c r="HG842" i="9" s="1"/>
  <c r="GF842" i="9"/>
  <c r="GE842" i="9"/>
  <c r="GB842" i="9"/>
  <c r="GC842" i="9" s="1"/>
  <c r="FY842" i="9"/>
  <c r="FZ842" i="9" s="1"/>
  <c r="FU842" i="9"/>
  <c r="FT842" i="9"/>
  <c r="FS842" i="9"/>
  <c r="FQ842" i="9"/>
  <c r="FR842" i="9" s="1"/>
  <c r="FN842" i="9"/>
  <c r="FO842" i="9" s="1"/>
  <c r="FL842" i="9"/>
  <c r="FK842" i="9"/>
  <c r="AX842" i="9"/>
  <c r="AZ842" i="9" s="1"/>
  <c r="AB842" i="9"/>
  <c r="HM841" i="9"/>
  <c r="HW841" i="9" s="1"/>
  <c r="HL841" i="9"/>
  <c r="HK841" i="9"/>
  <c r="HI841" i="9"/>
  <c r="HJ841" i="9" s="1"/>
  <c r="HG841" i="9"/>
  <c r="HF841" i="9"/>
  <c r="GF841" i="9"/>
  <c r="GE841" i="9"/>
  <c r="GB841" i="9"/>
  <c r="GC841" i="9" s="1"/>
  <c r="FY841" i="9"/>
  <c r="FZ841" i="9" s="1"/>
  <c r="FU841" i="9"/>
  <c r="FT841" i="9"/>
  <c r="FS841" i="9"/>
  <c r="FQ841" i="9"/>
  <c r="FR841" i="9" s="1"/>
  <c r="FN841" i="9"/>
  <c r="FO841" i="9" s="1"/>
  <c r="FL841" i="9"/>
  <c r="FK841" i="9"/>
  <c r="AX841" i="9"/>
  <c r="AZ841" i="9" s="1"/>
  <c r="AB841" i="9"/>
  <c r="HM840" i="9"/>
  <c r="HW840" i="9" s="1"/>
  <c r="HL840" i="9"/>
  <c r="HK840" i="9"/>
  <c r="HI840" i="9"/>
  <c r="HJ840" i="9" s="1"/>
  <c r="HF840" i="9"/>
  <c r="HG840" i="9" s="1"/>
  <c r="GF840" i="9"/>
  <c r="GE840" i="9"/>
  <c r="GB840" i="9"/>
  <c r="GC840" i="9" s="1"/>
  <c r="FY840" i="9"/>
  <c r="FZ840" i="9" s="1"/>
  <c r="FU840" i="9"/>
  <c r="FT840" i="9"/>
  <c r="FS840" i="9"/>
  <c r="FQ840" i="9"/>
  <c r="FR840" i="9" s="1"/>
  <c r="FN840" i="9"/>
  <c r="FO840" i="9" s="1"/>
  <c r="FL840" i="9"/>
  <c r="FK840" i="9"/>
  <c r="AX840" i="9"/>
  <c r="AZ840" i="9" s="1"/>
  <c r="AB840" i="9"/>
  <c r="HM839" i="9"/>
  <c r="HW839" i="9" s="1"/>
  <c r="HL839" i="9"/>
  <c r="HK839" i="9"/>
  <c r="HJ839" i="9"/>
  <c r="HI839" i="9"/>
  <c r="HF839" i="9"/>
  <c r="HG839" i="9" s="1"/>
  <c r="GF839" i="9"/>
  <c r="GE839" i="9"/>
  <c r="GB839" i="9"/>
  <c r="GC839" i="9" s="1"/>
  <c r="FY839" i="9"/>
  <c r="FZ839" i="9" s="1"/>
  <c r="FU839" i="9"/>
  <c r="FT839" i="9"/>
  <c r="FS839" i="9"/>
  <c r="FQ839" i="9"/>
  <c r="FR839" i="9" s="1"/>
  <c r="FN839" i="9"/>
  <c r="FO839" i="9" s="1"/>
  <c r="FL839" i="9"/>
  <c r="FK839" i="9"/>
  <c r="AX839" i="9"/>
  <c r="AZ839" i="9" s="1"/>
  <c r="AB839" i="9"/>
  <c r="HM838" i="9"/>
  <c r="HW838" i="9" s="1"/>
  <c r="HL838" i="9"/>
  <c r="HK838" i="9"/>
  <c r="HI838" i="9"/>
  <c r="HJ838" i="9" s="1"/>
  <c r="HF838" i="9"/>
  <c r="HG838" i="9" s="1"/>
  <c r="GF838" i="9"/>
  <c r="GE838" i="9"/>
  <c r="GB838" i="9"/>
  <c r="GC838" i="9" s="1"/>
  <c r="FY838" i="9"/>
  <c r="FZ838" i="9" s="1"/>
  <c r="FU838" i="9"/>
  <c r="FT838" i="9"/>
  <c r="FS838" i="9"/>
  <c r="FQ838" i="9"/>
  <c r="FR838" i="9" s="1"/>
  <c r="FN838" i="9"/>
  <c r="FO838" i="9" s="1"/>
  <c r="FL838" i="9"/>
  <c r="FK838" i="9"/>
  <c r="AX838" i="9"/>
  <c r="AZ838" i="9" s="1"/>
  <c r="AB838" i="9"/>
  <c r="HM837" i="9"/>
  <c r="HW837" i="9" s="1"/>
  <c r="HL837" i="9"/>
  <c r="HK837" i="9"/>
  <c r="HI837" i="9"/>
  <c r="HJ837" i="9" s="1"/>
  <c r="HF837" i="9"/>
  <c r="HG837" i="9" s="1"/>
  <c r="GF837" i="9"/>
  <c r="GE837" i="9"/>
  <c r="GB837" i="9"/>
  <c r="GC837" i="9" s="1"/>
  <c r="FY837" i="9"/>
  <c r="FZ837" i="9" s="1"/>
  <c r="FU837" i="9"/>
  <c r="FT837" i="9"/>
  <c r="FS837" i="9"/>
  <c r="FQ837" i="9"/>
  <c r="FR837" i="9" s="1"/>
  <c r="FN837" i="9"/>
  <c r="FO837" i="9" s="1"/>
  <c r="FL837" i="9"/>
  <c r="FK837" i="9"/>
  <c r="AX837" i="9"/>
  <c r="AZ837" i="9" s="1"/>
  <c r="AB837" i="9"/>
  <c r="HM836" i="9"/>
  <c r="HW836" i="9" s="1"/>
  <c r="HL836" i="9"/>
  <c r="HK836" i="9"/>
  <c r="HJ836" i="9"/>
  <c r="HI836" i="9"/>
  <c r="HF836" i="9"/>
  <c r="HG836" i="9" s="1"/>
  <c r="GF836" i="9"/>
  <c r="GE836" i="9"/>
  <c r="GB836" i="9"/>
  <c r="GC836" i="9" s="1"/>
  <c r="FY836" i="9"/>
  <c r="FZ836" i="9" s="1"/>
  <c r="FU836" i="9"/>
  <c r="FT836" i="9"/>
  <c r="FS836" i="9"/>
  <c r="FQ836" i="9"/>
  <c r="FR836" i="9" s="1"/>
  <c r="FN836" i="9"/>
  <c r="FO836" i="9" s="1"/>
  <c r="FL836" i="9"/>
  <c r="FK836" i="9"/>
  <c r="AX836" i="9"/>
  <c r="AZ836" i="9" s="1"/>
  <c r="AB836" i="9"/>
  <c r="HM835" i="9"/>
  <c r="HW835" i="9" s="1"/>
  <c r="HL835" i="9"/>
  <c r="HK835" i="9"/>
  <c r="HI835" i="9"/>
  <c r="HJ835" i="9" s="1"/>
  <c r="HF835" i="9"/>
  <c r="HG835" i="9" s="1"/>
  <c r="GF835" i="9"/>
  <c r="GE835" i="9"/>
  <c r="GB835" i="9"/>
  <c r="GC835" i="9" s="1"/>
  <c r="FY835" i="9"/>
  <c r="FZ835" i="9" s="1"/>
  <c r="FU835" i="9"/>
  <c r="FT835" i="9"/>
  <c r="FS835" i="9"/>
  <c r="FQ835" i="9"/>
  <c r="FR835" i="9" s="1"/>
  <c r="FN835" i="9"/>
  <c r="FO835" i="9" s="1"/>
  <c r="FL835" i="9"/>
  <c r="FK835" i="9"/>
  <c r="AX835" i="9"/>
  <c r="AZ835" i="9" s="1"/>
  <c r="AB835" i="9"/>
  <c r="HM834" i="9"/>
  <c r="HW834" i="9" s="1"/>
  <c r="HL834" i="9"/>
  <c r="HK834" i="9"/>
  <c r="HJ834" i="9"/>
  <c r="HG834" i="9"/>
  <c r="GF834" i="9"/>
  <c r="GE834" i="9"/>
  <c r="GC834" i="9"/>
  <c r="FZ834" i="9"/>
  <c r="FU834" i="9"/>
  <c r="FT834" i="9"/>
  <c r="FS834" i="9"/>
  <c r="FR834" i="9"/>
  <c r="FO834" i="9"/>
  <c r="FL834" i="9"/>
  <c r="FK834" i="9"/>
  <c r="BY834" i="9"/>
  <c r="CA834" i="9" s="1"/>
  <c r="AX834" i="9"/>
  <c r="AZ834" i="9" s="1"/>
  <c r="AB834" i="9"/>
  <c r="HM833" i="9"/>
  <c r="HW833" i="9" s="1"/>
  <c r="HL833" i="9"/>
  <c r="HK833" i="9"/>
  <c r="HJ833" i="9"/>
  <c r="HG833" i="9"/>
  <c r="GF833" i="9"/>
  <c r="GE833" i="9"/>
  <c r="GC833" i="9"/>
  <c r="FZ833" i="9"/>
  <c r="FU833" i="9"/>
  <c r="FT833" i="9"/>
  <c r="FS833" i="9"/>
  <c r="FR833" i="9"/>
  <c r="FO833" i="9"/>
  <c r="FV833" i="9" s="1"/>
  <c r="FL833" i="9"/>
  <c r="FK833" i="9"/>
  <c r="CA833" i="9"/>
  <c r="BY833" i="9"/>
  <c r="HY833" i="9" s="1"/>
  <c r="AX833" i="9"/>
  <c r="AZ833" i="9" s="1"/>
  <c r="AB833" i="9"/>
  <c r="HM832" i="9"/>
  <c r="HW832" i="9" s="1"/>
  <c r="HL832" i="9"/>
  <c r="HK832" i="9"/>
  <c r="HJ832" i="9"/>
  <c r="HG832" i="9"/>
  <c r="GF832" i="9"/>
  <c r="GE832" i="9"/>
  <c r="GC832" i="9"/>
  <c r="FZ832" i="9"/>
  <c r="FU832" i="9"/>
  <c r="FT832" i="9"/>
  <c r="FS832" i="9"/>
  <c r="FR832" i="9"/>
  <c r="FV832" i="9" s="1"/>
  <c r="FO832" i="9"/>
  <c r="FL832" i="9"/>
  <c r="FK832" i="9"/>
  <c r="AX832" i="9"/>
  <c r="AZ832" i="9" s="1"/>
  <c r="AB832" i="9"/>
  <c r="HM831" i="9"/>
  <c r="HW831" i="9" s="1"/>
  <c r="HL831" i="9"/>
  <c r="HK831" i="9"/>
  <c r="HJ831" i="9"/>
  <c r="HG831" i="9"/>
  <c r="GF831" i="9"/>
  <c r="GE831" i="9"/>
  <c r="GC831" i="9"/>
  <c r="FZ831" i="9"/>
  <c r="FU831" i="9"/>
  <c r="FT831" i="9"/>
  <c r="FS831" i="9"/>
  <c r="FR831" i="9"/>
  <c r="FO831" i="9"/>
  <c r="FL831" i="9"/>
  <c r="FK831" i="9"/>
  <c r="AX831" i="9"/>
  <c r="AZ831" i="9" s="1"/>
  <c r="BB831" i="9" s="1"/>
  <c r="AB831" i="9"/>
  <c r="HM830" i="9"/>
  <c r="HW830" i="9" s="1"/>
  <c r="HL830" i="9"/>
  <c r="HK830" i="9"/>
  <c r="HJ830" i="9"/>
  <c r="HI830" i="9"/>
  <c r="HF830" i="9"/>
  <c r="HG830" i="9" s="1"/>
  <c r="GF830" i="9"/>
  <c r="GE830" i="9"/>
  <c r="GB830" i="9"/>
  <c r="GC830" i="9" s="1"/>
  <c r="FY830" i="9"/>
  <c r="FZ830" i="9" s="1"/>
  <c r="AX830" i="9"/>
  <c r="AZ830" i="9" s="1"/>
  <c r="AB830" i="9"/>
  <c r="HM829" i="9"/>
  <c r="HW829" i="9" s="1"/>
  <c r="HL829" i="9"/>
  <c r="HK829" i="9"/>
  <c r="HI829" i="9"/>
  <c r="HJ829" i="9" s="1"/>
  <c r="HF829" i="9"/>
  <c r="HG829" i="9" s="1"/>
  <c r="GF829" i="9"/>
  <c r="GE829" i="9"/>
  <c r="GB829" i="9"/>
  <c r="GC829" i="9" s="1"/>
  <c r="FY829" i="9"/>
  <c r="FZ829" i="9" s="1"/>
  <c r="AX829" i="9"/>
  <c r="AZ829" i="9" s="1"/>
  <c r="AB829" i="9"/>
  <c r="HM828" i="9"/>
  <c r="HW828" i="9" s="1"/>
  <c r="HL828" i="9"/>
  <c r="HK828" i="9"/>
  <c r="HI828" i="9"/>
  <c r="HJ828" i="9" s="1"/>
  <c r="HF828" i="9"/>
  <c r="HG828" i="9" s="1"/>
  <c r="GF828" i="9"/>
  <c r="GE828" i="9"/>
  <c r="GB828" i="9"/>
  <c r="GC828" i="9" s="1"/>
  <c r="FY828" i="9"/>
  <c r="FZ828" i="9" s="1"/>
  <c r="AX828" i="9"/>
  <c r="AZ828" i="9" s="1"/>
  <c r="AB828" i="9"/>
  <c r="HM827" i="9"/>
  <c r="HW827" i="9" s="1"/>
  <c r="HL827" i="9"/>
  <c r="HK827" i="9"/>
  <c r="HI827" i="9"/>
  <c r="HJ827" i="9" s="1"/>
  <c r="HF827" i="9"/>
  <c r="HG827" i="9" s="1"/>
  <c r="FU827" i="9"/>
  <c r="FT827" i="9"/>
  <c r="FS827" i="9"/>
  <c r="FQ827" i="9"/>
  <c r="FR827" i="9" s="1"/>
  <c r="FN827" i="9"/>
  <c r="FO827" i="9" s="1"/>
  <c r="FL827" i="9"/>
  <c r="FK827" i="9"/>
  <c r="AX827" i="9"/>
  <c r="AZ827" i="9" s="1"/>
  <c r="AB827" i="9"/>
  <c r="HM826" i="9"/>
  <c r="HW826" i="9" s="1"/>
  <c r="HL826" i="9"/>
  <c r="HK826" i="9"/>
  <c r="HI826" i="9"/>
  <c r="HJ826" i="9" s="1"/>
  <c r="HN826" i="9" s="1"/>
  <c r="HF826" i="9"/>
  <c r="HG826" i="9" s="1"/>
  <c r="FU826" i="9"/>
  <c r="FT826" i="9"/>
  <c r="FS826" i="9"/>
  <c r="FQ826" i="9"/>
  <c r="FR826" i="9" s="1"/>
  <c r="FN826" i="9"/>
  <c r="FO826" i="9" s="1"/>
  <c r="FL826" i="9"/>
  <c r="FK826" i="9"/>
  <c r="AX826" i="9"/>
  <c r="AZ826" i="9" s="1"/>
  <c r="AB826" i="9"/>
  <c r="HM825" i="9"/>
  <c r="HW825" i="9" s="1"/>
  <c r="HL825" i="9"/>
  <c r="HK825" i="9"/>
  <c r="HI825" i="9"/>
  <c r="HJ825" i="9" s="1"/>
  <c r="HF825" i="9"/>
  <c r="HG825" i="9" s="1"/>
  <c r="FU825" i="9"/>
  <c r="FT825" i="9"/>
  <c r="FS825" i="9"/>
  <c r="FQ825" i="9"/>
  <c r="FR825" i="9" s="1"/>
  <c r="FN825" i="9"/>
  <c r="FO825" i="9" s="1"/>
  <c r="FL825" i="9"/>
  <c r="FK825" i="9"/>
  <c r="AZ825" i="9"/>
  <c r="BB825" i="9" s="1"/>
  <c r="AX825" i="9"/>
  <c r="AB825" i="9"/>
  <c r="HM824" i="9"/>
  <c r="HW824" i="9" s="1"/>
  <c r="HL824" i="9"/>
  <c r="HK824" i="9"/>
  <c r="HI824" i="9"/>
  <c r="HJ824" i="9" s="1"/>
  <c r="HF824" i="9"/>
  <c r="HG824" i="9" s="1"/>
  <c r="FU824" i="9"/>
  <c r="FT824" i="9"/>
  <c r="FS824" i="9"/>
  <c r="FQ824" i="9"/>
  <c r="FR824" i="9" s="1"/>
  <c r="FN824" i="9"/>
  <c r="FO824" i="9" s="1"/>
  <c r="FL824" i="9"/>
  <c r="FK824" i="9"/>
  <c r="AX824" i="9"/>
  <c r="AZ824" i="9" s="1"/>
  <c r="BA824" i="9" s="1"/>
  <c r="HZ824" i="9" s="1"/>
  <c r="AB824" i="9"/>
  <c r="HM823" i="9"/>
  <c r="HW823" i="9" s="1"/>
  <c r="HL823" i="9"/>
  <c r="HK823" i="9"/>
  <c r="HI823" i="9"/>
  <c r="HJ823" i="9" s="1"/>
  <c r="HF823" i="9"/>
  <c r="HG823" i="9" s="1"/>
  <c r="FU823" i="9"/>
  <c r="FT823" i="9"/>
  <c r="FS823" i="9"/>
  <c r="FR823" i="9"/>
  <c r="FQ823" i="9"/>
  <c r="FN823" i="9"/>
  <c r="FO823" i="9" s="1"/>
  <c r="FL823" i="9"/>
  <c r="FK823" i="9"/>
  <c r="AX823" i="9"/>
  <c r="AZ823" i="9" s="1"/>
  <c r="AB823" i="9"/>
  <c r="HM822" i="9"/>
  <c r="HW822" i="9" s="1"/>
  <c r="HL822" i="9"/>
  <c r="HK822" i="9"/>
  <c r="HI822" i="9"/>
  <c r="HJ822" i="9" s="1"/>
  <c r="HF822" i="9"/>
  <c r="HG822" i="9" s="1"/>
  <c r="FU822" i="9"/>
  <c r="FT822" i="9"/>
  <c r="FS822" i="9"/>
  <c r="FQ822" i="9"/>
  <c r="FR822" i="9" s="1"/>
  <c r="FV822" i="9" s="1"/>
  <c r="FN822" i="9"/>
  <c r="FO822" i="9" s="1"/>
  <c r="FL822" i="9"/>
  <c r="FK822" i="9"/>
  <c r="AX822" i="9"/>
  <c r="AZ822" i="9" s="1"/>
  <c r="AB822" i="9"/>
  <c r="HM821" i="9"/>
  <c r="HW821" i="9" s="1"/>
  <c r="HL821" i="9"/>
  <c r="HK821" i="9"/>
  <c r="HI821" i="9"/>
  <c r="HJ821" i="9" s="1"/>
  <c r="HF821" i="9"/>
  <c r="HG821" i="9" s="1"/>
  <c r="FU821" i="9"/>
  <c r="FT821" i="9"/>
  <c r="FS821" i="9"/>
  <c r="FQ821" i="9"/>
  <c r="FR821" i="9" s="1"/>
  <c r="FN821" i="9"/>
  <c r="FO821" i="9" s="1"/>
  <c r="FL821" i="9"/>
  <c r="FK821" i="9"/>
  <c r="AX821" i="9"/>
  <c r="AZ821" i="9" s="1"/>
  <c r="BA821" i="9" s="1"/>
  <c r="HZ821" i="9" s="1"/>
  <c r="AB821" i="9"/>
  <c r="HM820" i="9"/>
  <c r="HW820" i="9" s="1"/>
  <c r="HL820" i="9"/>
  <c r="HK820" i="9"/>
  <c r="HI820" i="9"/>
  <c r="HJ820" i="9" s="1"/>
  <c r="HF820" i="9"/>
  <c r="HG820" i="9" s="1"/>
  <c r="FU820" i="9"/>
  <c r="FT820" i="9"/>
  <c r="FS820" i="9"/>
  <c r="FQ820" i="9"/>
  <c r="FR820" i="9" s="1"/>
  <c r="FV820" i="9" s="1"/>
  <c r="FN820" i="9"/>
  <c r="FO820" i="9" s="1"/>
  <c r="FL820" i="9"/>
  <c r="FK820" i="9"/>
  <c r="AX820" i="9"/>
  <c r="AZ820" i="9" s="1"/>
  <c r="AB820" i="9"/>
  <c r="HM819" i="9"/>
  <c r="HW819" i="9" s="1"/>
  <c r="HL819" i="9"/>
  <c r="HK819" i="9"/>
  <c r="HI819" i="9"/>
  <c r="HJ819" i="9" s="1"/>
  <c r="HG819" i="9"/>
  <c r="HF819" i="9"/>
  <c r="GF819" i="9"/>
  <c r="GB819" i="9"/>
  <c r="GC819" i="9" s="1"/>
  <c r="FY819" i="9"/>
  <c r="FZ819" i="9" s="1"/>
  <c r="FU819" i="9"/>
  <c r="FT819" i="9"/>
  <c r="FS819" i="9"/>
  <c r="FR819" i="9"/>
  <c r="FQ819" i="9"/>
  <c r="FN819" i="9"/>
  <c r="FO819" i="9" s="1"/>
  <c r="FL819" i="9"/>
  <c r="FK819" i="9"/>
  <c r="AX819" i="9"/>
  <c r="AZ819" i="9" s="1"/>
  <c r="AB819" i="9"/>
  <c r="HM818" i="9"/>
  <c r="HW818" i="9" s="1"/>
  <c r="HL818" i="9"/>
  <c r="HK818" i="9"/>
  <c r="HI818" i="9"/>
  <c r="HJ818" i="9" s="1"/>
  <c r="HF818" i="9"/>
  <c r="HG818" i="9" s="1"/>
  <c r="GF818" i="9"/>
  <c r="GB818" i="9"/>
  <c r="GC818" i="9" s="1"/>
  <c r="FY818" i="9"/>
  <c r="FZ818" i="9" s="1"/>
  <c r="FU818" i="9"/>
  <c r="FT818" i="9"/>
  <c r="FS818" i="9"/>
  <c r="FQ818" i="9"/>
  <c r="FR818" i="9" s="1"/>
  <c r="FN818" i="9"/>
  <c r="FO818" i="9" s="1"/>
  <c r="FL818" i="9"/>
  <c r="FK818" i="9"/>
  <c r="AX818" i="9"/>
  <c r="AZ818" i="9" s="1"/>
  <c r="AB818" i="9"/>
  <c r="HM817" i="9"/>
  <c r="HW817" i="9" s="1"/>
  <c r="HL817" i="9"/>
  <c r="HK817" i="9"/>
  <c r="HI817" i="9"/>
  <c r="HJ817" i="9" s="1"/>
  <c r="HF817" i="9"/>
  <c r="HG817" i="9" s="1"/>
  <c r="GF817" i="9"/>
  <c r="GB817" i="9"/>
  <c r="GC817" i="9" s="1"/>
  <c r="FY817" i="9"/>
  <c r="FZ817" i="9" s="1"/>
  <c r="FU817" i="9"/>
  <c r="FT817" i="9"/>
  <c r="FS817" i="9"/>
  <c r="FQ817" i="9"/>
  <c r="FR817" i="9" s="1"/>
  <c r="FN817" i="9"/>
  <c r="FO817" i="9" s="1"/>
  <c r="FL817" i="9"/>
  <c r="FK817" i="9"/>
  <c r="AX817" i="9"/>
  <c r="AZ817" i="9" s="1"/>
  <c r="HY817" i="9" s="1"/>
  <c r="AB817" i="9"/>
  <c r="HM816" i="9"/>
  <c r="HW816" i="9" s="1"/>
  <c r="HL816" i="9"/>
  <c r="HK816" i="9"/>
  <c r="HI816" i="9"/>
  <c r="HJ816" i="9" s="1"/>
  <c r="HF816" i="9"/>
  <c r="HG816" i="9" s="1"/>
  <c r="GF816" i="9"/>
  <c r="GE816" i="9"/>
  <c r="GB816" i="9"/>
  <c r="GC816" i="9" s="1"/>
  <c r="FY816" i="9"/>
  <c r="FZ816" i="9" s="1"/>
  <c r="FU816" i="9"/>
  <c r="FT816" i="9"/>
  <c r="FS816" i="9"/>
  <c r="FQ816" i="9"/>
  <c r="FR816" i="9" s="1"/>
  <c r="FN816" i="9"/>
  <c r="FO816" i="9" s="1"/>
  <c r="FL816" i="9"/>
  <c r="FK816" i="9"/>
  <c r="AX816" i="9"/>
  <c r="AZ816" i="9" s="1"/>
  <c r="BA816" i="9" s="1"/>
  <c r="HZ816" i="9" s="1"/>
  <c r="AB816" i="9"/>
  <c r="HM815" i="9"/>
  <c r="HW815" i="9" s="1"/>
  <c r="HL815" i="9"/>
  <c r="HK815" i="9"/>
  <c r="HI815" i="9"/>
  <c r="HJ815" i="9" s="1"/>
  <c r="HF815" i="9"/>
  <c r="HG815" i="9" s="1"/>
  <c r="FU815" i="9"/>
  <c r="FT815" i="9"/>
  <c r="FS815" i="9"/>
  <c r="FQ815" i="9"/>
  <c r="FR815" i="9" s="1"/>
  <c r="FN815" i="9"/>
  <c r="FO815" i="9" s="1"/>
  <c r="FL815" i="9"/>
  <c r="FK815" i="9"/>
  <c r="BA815" i="9"/>
  <c r="HZ815" i="9" s="1"/>
  <c r="AX815" i="9"/>
  <c r="AZ815" i="9" s="1"/>
  <c r="AB815" i="9"/>
  <c r="HM814" i="9"/>
  <c r="HW814" i="9" s="1"/>
  <c r="HL814" i="9"/>
  <c r="HK814" i="9"/>
  <c r="HI814" i="9"/>
  <c r="HJ814" i="9" s="1"/>
  <c r="HG814" i="9"/>
  <c r="HF814" i="9"/>
  <c r="FU814" i="9"/>
  <c r="FT814" i="9"/>
  <c r="FS814" i="9"/>
  <c r="FQ814" i="9"/>
  <c r="FR814" i="9" s="1"/>
  <c r="FN814" i="9"/>
  <c r="FO814" i="9" s="1"/>
  <c r="FL814" i="9"/>
  <c r="FK814" i="9"/>
  <c r="AZ814" i="9"/>
  <c r="BB814" i="9" s="1"/>
  <c r="AX814" i="9"/>
  <c r="AB814" i="9"/>
  <c r="HM813" i="9"/>
  <c r="HW813" i="9" s="1"/>
  <c r="HL813" i="9"/>
  <c r="HK813" i="9"/>
  <c r="HI813" i="9"/>
  <c r="HJ813" i="9" s="1"/>
  <c r="HF813" i="9"/>
  <c r="HG813" i="9" s="1"/>
  <c r="FU813" i="9"/>
  <c r="FT813" i="9"/>
  <c r="FS813" i="9"/>
  <c r="FQ813" i="9"/>
  <c r="FR813" i="9" s="1"/>
  <c r="FN813" i="9"/>
  <c r="FO813" i="9" s="1"/>
  <c r="FL813" i="9"/>
  <c r="FK813" i="9"/>
  <c r="AX813" i="9"/>
  <c r="AZ813" i="9" s="1"/>
  <c r="AB813" i="9"/>
  <c r="HM812" i="9"/>
  <c r="HW812" i="9" s="1"/>
  <c r="HL812" i="9"/>
  <c r="HK812" i="9"/>
  <c r="HI812" i="9"/>
  <c r="HJ812" i="9" s="1"/>
  <c r="HF812" i="9"/>
  <c r="HG812" i="9" s="1"/>
  <c r="FU812" i="9"/>
  <c r="FT812" i="9"/>
  <c r="FS812" i="9"/>
  <c r="FR812" i="9"/>
  <c r="FQ812" i="9"/>
  <c r="FN812" i="9"/>
  <c r="FO812" i="9" s="1"/>
  <c r="FL812" i="9"/>
  <c r="FK812" i="9"/>
  <c r="AX812" i="9"/>
  <c r="AZ812" i="9" s="1"/>
  <c r="AB812" i="9"/>
  <c r="HH811" i="9"/>
  <c r="HI811" i="9" s="1"/>
  <c r="HJ811" i="9" s="1"/>
  <c r="HE811" i="9"/>
  <c r="GF811" i="9"/>
  <c r="GB811" i="9"/>
  <c r="GC811" i="9" s="1"/>
  <c r="FY811" i="9"/>
  <c r="FZ811" i="9" s="1"/>
  <c r="FU811" i="9"/>
  <c r="FT811" i="9"/>
  <c r="FS811" i="9"/>
  <c r="FQ811" i="9"/>
  <c r="FR811" i="9" s="1"/>
  <c r="FN811" i="9"/>
  <c r="FO811" i="9" s="1"/>
  <c r="FL811" i="9"/>
  <c r="FK811" i="9"/>
  <c r="AX811" i="9"/>
  <c r="AZ811" i="9" s="1"/>
  <c r="AB811" i="9"/>
  <c r="HH810" i="9"/>
  <c r="HE810" i="9"/>
  <c r="HF810" i="9" s="1"/>
  <c r="HG810" i="9" s="1"/>
  <c r="GF810" i="9"/>
  <c r="GB810" i="9"/>
  <c r="GC810" i="9" s="1"/>
  <c r="FY810" i="9"/>
  <c r="FZ810" i="9" s="1"/>
  <c r="FU810" i="9"/>
  <c r="FT810" i="9"/>
  <c r="FS810" i="9"/>
  <c r="FQ810" i="9"/>
  <c r="FR810" i="9" s="1"/>
  <c r="FN810" i="9"/>
  <c r="FO810" i="9" s="1"/>
  <c r="FL810" i="9"/>
  <c r="FK810" i="9"/>
  <c r="AX810" i="9"/>
  <c r="AZ810" i="9" s="1"/>
  <c r="AB810" i="9"/>
  <c r="HM809" i="9"/>
  <c r="HW809" i="9" s="1"/>
  <c r="HL809" i="9"/>
  <c r="HK809" i="9"/>
  <c r="HI809" i="9"/>
  <c r="HJ809" i="9" s="1"/>
  <c r="HF809" i="9"/>
  <c r="HG809" i="9" s="1"/>
  <c r="FU809" i="9"/>
  <c r="FT809" i="9"/>
  <c r="FS809" i="9"/>
  <c r="FQ809" i="9"/>
  <c r="FR809" i="9" s="1"/>
  <c r="FN809" i="9"/>
  <c r="FO809" i="9" s="1"/>
  <c r="FL809" i="9"/>
  <c r="FK809" i="9"/>
  <c r="AX809" i="9"/>
  <c r="AZ809" i="9" s="1"/>
  <c r="BA809" i="9" s="1"/>
  <c r="HZ809" i="9" s="1"/>
  <c r="AB809" i="9"/>
  <c r="HM808" i="9"/>
  <c r="HW808" i="9" s="1"/>
  <c r="HL808" i="9"/>
  <c r="HK808" i="9"/>
  <c r="HI808" i="9"/>
  <c r="HJ808" i="9" s="1"/>
  <c r="HF808" i="9"/>
  <c r="HG808" i="9" s="1"/>
  <c r="FU808" i="9"/>
  <c r="FT808" i="9"/>
  <c r="FS808" i="9"/>
  <c r="FQ808" i="9"/>
  <c r="FR808" i="9" s="1"/>
  <c r="FN808" i="9"/>
  <c r="FO808" i="9" s="1"/>
  <c r="FL808" i="9"/>
  <c r="FK808" i="9"/>
  <c r="AX808" i="9"/>
  <c r="AZ808" i="9" s="1"/>
  <c r="BB808" i="9" s="1"/>
  <c r="AB808" i="9"/>
  <c r="HM807" i="9"/>
  <c r="HW807" i="9" s="1"/>
  <c r="HL807" i="9"/>
  <c r="HK807" i="9"/>
  <c r="HI807" i="9"/>
  <c r="HJ807" i="9" s="1"/>
  <c r="HF807" i="9"/>
  <c r="HG807" i="9" s="1"/>
  <c r="FU807" i="9"/>
  <c r="FT807" i="9"/>
  <c r="FS807" i="9"/>
  <c r="FQ807" i="9"/>
  <c r="FR807" i="9" s="1"/>
  <c r="FN807" i="9"/>
  <c r="FO807" i="9" s="1"/>
  <c r="FL807" i="9"/>
  <c r="FK807" i="9"/>
  <c r="AX807" i="9"/>
  <c r="AZ807" i="9" s="1"/>
  <c r="BA807" i="9" s="1"/>
  <c r="HZ807" i="9" s="1"/>
  <c r="AB807" i="9"/>
  <c r="HM806" i="9"/>
  <c r="HW806" i="9" s="1"/>
  <c r="HL806" i="9"/>
  <c r="HK806" i="9"/>
  <c r="HI806" i="9"/>
  <c r="HJ806" i="9" s="1"/>
  <c r="HF806" i="9"/>
  <c r="HG806" i="9" s="1"/>
  <c r="FU806" i="9"/>
  <c r="FT806" i="9"/>
  <c r="FS806" i="9"/>
  <c r="FQ806" i="9"/>
  <c r="FR806" i="9" s="1"/>
  <c r="FN806" i="9"/>
  <c r="FO806" i="9" s="1"/>
  <c r="FL806" i="9"/>
  <c r="FK806" i="9"/>
  <c r="AX806" i="9"/>
  <c r="AZ806" i="9" s="1"/>
  <c r="BA806" i="9" s="1"/>
  <c r="HZ806" i="9" s="1"/>
  <c r="AB806" i="9"/>
  <c r="HM805" i="9"/>
  <c r="HW805" i="9" s="1"/>
  <c r="HL805" i="9"/>
  <c r="HK805" i="9"/>
  <c r="HI805" i="9"/>
  <c r="HJ805" i="9" s="1"/>
  <c r="HF805" i="9"/>
  <c r="HG805" i="9" s="1"/>
  <c r="FU805" i="9"/>
  <c r="FT805" i="9"/>
  <c r="FS805" i="9"/>
  <c r="FQ805" i="9"/>
  <c r="FR805" i="9" s="1"/>
  <c r="FN805" i="9"/>
  <c r="FO805" i="9" s="1"/>
  <c r="FL805" i="9"/>
  <c r="FK805" i="9"/>
  <c r="AX805" i="9"/>
  <c r="AZ805" i="9" s="1"/>
  <c r="AB805" i="9"/>
  <c r="HM804" i="9"/>
  <c r="HW804" i="9" s="1"/>
  <c r="HL804" i="9"/>
  <c r="HK804" i="9"/>
  <c r="HJ804" i="9"/>
  <c r="HI804" i="9"/>
  <c r="HF804" i="9"/>
  <c r="HG804" i="9" s="1"/>
  <c r="FU804" i="9"/>
  <c r="FT804" i="9"/>
  <c r="FS804" i="9"/>
  <c r="FQ804" i="9"/>
  <c r="FR804" i="9" s="1"/>
  <c r="FV804" i="9" s="1"/>
  <c r="FN804" i="9"/>
  <c r="FO804" i="9" s="1"/>
  <c r="FL804" i="9"/>
  <c r="FK804" i="9"/>
  <c r="AX804" i="9"/>
  <c r="AZ804" i="9" s="1"/>
  <c r="BA804" i="9" s="1"/>
  <c r="HZ804" i="9" s="1"/>
  <c r="AB804" i="9"/>
  <c r="HM803" i="9"/>
  <c r="HW803" i="9" s="1"/>
  <c r="HL803" i="9"/>
  <c r="HK803" i="9"/>
  <c r="HI803" i="9"/>
  <c r="HJ803" i="9" s="1"/>
  <c r="HF803" i="9"/>
  <c r="HG803" i="9" s="1"/>
  <c r="FU803" i="9"/>
  <c r="FT803" i="9"/>
  <c r="FS803" i="9"/>
  <c r="FQ803" i="9"/>
  <c r="FR803" i="9" s="1"/>
  <c r="FN803" i="9"/>
  <c r="FO803" i="9" s="1"/>
  <c r="FL803" i="9"/>
  <c r="FK803" i="9"/>
  <c r="BA803" i="9"/>
  <c r="HZ803" i="9" s="1"/>
  <c r="AX803" i="9"/>
  <c r="AZ803" i="9" s="1"/>
  <c r="AB803" i="9"/>
  <c r="GF802" i="9"/>
  <c r="GE802" i="9"/>
  <c r="GD802" i="9"/>
  <c r="GB802" i="9"/>
  <c r="GC802" i="9" s="1"/>
  <c r="FY802" i="9"/>
  <c r="FZ802" i="9" s="1"/>
  <c r="FU802" i="9"/>
  <c r="FT802" i="9"/>
  <c r="FS802" i="9"/>
  <c r="FQ802" i="9"/>
  <c r="FR802" i="9" s="1"/>
  <c r="FN802" i="9"/>
  <c r="FO802" i="9" s="1"/>
  <c r="FL802" i="9"/>
  <c r="FK802" i="9"/>
  <c r="AX802" i="9"/>
  <c r="AZ802" i="9" s="1"/>
  <c r="BB802" i="9" s="1"/>
  <c r="IA802" i="9" s="1"/>
  <c r="AD802" i="9"/>
  <c r="AB802" i="9"/>
  <c r="P802" i="9"/>
  <c r="IA801" i="9"/>
  <c r="HZ801" i="9"/>
  <c r="HY801" i="9"/>
  <c r="GF801" i="9"/>
  <c r="GE801" i="9"/>
  <c r="GD801" i="9"/>
  <c r="GB801" i="9"/>
  <c r="GC801" i="9" s="1"/>
  <c r="FY801" i="9"/>
  <c r="FZ801" i="9" s="1"/>
  <c r="FU801" i="9"/>
  <c r="FT801" i="9"/>
  <c r="FS801" i="9"/>
  <c r="FQ801" i="9"/>
  <c r="FR801" i="9" s="1"/>
  <c r="FN801" i="9"/>
  <c r="FO801" i="9" s="1"/>
  <c r="FL801" i="9"/>
  <c r="FK801" i="9"/>
  <c r="AX801" i="9"/>
  <c r="AZ801" i="9" s="1"/>
  <c r="BB801" i="9" s="1"/>
  <c r="AD801" i="9"/>
  <c r="AB801" i="9"/>
  <c r="P801" i="9"/>
  <c r="GF800" i="9"/>
  <c r="GE800" i="9"/>
  <c r="GD800" i="9"/>
  <c r="GB800" i="9"/>
  <c r="GC800" i="9" s="1"/>
  <c r="FY800" i="9"/>
  <c r="FZ800" i="9" s="1"/>
  <c r="FU800" i="9"/>
  <c r="FT800" i="9"/>
  <c r="FS800" i="9"/>
  <c r="FQ800" i="9"/>
  <c r="FR800" i="9" s="1"/>
  <c r="FN800" i="9"/>
  <c r="FO800" i="9" s="1"/>
  <c r="FL800" i="9"/>
  <c r="FK800" i="9"/>
  <c r="AX800" i="9"/>
  <c r="AZ800" i="9" s="1"/>
  <c r="HY800" i="9" s="1"/>
  <c r="AD800" i="9"/>
  <c r="AB800" i="9"/>
  <c r="P800" i="9"/>
  <c r="GF799" i="9"/>
  <c r="GE799" i="9"/>
  <c r="GD799" i="9"/>
  <c r="GB799" i="9"/>
  <c r="GC799" i="9" s="1"/>
  <c r="FY799" i="9"/>
  <c r="FZ799" i="9" s="1"/>
  <c r="FU799" i="9"/>
  <c r="FT799" i="9"/>
  <c r="FS799" i="9"/>
  <c r="FQ799" i="9"/>
  <c r="FR799" i="9" s="1"/>
  <c r="FN799" i="9"/>
  <c r="FO799" i="9" s="1"/>
  <c r="FL799" i="9"/>
  <c r="FK799" i="9"/>
  <c r="AX799" i="9"/>
  <c r="AZ799" i="9" s="1"/>
  <c r="BB799" i="9" s="1"/>
  <c r="IA799" i="9" s="1"/>
  <c r="AD799" i="9"/>
  <c r="AB799" i="9"/>
  <c r="P799" i="9"/>
  <c r="GF798" i="9"/>
  <c r="GE798" i="9"/>
  <c r="GD798" i="9"/>
  <c r="GB798" i="9"/>
  <c r="GC798" i="9" s="1"/>
  <c r="FY798" i="9"/>
  <c r="FZ798" i="9" s="1"/>
  <c r="FQ798" i="9"/>
  <c r="FR798" i="9" s="1"/>
  <c r="FM798" i="9"/>
  <c r="FN798" i="9" s="1"/>
  <c r="FO798" i="9" s="1"/>
  <c r="FL798" i="9"/>
  <c r="AX798" i="9"/>
  <c r="AZ798" i="9" s="1"/>
  <c r="AD798" i="9"/>
  <c r="AB798" i="9"/>
  <c r="P798" i="9"/>
  <c r="GF797" i="9"/>
  <c r="GE797" i="9"/>
  <c r="GD797" i="9"/>
  <c r="GB797" i="9"/>
  <c r="GC797" i="9" s="1"/>
  <c r="FY797" i="9"/>
  <c r="FZ797" i="9" s="1"/>
  <c r="FP797" i="9"/>
  <c r="FT797" i="9" s="1"/>
  <c r="FM797" i="9"/>
  <c r="FK797" i="9" s="1"/>
  <c r="AX797" i="9"/>
  <c r="AZ797" i="9" s="1"/>
  <c r="AD797" i="9"/>
  <c r="AB797" i="9"/>
  <c r="P797" i="9"/>
  <c r="GF796" i="9"/>
  <c r="GE796" i="9"/>
  <c r="GD796" i="9"/>
  <c r="GB796" i="9"/>
  <c r="GC796" i="9" s="1"/>
  <c r="FY796" i="9"/>
  <c r="FZ796" i="9" s="1"/>
  <c r="GG796" i="9" s="1"/>
  <c r="FQ796" i="9"/>
  <c r="FR796" i="9" s="1"/>
  <c r="FM796" i="9"/>
  <c r="FT796" i="9" s="1"/>
  <c r="FL796" i="9"/>
  <c r="AX796" i="9"/>
  <c r="AZ796" i="9" s="1"/>
  <c r="BA796" i="9" s="1"/>
  <c r="HZ796" i="9" s="1"/>
  <c r="AD796" i="9"/>
  <c r="AB796" i="9"/>
  <c r="P796" i="9"/>
  <c r="GF795" i="9"/>
  <c r="GE795" i="9"/>
  <c r="GD795" i="9"/>
  <c r="GB795" i="9"/>
  <c r="GC795" i="9" s="1"/>
  <c r="FY795" i="9"/>
  <c r="FZ795" i="9" s="1"/>
  <c r="FP795" i="9"/>
  <c r="FQ795" i="9" s="1"/>
  <c r="FR795" i="9" s="1"/>
  <c r="FM795" i="9"/>
  <c r="FN795" i="9" s="1"/>
  <c r="FO795" i="9" s="1"/>
  <c r="AX795" i="9"/>
  <c r="AZ795" i="9" s="1"/>
  <c r="BB795" i="9" s="1"/>
  <c r="IA795" i="9" s="1"/>
  <c r="AD795" i="9"/>
  <c r="AB795" i="9"/>
  <c r="P795" i="9"/>
  <c r="HJ794" i="9"/>
  <c r="HH794" i="9"/>
  <c r="HL794" i="9" s="1"/>
  <c r="HG794" i="9"/>
  <c r="HE794" i="9"/>
  <c r="GF794" i="9"/>
  <c r="GE794" i="9"/>
  <c r="GD794" i="9"/>
  <c r="GC794" i="9"/>
  <c r="FZ794" i="9"/>
  <c r="FU794" i="9"/>
  <c r="FT794" i="9"/>
  <c r="FS794" i="9"/>
  <c r="FR794" i="9"/>
  <c r="FO794" i="9"/>
  <c r="FL794" i="9"/>
  <c r="FK794" i="9"/>
  <c r="AZ794" i="9"/>
  <c r="BA794" i="9" s="1"/>
  <c r="HZ794" i="9" s="1"/>
  <c r="AX794" i="9"/>
  <c r="AB794" i="9"/>
  <c r="HJ793" i="9"/>
  <c r="HH793" i="9"/>
  <c r="HG793" i="9"/>
  <c r="HE793" i="9"/>
  <c r="GF793" i="9"/>
  <c r="GE793" i="9"/>
  <c r="GD793" i="9"/>
  <c r="GC793" i="9"/>
  <c r="FZ793" i="9"/>
  <c r="FU793" i="9"/>
  <c r="FT793" i="9"/>
  <c r="FS793" i="9"/>
  <c r="FR793" i="9"/>
  <c r="FO793" i="9"/>
  <c r="FV793" i="9" s="1"/>
  <c r="FL793" i="9"/>
  <c r="FK793" i="9"/>
  <c r="AX793" i="9"/>
  <c r="AZ793" i="9" s="1"/>
  <c r="AB793" i="9"/>
  <c r="HM792" i="9"/>
  <c r="HW792" i="9" s="1"/>
  <c r="HL792" i="9"/>
  <c r="HK792" i="9"/>
  <c r="HI792" i="9"/>
  <c r="HJ792" i="9" s="1"/>
  <c r="HF792" i="9"/>
  <c r="HG792" i="9" s="1"/>
  <c r="GF792" i="9"/>
  <c r="GE792" i="9"/>
  <c r="GD792" i="9"/>
  <c r="GB792" i="9"/>
  <c r="GC792" i="9" s="1"/>
  <c r="FY792" i="9"/>
  <c r="FZ792" i="9" s="1"/>
  <c r="FU792" i="9"/>
  <c r="FT792" i="9"/>
  <c r="FS792" i="9"/>
  <c r="FQ792" i="9"/>
  <c r="FR792" i="9" s="1"/>
  <c r="FN792" i="9"/>
  <c r="FO792" i="9" s="1"/>
  <c r="FL792" i="9"/>
  <c r="FK792" i="9"/>
  <c r="CF792" i="9"/>
  <c r="CY792" i="9" s="1"/>
  <c r="AX792" i="9"/>
  <c r="AB792" i="9"/>
  <c r="HM791" i="9"/>
  <c r="HW791" i="9" s="1"/>
  <c r="HL791" i="9"/>
  <c r="HK791" i="9"/>
  <c r="HI791" i="9"/>
  <c r="HJ791" i="9" s="1"/>
  <c r="HF791" i="9"/>
  <c r="HG791" i="9" s="1"/>
  <c r="GF791" i="9"/>
  <c r="GE791" i="9"/>
  <c r="GD791" i="9"/>
  <c r="GB791" i="9"/>
  <c r="GC791" i="9" s="1"/>
  <c r="FY791" i="9"/>
  <c r="FZ791" i="9" s="1"/>
  <c r="FU791" i="9"/>
  <c r="FT791" i="9"/>
  <c r="FS791" i="9"/>
  <c r="FQ791" i="9"/>
  <c r="FR791" i="9" s="1"/>
  <c r="FN791" i="9"/>
  <c r="FO791" i="9" s="1"/>
  <c r="FL791" i="9"/>
  <c r="FK791" i="9"/>
  <c r="DE791" i="9"/>
  <c r="DS791" i="9" s="1"/>
  <c r="DU791" i="9" s="1"/>
  <c r="AX791" i="9"/>
  <c r="AB791" i="9"/>
  <c r="HW790" i="9"/>
  <c r="HM790" i="9"/>
  <c r="HL790" i="9"/>
  <c r="HK790" i="9"/>
  <c r="HI790" i="9"/>
  <c r="HJ790" i="9" s="1"/>
  <c r="HF790" i="9"/>
  <c r="HG790" i="9" s="1"/>
  <c r="GF790" i="9"/>
  <c r="GE790" i="9"/>
  <c r="GD790" i="9"/>
  <c r="GB790" i="9"/>
  <c r="GC790" i="9" s="1"/>
  <c r="FY790" i="9"/>
  <c r="FZ790" i="9" s="1"/>
  <c r="FU790" i="9"/>
  <c r="FT790" i="9"/>
  <c r="FS790" i="9"/>
  <c r="FQ790" i="9"/>
  <c r="FR790" i="9" s="1"/>
  <c r="FN790" i="9"/>
  <c r="FO790" i="9" s="1"/>
  <c r="FL790" i="9"/>
  <c r="FK790" i="9"/>
  <c r="CF790" i="9"/>
  <c r="CY790" i="9" s="1"/>
  <c r="AB790" i="9"/>
  <c r="HM789" i="9"/>
  <c r="HW789" i="9" s="1"/>
  <c r="HL789" i="9"/>
  <c r="HK789" i="9"/>
  <c r="HI789" i="9"/>
  <c r="HJ789" i="9" s="1"/>
  <c r="HF789" i="9"/>
  <c r="HG789" i="9" s="1"/>
  <c r="GF789" i="9"/>
  <c r="GE789" i="9"/>
  <c r="GD789" i="9"/>
  <c r="GB789" i="9"/>
  <c r="GC789" i="9" s="1"/>
  <c r="FY789" i="9"/>
  <c r="FZ789" i="9" s="1"/>
  <c r="FU789" i="9"/>
  <c r="FT789" i="9"/>
  <c r="FS789" i="9"/>
  <c r="FQ789" i="9"/>
  <c r="FR789" i="9" s="1"/>
  <c r="FN789" i="9"/>
  <c r="FO789" i="9" s="1"/>
  <c r="FL789" i="9"/>
  <c r="FK789" i="9"/>
  <c r="DE789" i="9"/>
  <c r="DS789" i="9" s="1"/>
  <c r="DT789" i="9" s="1"/>
  <c r="HZ789" i="9" s="1"/>
  <c r="AB789" i="9"/>
  <c r="HM788" i="9"/>
  <c r="HW788" i="9" s="1"/>
  <c r="HL788" i="9"/>
  <c r="HK788" i="9"/>
  <c r="HI788" i="9"/>
  <c r="HJ788" i="9" s="1"/>
  <c r="HF788" i="9"/>
  <c r="HG788" i="9" s="1"/>
  <c r="GF788" i="9"/>
  <c r="GE788" i="9"/>
  <c r="GD788" i="9"/>
  <c r="GB788" i="9"/>
  <c r="GC788" i="9" s="1"/>
  <c r="FY788" i="9"/>
  <c r="FZ788" i="9" s="1"/>
  <c r="FU788" i="9"/>
  <c r="FT788" i="9"/>
  <c r="FS788" i="9"/>
  <c r="FQ788" i="9"/>
  <c r="FR788" i="9" s="1"/>
  <c r="FN788" i="9"/>
  <c r="FO788" i="9" s="1"/>
  <c r="FL788" i="9"/>
  <c r="FK788" i="9"/>
  <c r="DE788" i="9"/>
  <c r="DS788" i="9" s="1"/>
  <c r="HY788" i="9" s="1"/>
  <c r="AX788" i="9"/>
  <c r="AZ788" i="9" s="1"/>
  <c r="AB788" i="9"/>
  <c r="HM787" i="9"/>
  <c r="HW787" i="9" s="1"/>
  <c r="HL787" i="9"/>
  <c r="HK787" i="9"/>
  <c r="HJ787" i="9"/>
  <c r="HN787" i="9" s="1"/>
  <c r="HG787" i="9"/>
  <c r="GF787" i="9"/>
  <c r="GE787" i="9"/>
  <c r="GD787" i="9"/>
  <c r="GC787" i="9"/>
  <c r="FZ787" i="9"/>
  <c r="FU787" i="9"/>
  <c r="FT787" i="9"/>
  <c r="FS787" i="9"/>
  <c r="FR787" i="9"/>
  <c r="FO787" i="9"/>
  <c r="FL787" i="9"/>
  <c r="FK787" i="9"/>
  <c r="CF787" i="9"/>
  <c r="CY787" i="9" s="1"/>
  <c r="CZ787" i="9" s="1"/>
  <c r="HZ787" i="9" s="1"/>
  <c r="AD787" i="9"/>
  <c r="AB787" i="9"/>
  <c r="HM786" i="9"/>
  <c r="HW786" i="9" s="1"/>
  <c r="HL786" i="9"/>
  <c r="HK786" i="9"/>
  <c r="HJ786" i="9"/>
  <c r="HG786" i="9"/>
  <c r="GF786" i="9"/>
  <c r="GE786" i="9"/>
  <c r="GD786" i="9"/>
  <c r="GC786" i="9"/>
  <c r="FZ786" i="9"/>
  <c r="FU786" i="9"/>
  <c r="FT786" i="9"/>
  <c r="FS786" i="9"/>
  <c r="FR786" i="9"/>
  <c r="FV786" i="9" s="1"/>
  <c r="FO786" i="9"/>
  <c r="FL786" i="9"/>
  <c r="FK786" i="9"/>
  <c r="CF786" i="9"/>
  <c r="CY786" i="9" s="1"/>
  <c r="CZ786" i="9" s="1"/>
  <c r="HZ786" i="9" s="1"/>
  <c r="AD786" i="9"/>
  <c r="AB786" i="9"/>
  <c r="HM785" i="9"/>
  <c r="HW785" i="9" s="1"/>
  <c r="HL785" i="9"/>
  <c r="HK785" i="9"/>
  <c r="HJ785" i="9"/>
  <c r="HG785" i="9"/>
  <c r="GF785" i="9"/>
  <c r="GE785" i="9"/>
  <c r="GD785" i="9"/>
  <c r="GC785" i="9"/>
  <c r="FZ785" i="9"/>
  <c r="FU785" i="9"/>
  <c r="FT785" i="9"/>
  <c r="FS785" i="9"/>
  <c r="FR785" i="9"/>
  <c r="FO785" i="9"/>
  <c r="FL785" i="9"/>
  <c r="FK785" i="9"/>
  <c r="CF785" i="9"/>
  <c r="CY785" i="9" s="1"/>
  <c r="CZ785" i="9" s="1"/>
  <c r="HZ785" i="9" s="1"/>
  <c r="AD785" i="9"/>
  <c r="AB785" i="9"/>
  <c r="HM784" i="9"/>
  <c r="HW784" i="9" s="1"/>
  <c r="HL784" i="9"/>
  <c r="HK784" i="9"/>
  <c r="HJ784" i="9"/>
  <c r="HG784" i="9"/>
  <c r="GF784" i="9"/>
  <c r="GE784" i="9"/>
  <c r="GD784" i="9"/>
  <c r="GC784" i="9"/>
  <c r="FZ784" i="9"/>
  <c r="FU784" i="9"/>
  <c r="FT784" i="9"/>
  <c r="FS784" i="9"/>
  <c r="FR784" i="9"/>
  <c r="FO784" i="9"/>
  <c r="FL784" i="9"/>
  <c r="FK784" i="9"/>
  <c r="CY784" i="9"/>
  <c r="CZ784" i="9" s="1"/>
  <c r="HZ784" i="9" s="1"/>
  <c r="CF784" i="9"/>
  <c r="AD784" i="9"/>
  <c r="AB784" i="9"/>
  <c r="HM783" i="9"/>
  <c r="HW783" i="9" s="1"/>
  <c r="HL783" i="9"/>
  <c r="HK783" i="9"/>
  <c r="HI783" i="9"/>
  <c r="HJ783" i="9" s="1"/>
  <c r="HF783" i="9"/>
  <c r="HG783" i="9" s="1"/>
  <c r="FU783" i="9"/>
  <c r="FT783" i="9"/>
  <c r="FS783" i="9"/>
  <c r="FQ783" i="9"/>
  <c r="FR783" i="9" s="1"/>
  <c r="FN783" i="9"/>
  <c r="FO783" i="9" s="1"/>
  <c r="FL783" i="9"/>
  <c r="FK783" i="9"/>
  <c r="CF783" i="9"/>
  <c r="CY783" i="9" s="1"/>
  <c r="AD783" i="9"/>
  <c r="AB783" i="9"/>
  <c r="HW782" i="9"/>
  <c r="HM782" i="9"/>
  <c r="HL782" i="9"/>
  <c r="HK782" i="9"/>
  <c r="HI782" i="9"/>
  <c r="HJ782" i="9" s="1"/>
  <c r="HF782" i="9"/>
  <c r="HG782" i="9" s="1"/>
  <c r="FU782" i="9"/>
  <c r="FT782" i="9"/>
  <c r="FS782" i="9"/>
  <c r="FQ782" i="9"/>
  <c r="FR782" i="9" s="1"/>
  <c r="FN782" i="9"/>
  <c r="FO782" i="9" s="1"/>
  <c r="FL782" i="9"/>
  <c r="FK782" i="9"/>
  <c r="CF782" i="9"/>
  <c r="CY782" i="9" s="1"/>
  <c r="AD782" i="9"/>
  <c r="AB782" i="9"/>
  <c r="HW781" i="9"/>
  <c r="HM781" i="9"/>
  <c r="HL781" i="9"/>
  <c r="HK781" i="9"/>
  <c r="HI781" i="9"/>
  <c r="HJ781" i="9" s="1"/>
  <c r="HF781" i="9"/>
  <c r="HG781" i="9" s="1"/>
  <c r="FU781" i="9"/>
  <c r="FT781" i="9"/>
  <c r="FS781" i="9"/>
  <c r="FQ781" i="9"/>
  <c r="FR781" i="9" s="1"/>
  <c r="FN781" i="9"/>
  <c r="FO781" i="9" s="1"/>
  <c r="FL781" i="9"/>
  <c r="FK781" i="9"/>
  <c r="CF781" i="9"/>
  <c r="CY781" i="9" s="1"/>
  <c r="DA781" i="9" s="1"/>
  <c r="AD781" i="9"/>
  <c r="AB781" i="9"/>
  <c r="HM780" i="9"/>
  <c r="HW780" i="9" s="1"/>
  <c r="HL780" i="9"/>
  <c r="HK780" i="9"/>
  <c r="HI780" i="9"/>
  <c r="HJ780" i="9" s="1"/>
  <c r="HF780" i="9"/>
  <c r="HG780" i="9" s="1"/>
  <c r="FU780" i="9"/>
  <c r="FT780" i="9"/>
  <c r="FS780" i="9"/>
  <c r="FQ780" i="9"/>
  <c r="FR780" i="9" s="1"/>
  <c r="FN780" i="9"/>
  <c r="FO780" i="9" s="1"/>
  <c r="FL780" i="9"/>
  <c r="FK780" i="9"/>
  <c r="CF780" i="9"/>
  <c r="CY780" i="9" s="1"/>
  <c r="CZ780" i="9" s="1"/>
  <c r="HZ780" i="9" s="1"/>
  <c r="AD780" i="9"/>
  <c r="AB780" i="9"/>
  <c r="HM779" i="9"/>
  <c r="HW779" i="9" s="1"/>
  <c r="HL779" i="9"/>
  <c r="HK779" i="9"/>
  <c r="HJ779" i="9"/>
  <c r="HG779" i="9"/>
  <c r="GF779" i="9"/>
  <c r="GE779" i="9"/>
  <c r="GD779" i="9"/>
  <c r="GB779" i="9"/>
  <c r="GC779" i="9" s="1"/>
  <c r="FY779" i="9"/>
  <c r="FZ779" i="9" s="1"/>
  <c r="FU779" i="9"/>
  <c r="FT779" i="9"/>
  <c r="FS779" i="9"/>
  <c r="FQ779" i="9"/>
  <c r="FR779" i="9" s="1"/>
  <c r="FN779" i="9"/>
  <c r="FO779" i="9" s="1"/>
  <c r="FL779" i="9"/>
  <c r="FK779" i="9"/>
  <c r="CF779" i="9"/>
  <c r="CY779" i="9" s="1"/>
  <c r="AD779" i="9"/>
  <c r="AB779" i="9"/>
  <c r="HM778" i="9"/>
  <c r="HW778" i="9" s="1"/>
  <c r="HL778" i="9"/>
  <c r="HK778" i="9"/>
  <c r="HJ778" i="9"/>
  <c r="HG778" i="9"/>
  <c r="GF778" i="9"/>
  <c r="GE778" i="9"/>
  <c r="GD778" i="9"/>
  <c r="GB778" i="9"/>
  <c r="GC778" i="9" s="1"/>
  <c r="FY778" i="9"/>
  <c r="FZ778" i="9" s="1"/>
  <c r="GG778" i="9" s="1"/>
  <c r="FU778" i="9"/>
  <c r="FT778" i="9"/>
  <c r="FS778" i="9"/>
  <c r="FQ778" i="9"/>
  <c r="FR778" i="9" s="1"/>
  <c r="FN778" i="9"/>
  <c r="FO778" i="9" s="1"/>
  <c r="FL778" i="9"/>
  <c r="FK778" i="9"/>
  <c r="CF778" i="9"/>
  <c r="CY778" i="9" s="1"/>
  <c r="CZ778" i="9" s="1"/>
  <c r="HZ778" i="9" s="1"/>
  <c r="AD778" i="9"/>
  <c r="AB778" i="9"/>
  <c r="HM777" i="9"/>
  <c r="HW777" i="9" s="1"/>
  <c r="HL777" i="9"/>
  <c r="HK777" i="9"/>
  <c r="HJ777" i="9"/>
  <c r="HG777" i="9"/>
  <c r="GF777" i="9"/>
  <c r="GE777" i="9"/>
  <c r="GD777" i="9"/>
  <c r="GB777" i="9"/>
  <c r="GC777" i="9" s="1"/>
  <c r="FY777" i="9"/>
  <c r="FZ777" i="9" s="1"/>
  <c r="FU777" i="9"/>
  <c r="FT777" i="9"/>
  <c r="FS777" i="9"/>
  <c r="FQ777" i="9"/>
  <c r="FR777" i="9" s="1"/>
  <c r="FN777" i="9"/>
  <c r="FO777" i="9" s="1"/>
  <c r="FL777" i="9"/>
  <c r="FK777" i="9"/>
  <c r="CF777" i="9"/>
  <c r="CY777" i="9" s="1"/>
  <c r="AD777" i="9"/>
  <c r="AB777" i="9"/>
  <c r="HM776" i="9"/>
  <c r="HW776" i="9" s="1"/>
  <c r="HL776" i="9"/>
  <c r="HK776" i="9"/>
  <c r="HJ776" i="9"/>
  <c r="HG776" i="9"/>
  <c r="GF776" i="9"/>
  <c r="GE776" i="9"/>
  <c r="GD776" i="9"/>
  <c r="GB776" i="9"/>
  <c r="GC776" i="9" s="1"/>
  <c r="FY776" i="9"/>
  <c r="FZ776" i="9" s="1"/>
  <c r="FU776" i="9"/>
  <c r="FT776" i="9"/>
  <c r="FS776" i="9"/>
  <c r="FQ776" i="9"/>
  <c r="FR776" i="9" s="1"/>
  <c r="FN776" i="9"/>
  <c r="FO776" i="9" s="1"/>
  <c r="FL776" i="9"/>
  <c r="FK776" i="9"/>
  <c r="CF776" i="9"/>
  <c r="CY776" i="9" s="1"/>
  <c r="CZ776" i="9" s="1"/>
  <c r="HZ776" i="9" s="1"/>
  <c r="AD776" i="9"/>
  <c r="AB776" i="9"/>
  <c r="HM775" i="9"/>
  <c r="HW775" i="9" s="1"/>
  <c r="HL775" i="9"/>
  <c r="HK775" i="9"/>
  <c r="HJ775" i="9"/>
  <c r="HG775" i="9"/>
  <c r="GF775" i="9"/>
  <c r="GE775" i="9"/>
  <c r="GD775" i="9"/>
  <c r="GB775" i="9"/>
  <c r="GC775" i="9" s="1"/>
  <c r="FY775" i="9"/>
  <c r="FZ775" i="9" s="1"/>
  <c r="FU775" i="9"/>
  <c r="FT775" i="9"/>
  <c r="FS775" i="9"/>
  <c r="FQ775" i="9"/>
  <c r="FR775" i="9" s="1"/>
  <c r="FN775" i="9"/>
  <c r="FO775" i="9" s="1"/>
  <c r="FL775" i="9"/>
  <c r="FK775" i="9"/>
  <c r="CF775" i="9"/>
  <c r="CY775" i="9" s="1"/>
  <c r="AD775" i="9"/>
  <c r="AB775" i="9"/>
  <c r="HM774" i="9"/>
  <c r="HW774" i="9" s="1"/>
  <c r="HL774" i="9"/>
  <c r="HK774" i="9"/>
  <c r="HJ774" i="9"/>
  <c r="HG774" i="9"/>
  <c r="GF774" i="9"/>
  <c r="GE774" i="9"/>
  <c r="GD774" i="9"/>
  <c r="GB774" i="9"/>
  <c r="GC774" i="9" s="1"/>
  <c r="FY774" i="9"/>
  <c r="FZ774" i="9" s="1"/>
  <c r="FU774" i="9"/>
  <c r="FT774" i="9"/>
  <c r="FS774" i="9"/>
  <c r="FR774" i="9"/>
  <c r="FQ774" i="9"/>
  <c r="FN774" i="9"/>
  <c r="FO774" i="9" s="1"/>
  <c r="FL774" i="9"/>
  <c r="FK774" i="9"/>
  <c r="CF774" i="9"/>
  <c r="CY774" i="9" s="1"/>
  <c r="CZ774" i="9" s="1"/>
  <c r="HZ774" i="9" s="1"/>
  <c r="AD774" i="9"/>
  <c r="AB774" i="9"/>
  <c r="HM773" i="9"/>
  <c r="HW773" i="9" s="1"/>
  <c r="HL773" i="9"/>
  <c r="HK773" i="9"/>
  <c r="HJ773" i="9"/>
  <c r="HG773" i="9"/>
  <c r="GF773" i="9"/>
  <c r="GE773" i="9"/>
  <c r="GD773" i="9"/>
  <c r="GC773" i="9"/>
  <c r="FZ773" i="9"/>
  <c r="FU773" i="9"/>
  <c r="FT773" i="9"/>
  <c r="FS773" i="9"/>
  <c r="FR773" i="9"/>
  <c r="FO773" i="9"/>
  <c r="FL773" i="9"/>
  <c r="FK773" i="9"/>
  <c r="DE773" i="9"/>
  <c r="DS773" i="9" s="1"/>
  <c r="DT773" i="9" s="1"/>
  <c r="HZ773" i="9" s="1"/>
  <c r="AB773" i="9"/>
  <c r="HM772" i="9"/>
  <c r="HW772" i="9" s="1"/>
  <c r="HL772" i="9"/>
  <c r="HK772" i="9"/>
  <c r="HJ772" i="9"/>
  <c r="HG772" i="9"/>
  <c r="GF772" i="9"/>
  <c r="GE772" i="9"/>
  <c r="GD772" i="9"/>
  <c r="GC772" i="9"/>
  <c r="FZ772" i="9"/>
  <c r="FU772" i="9"/>
  <c r="FT772" i="9"/>
  <c r="FS772" i="9"/>
  <c r="FR772" i="9"/>
  <c r="FO772" i="9"/>
  <c r="FL772" i="9"/>
  <c r="FK772" i="9"/>
  <c r="DE772" i="9"/>
  <c r="DS772" i="9" s="1"/>
  <c r="DT772" i="9" s="1"/>
  <c r="HZ772" i="9" s="1"/>
  <c r="AB772" i="9"/>
  <c r="HM771" i="9"/>
  <c r="HW771" i="9" s="1"/>
  <c r="HL771" i="9"/>
  <c r="HK771" i="9"/>
  <c r="HJ771" i="9"/>
  <c r="HG771" i="9"/>
  <c r="GF771" i="9"/>
  <c r="GE771" i="9"/>
  <c r="GD771" i="9"/>
  <c r="GC771" i="9"/>
  <c r="FZ771" i="9"/>
  <c r="FU771" i="9"/>
  <c r="FT771" i="9"/>
  <c r="FS771" i="9"/>
  <c r="FR771" i="9"/>
  <c r="FO771" i="9"/>
  <c r="FL771" i="9"/>
  <c r="FK771" i="9"/>
  <c r="CZ771" i="9"/>
  <c r="HZ771" i="9" s="1"/>
  <c r="CF771" i="9"/>
  <c r="CY771" i="9" s="1"/>
  <c r="AB771" i="9"/>
  <c r="HM770" i="9"/>
  <c r="HW770" i="9" s="1"/>
  <c r="HL770" i="9"/>
  <c r="HK770" i="9"/>
  <c r="HJ770" i="9"/>
  <c r="HG770" i="9"/>
  <c r="GF770" i="9"/>
  <c r="GE770" i="9"/>
  <c r="GD770" i="9"/>
  <c r="GC770" i="9"/>
  <c r="GG770" i="9" s="1"/>
  <c r="FZ770" i="9"/>
  <c r="FU770" i="9"/>
  <c r="FT770" i="9"/>
  <c r="FS770" i="9"/>
  <c r="FR770" i="9"/>
  <c r="FO770" i="9"/>
  <c r="FL770" i="9"/>
  <c r="FK770" i="9"/>
  <c r="CF770" i="9"/>
  <c r="CY770" i="9" s="1"/>
  <c r="AB770" i="9"/>
  <c r="HM769" i="9"/>
  <c r="HW769" i="9" s="1"/>
  <c r="HL769" i="9"/>
  <c r="HK769" i="9"/>
  <c r="HJ769" i="9"/>
  <c r="HG769" i="9"/>
  <c r="GG769" i="9"/>
  <c r="GF769" i="9"/>
  <c r="GE769" i="9"/>
  <c r="GD769" i="9"/>
  <c r="GC769" i="9"/>
  <c r="FZ769" i="9"/>
  <c r="FU769" i="9"/>
  <c r="FT769" i="9"/>
  <c r="FS769" i="9"/>
  <c r="FR769" i="9"/>
  <c r="FO769" i="9"/>
  <c r="FL769" i="9"/>
  <c r="FK769" i="9"/>
  <c r="CF769" i="9"/>
  <c r="CY769" i="9" s="1"/>
  <c r="AB769" i="9"/>
  <c r="HW768" i="9"/>
  <c r="HM768" i="9"/>
  <c r="HL768" i="9"/>
  <c r="HK768" i="9"/>
  <c r="HJ768" i="9"/>
  <c r="HG768" i="9"/>
  <c r="GF768" i="9"/>
  <c r="GE768" i="9"/>
  <c r="GD768" i="9"/>
  <c r="GC768" i="9"/>
  <c r="FZ768" i="9"/>
  <c r="FU768" i="9"/>
  <c r="FT768" i="9"/>
  <c r="FS768" i="9"/>
  <c r="FR768" i="9"/>
  <c r="FO768" i="9"/>
  <c r="FL768" i="9"/>
  <c r="FK768" i="9"/>
  <c r="CF768" i="9"/>
  <c r="CY768" i="9" s="1"/>
  <c r="AB768" i="9"/>
  <c r="GF767" i="9"/>
  <c r="GE767" i="9"/>
  <c r="GD767" i="9"/>
  <c r="GC767" i="9"/>
  <c r="FZ767" i="9"/>
  <c r="FU767" i="9"/>
  <c r="FT767" i="9"/>
  <c r="FS767" i="9"/>
  <c r="FR767" i="9"/>
  <c r="FO767" i="9"/>
  <c r="FL767" i="9"/>
  <c r="FK767" i="9"/>
  <c r="CF767" i="9"/>
  <c r="CY767" i="9" s="1"/>
  <c r="AD767" i="9"/>
  <c r="AB767" i="9"/>
  <c r="GF766" i="9"/>
  <c r="GE766" i="9"/>
  <c r="GD766" i="9"/>
  <c r="GC766" i="9"/>
  <c r="FZ766" i="9"/>
  <c r="FU766" i="9"/>
  <c r="FT766" i="9"/>
  <c r="FS766" i="9"/>
  <c r="FR766" i="9"/>
  <c r="FO766" i="9"/>
  <c r="FL766" i="9"/>
  <c r="FK766" i="9"/>
  <c r="CF766" i="9"/>
  <c r="CY766" i="9" s="1"/>
  <c r="HY766" i="9" s="1"/>
  <c r="AD766" i="9"/>
  <c r="AB766" i="9"/>
  <c r="GF765" i="9"/>
  <c r="GE765" i="9"/>
  <c r="GD765" i="9"/>
  <c r="GC765" i="9"/>
  <c r="FZ765" i="9"/>
  <c r="FU765" i="9"/>
  <c r="FT765" i="9"/>
  <c r="FS765" i="9"/>
  <c r="FR765" i="9"/>
  <c r="FO765" i="9"/>
  <c r="FL765" i="9"/>
  <c r="FK765" i="9"/>
  <c r="CF765" i="9"/>
  <c r="CY765" i="9" s="1"/>
  <c r="AD765" i="9"/>
  <c r="AB765" i="9"/>
  <c r="GF764" i="9"/>
  <c r="GE764" i="9"/>
  <c r="GD764" i="9"/>
  <c r="GC764" i="9"/>
  <c r="GG764" i="9" s="1"/>
  <c r="FZ764" i="9"/>
  <c r="FU764" i="9"/>
  <c r="FT764" i="9"/>
  <c r="FS764" i="9"/>
  <c r="FR764" i="9"/>
  <c r="FV764" i="9" s="1"/>
  <c r="FO764" i="9"/>
  <c r="FL764" i="9"/>
  <c r="FK764" i="9"/>
  <c r="CY764" i="9"/>
  <c r="CZ764" i="9" s="1"/>
  <c r="HZ764" i="9" s="1"/>
  <c r="CF764" i="9"/>
  <c r="AD764" i="9"/>
  <c r="AB764" i="9"/>
  <c r="GF763" i="9"/>
  <c r="GE763" i="9"/>
  <c r="GD763" i="9"/>
  <c r="GC763" i="9"/>
  <c r="GG763" i="9" s="1"/>
  <c r="FZ763" i="9"/>
  <c r="FU763" i="9"/>
  <c r="FT763" i="9"/>
  <c r="FS763" i="9"/>
  <c r="FR763" i="9"/>
  <c r="FO763" i="9"/>
  <c r="FL763" i="9"/>
  <c r="FK763" i="9"/>
  <c r="CF763" i="9"/>
  <c r="CY763" i="9" s="1"/>
  <c r="AD763" i="9"/>
  <c r="AB763" i="9"/>
  <c r="GF762" i="9"/>
  <c r="GE762" i="9"/>
  <c r="GD762" i="9"/>
  <c r="GC762" i="9"/>
  <c r="FZ762" i="9"/>
  <c r="GG762" i="9" s="1"/>
  <c r="FU762" i="9"/>
  <c r="FT762" i="9"/>
  <c r="FS762" i="9"/>
  <c r="FR762" i="9"/>
  <c r="FO762" i="9"/>
  <c r="FL762" i="9"/>
  <c r="FK762" i="9"/>
  <c r="CF762" i="9"/>
  <c r="CY762" i="9" s="1"/>
  <c r="AD762" i="9"/>
  <c r="AB762" i="9"/>
  <c r="GF761" i="9"/>
  <c r="GE761" i="9"/>
  <c r="GD761" i="9"/>
  <c r="GC761" i="9"/>
  <c r="FZ761" i="9"/>
  <c r="FU761" i="9"/>
  <c r="FT761" i="9"/>
  <c r="FS761" i="9"/>
  <c r="FR761" i="9"/>
  <c r="FO761" i="9"/>
  <c r="FL761" i="9"/>
  <c r="FK761" i="9"/>
  <c r="CF761" i="9"/>
  <c r="CY761" i="9" s="1"/>
  <c r="AD761" i="9"/>
  <c r="AB761" i="9"/>
  <c r="GF760" i="9"/>
  <c r="GE760" i="9"/>
  <c r="GD760" i="9"/>
  <c r="GC760" i="9"/>
  <c r="FZ760" i="9"/>
  <c r="FU760" i="9"/>
  <c r="FT760" i="9"/>
  <c r="FS760" i="9"/>
  <c r="FR760" i="9"/>
  <c r="FO760" i="9"/>
  <c r="FL760" i="9"/>
  <c r="FK760" i="9"/>
  <c r="CF760" i="9"/>
  <c r="CY760" i="9" s="1"/>
  <c r="DA760" i="9" s="1"/>
  <c r="IA760" i="9" s="1"/>
  <c r="AD760" i="9"/>
  <c r="AB760" i="9"/>
  <c r="GF759" i="9"/>
  <c r="GE759" i="9"/>
  <c r="GD759" i="9"/>
  <c r="GC759" i="9"/>
  <c r="FZ759" i="9"/>
  <c r="FU759" i="9"/>
  <c r="FT759" i="9"/>
  <c r="FS759" i="9"/>
  <c r="FR759" i="9"/>
  <c r="FO759" i="9"/>
  <c r="FL759" i="9"/>
  <c r="FK759" i="9"/>
  <c r="CF759" i="9"/>
  <c r="CY759" i="9" s="1"/>
  <c r="AD759" i="9"/>
  <c r="AB759" i="9"/>
  <c r="HM758" i="9"/>
  <c r="HW758" i="9" s="1"/>
  <c r="HL758" i="9"/>
  <c r="HK758" i="9"/>
  <c r="HJ758" i="9"/>
  <c r="HG758" i="9"/>
  <c r="GF758" i="9"/>
  <c r="GE758" i="9"/>
  <c r="GD758" i="9"/>
  <c r="GC758" i="9"/>
  <c r="FZ758" i="9"/>
  <c r="FU758" i="9"/>
  <c r="FT758" i="9"/>
  <c r="FS758" i="9"/>
  <c r="FR758" i="9"/>
  <c r="FV758" i="9" s="1"/>
  <c r="FO758" i="9"/>
  <c r="FL758" i="9"/>
  <c r="FK758" i="9"/>
  <c r="CF758" i="9"/>
  <c r="CY758" i="9" s="1"/>
  <c r="AF758" i="9"/>
  <c r="AD758" i="9"/>
  <c r="AB758" i="9"/>
  <c r="HM757" i="9"/>
  <c r="HW757" i="9" s="1"/>
  <c r="HL757" i="9"/>
  <c r="HK757" i="9"/>
  <c r="HJ757" i="9"/>
  <c r="HN757" i="9" s="1"/>
  <c r="HG757" i="9"/>
  <c r="GF757" i="9"/>
  <c r="GE757" i="9"/>
  <c r="GD757" i="9"/>
  <c r="GC757" i="9"/>
  <c r="GG757" i="9" s="1"/>
  <c r="FZ757" i="9"/>
  <c r="FU757" i="9"/>
  <c r="FT757" i="9"/>
  <c r="FS757" i="9"/>
  <c r="FR757" i="9"/>
  <c r="FO757" i="9"/>
  <c r="FL757" i="9"/>
  <c r="FK757" i="9"/>
  <c r="CF757" i="9"/>
  <c r="CY757" i="9" s="1"/>
  <c r="HY757" i="9" s="1"/>
  <c r="AF757" i="9"/>
  <c r="AD757" i="9"/>
  <c r="AB757" i="9"/>
  <c r="HM756" i="9"/>
  <c r="HW756" i="9" s="1"/>
  <c r="HL756" i="9"/>
  <c r="HK756" i="9"/>
  <c r="HJ756" i="9"/>
  <c r="HN756" i="9" s="1"/>
  <c r="HG756" i="9"/>
  <c r="GF756" i="9"/>
  <c r="GE756" i="9"/>
  <c r="GD756" i="9"/>
  <c r="GC756" i="9"/>
  <c r="FZ756" i="9"/>
  <c r="FU756" i="9"/>
  <c r="FT756" i="9"/>
  <c r="FS756" i="9"/>
  <c r="FR756" i="9"/>
  <c r="FO756" i="9"/>
  <c r="FL756" i="9"/>
  <c r="FK756" i="9"/>
  <c r="CF756" i="9"/>
  <c r="CY756" i="9" s="1"/>
  <c r="AF756" i="9"/>
  <c r="AD756" i="9"/>
  <c r="AB756" i="9"/>
  <c r="HM755" i="9"/>
  <c r="HW755" i="9" s="1"/>
  <c r="HL755" i="9"/>
  <c r="HK755" i="9"/>
  <c r="HJ755" i="9"/>
  <c r="HG755" i="9"/>
  <c r="GF755" i="9"/>
  <c r="GE755" i="9"/>
  <c r="GD755" i="9"/>
  <c r="GC755" i="9"/>
  <c r="FZ755" i="9"/>
  <c r="FU755" i="9"/>
  <c r="FT755" i="9"/>
  <c r="FS755" i="9"/>
  <c r="FR755" i="9"/>
  <c r="FV755" i="9" s="1"/>
  <c r="FO755" i="9"/>
  <c r="FL755" i="9"/>
  <c r="FK755" i="9"/>
  <c r="CF755" i="9"/>
  <c r="CY755" i="9" s="1"/>
  <c r="AF755" i="9"/>
  <c r="AD755" i="9"/>
  <c r="AB755" i="9"/>
  <c r="HM754" i="9"/>
  <c r="HW754" i="9" s="1"/>
  <c r="HL754" i="9"/>
  <c r="HK754" i="9"/>
  <c r="HI754" i="9"/>
  <c r="HJ754" i="9" s="1"/>
  <c r="HF754" i="9"/>
  <c r="HG754" i="9" s="1"/>
  <c r="FU754" i="9"/>
  <c r="FT754" i="9"/>
  <c r="FS754" i="9"/>
  <c r="FQ754" i="9"/>
  <c r="FR754" i="9" s="1"/>
  <c r="FO754" i="9"/>
  <c r="FN754" i="9"/>
  <c r="FL754" i="9"/>
  <c r="FK754" i="9"/>
  <c r="FH754" i="9"/>
  <c r="FG754" i="9"/>
  <c r="FF754" i="9"/>
  <c r="FD754" i="9"/>
  <c r="FE754" i="9" s="1"/>
  <c r="FA754" i="9"/>
  <c r="FB754" i="9" s="1"/>
  <c r="AX754" i="9"/>
  <c r="AZ754" i="9" s="1"/>
  <c r="AB754" i="9"/>
  <c r="FU753" i="9"/>
  <c r="FT753" i="9"/>
  <c r="FS753" i="9"/>
  <c r="FR753" i="9"/>
  <c r="FO753" i="9"/>
  <c r="FL753" i="9"/>
  <c r="FK753" i="9"/>
  <c r="BT753" i="9"/>
  <c r="BY753" i="9" s="1"/>
  <c r="BI753" i="9"/>
  <c r="AX753" i="9"/>
  <c r="AB753" i="9"/>
  <c r="FU752" i="9"/>
  <c r="FT752" i="9"/>
  <c r="FS752" i="9"/>
  <c r="FR752" i="9"/>
  <c r="FO752" i="9"/>
  <c r="FL752" i="9"/>
  <c r="FK752" i="9"/>
  <c r="AX752" i="9"/>
  <c r="AZ752" i="9" s="1"/>
  <c r="AB752" i="9"/>
  <c r="HM751" i="9"/>
  <c r="HW751" i="9" s="1"/>
  <c r="HL751" i="9"/>
  <c r="HK751" i="9"/>
  <c r="HI751" i="9"/>
  <c r="HJ751" i="9" s="1"/>
  <c r="HF751" i="9"/>
  <c r="HG751" i="9" s="1"/>
  <c r="HB751" i="9"/>
  <c r="HA751" i="9"/>
  <c r="GZ751" i="9"/>
  <c r="GX751" i="9"/>
  <c r="GY751" i="9" s="1"/>
  <c r="GU751" i="9"/>
  <c r="GV751" i="9" s="1"/>
  <c r="GQ751" i="9"/>
  <c r="GP751" i="9"/>
  <c r="GO751" i="9"/>
  <c r="GN751" i="9"/>
  <c r="GM751" i="9"/>
  <c r="GJ751" i="9"/>
  <c r="GK751" i="9" s="1"/>
  <c r="FU751" i="9"/>
  <c r="FT751" i="9"/>
  <c r="FS751" i="9"/>
  <c r="FQ751" i="9"/>
  <c r="FR751" i="9" s="1"/>
  <c r="FN751" i="9"/>
  <c r="FO751" i="9" s="1"/>
  <c r="FL751" i="9"/>
  <c r="FK751" i="9"/>
  <c r="AX751" i="9"/>
  <c r="AZ751" i="9" s="1"/>
  <c r="BA751" i="9" s="1"/>
  <c r="HZ751" i="9" s="1"/>
  <c r="AB751" i="9"/>
  <c r="HM750" i="9"/>
  <c r="HW750" i="9" s="1"/>
  <c r="HL750" i="9"/>
  <c r="HK750" i="9"/>
  <c r="HJ750" i="9"/>
  <c r="HI750" i="9"/>
  <c r="HF750" i="9"/>
  <c r="HG750" i="9" s="1"/>
  <c r="HB750" i="9"/>
  <c r="HA750" i="9"/>
  <c r="GZ750" i="9"/>
  <c r="GX750" i="9"/>
  <c r="GY750" i="9" s="1"/>
  <c r="GU750" i="9"/>
  <c r="GV750" i="9" s="1"/>
  <c r="GQ750" i="9"/>
  <c r="GP750" i="9"/>
  <c r="GO750" i="9"/>
  <c r="GM750" i="9"/>
  <c r="GN750" i="9" s="1"/>
  <c r="GR750" i="9" s="1"/>
  <c r="GJ750" i="9"/>
  <c r="GK750" i="9" s="1"/>
  <c r="FU750" i="9"/>
  <c r="FT750" i="9"/>
  <c r="FS750" i="9"/>
  <c r="FR750" i="9"/>
  <c r="FQ750" i="9"/>
  <c r="FN750" i="9"/>
  <c r="FO750" i="9" s="1"/>
  <c r="FL750" i="9"/>
  <c r="FK750" i="9"/>
  <c r="AX750" i="9"/>
  <c r="AZ750" i="9" s="1"/>
  <c r="HY750" i="9" s="1"/>
  <c r="AB750" i="9"/>
  <c r="HM749" i="9"/>
  <c r="HW749" i="9" s="1"/>
  <c r="HL749" i="9"/>
  <c r="HK749" i="9"/>
  <c r="HI749" i="9"/>
  <c r="HJ749" i="9" s="1"/>
  <c r="HF749" i="9"/>
  <c r="HG749" i="9" s="1"/>
  <c r="HB749" i="9"/>
  <c r="HA749" i="9"/>
  <c r="GZ749" i="9"/>
  <c r="GX749" i="9"/>
  <c r="GY749" i="9" s="1"/>
  <c r="GU749" i="9"/>
  <c r="GV749" i="9" s="1"/>
  <c r="GQ749" i="9"/>
  <c r="GP749" i="9"/>
  <c r="GO749" i="9"/>
  <c r="GM749" i="9"/>
  <c r="GN749" i="9" s="1"/>
  <c r="GR749" i="9" s="1"/>
  <c r="GJ749" i="9"/>
  <c r="GK749" i="9" s="1"/>
  <c r="FU749" i="9"/>
  <c r="FT749" i="9"/>
  <c r="FS749" i="9"/>
  <c r="FQ749" i="9"/>
  <c r="FR749" i="9" s="1"/>
  <c r="FN749" i="9"/>
  <c r="FO749" i="9" s="1"/>
  <c r="FL749" i="9"/>
  <c r="FK749" i="9"/>
  <c r="AZ749" i="9"/>
  <c r="HY749" i="9" s="1"/>
  <c r="AX749" i="9"/>
  <c r="AB749" i="9"/>
  <c r="HM748" i="9"/>
  <c r="HW748" i="9" s="1"/>
  <c r="HL748" i="9"/>
  <c r="HK748" i="9"/>
  <c r="HI748" i="9"/>
  <c r="HJ748" i="9" s="1"/>
  <c r="HF748" i="9"/>
  <c r="HG748" i="9" s="1"/>
  <c r="HB748" i="9"/>
  <c r="HA748" i="9"/>
  <c r="GZ748" i="9"/>
  <c r="GX748" i="9"/>
  <c r="GY748" i="9" s="1"/>
  <c r="GU748" i="9"/>
  <c r="GV748" i="9" s="1"/>
  <c r="GQ748" i="9"/>
  <c r="GP748" i="9"/>
  <c r="GO748" i="9"/>
  <c r="GM748" i="9"/>
  <c r="GN748" i="9" s="1"/>
  <c r="GJ748" i="9"/>
  <c r="GK748" i="9" s="1"/>
  <c r="FU748" i="9"/>
  <c r="FT748" i="9"/>
  <c r="FS748" i="9"/>
  <c r="FQ748" i="9"/>
  <c r="FR748" i="9" s="1"/>
  <c r="FN748" i="9"/>
  <c r="FO748" i="9" s="1"/>
  <c r="FL748" i="9"/>
  <c r="FK748" i="9"/>
  <c r="AX748" i="9"/>
  <c r="AZ748" i="9" s="1"/>
  <c r="BB748" i="9" s="1"/>
  <c r="HX748" i="9" s="1"/>
  <c r="AB748" i="9"/>
  <c r="HW747" i="9"/>
  <c r="HM747" i="9"/>
  <c r="HL747" i="9"/>
  <c r="HK747" i="9"/>
  <c r="HI747" i="9"/>
  <c r="HJ747" i="9" s="1"/>
  <c r="HF747" i="9"/>
  <c r="HG747" i="9" s="1"/>
  <c r="HB747" i="9"/>
  <c r="HA747" i="9"/>
  <c r="GZ747" i="9"/>
  <c r="GX747" i="9"/>
  <c r="GY747" i="9" s="1"/>
  <c r="GU747" i="9"/>
  <c r="GV747" i="9" s="1"/>
  <c r="GQ747" i="9"/>
  <c r="GP747" i="9"/>
  <c r="GO747" i="9"/>
  <c r="GM747" i="9"/>
  <c r="GN747" i="9" s="1"/>
  <c r="GJ747" i="9"/>
  <c r="GK747" i="9" s="1"/>
  <c r="FU747" i="9"/>
  <c r="FT747" i="9"/>
  <c r="FS747" i="9"/>
  <c r="FQ747" i="9"/>
  <c r="FR747" i="9" s="1"/>
  <c r="FN747" i="9"/>
  <c r="FO747" i="9" s="1"/>
  <c r="FL747" i="9"/>
  <c r="FK747" i="9"/>
  <c r="AX747" i="9"/>
  <c r="AZ747" i="9" s="1"/>
  <c r="BB747" i="9" s="1"/>
  <c r="IA747" i="9" s="1"/>
  <c r="AB747" i="9"/>
  <c r="HM746" i="9"/>
  <c r="HW746" i="9" s="1"/>
  <c r="HL746" i="9"/>
  <c r="HK746" i="9"/>
  <c r="HI746" i="9"/>
  <c r="HJ746" i="9" s="1"/>
  <c r="HF746" i="9"/>
  <c r="HG746" i="9" s="1"/>
  <c r="GW746" i="9"/>
  <c r="GT746" i="9"/>
  <c r="GU746" i="9" s="1"/>
  <c r="GV746" i="9" s="1"/>
  <c r="GQ746" i="9"/>
  <c r="GP746" i="9"/>
  <c r="GO746" i="9"/>
  <c r="GM746" i="9"/>
  <c r="GN746" i="9" s="1"/>
  <c r="GJ746" i="9"/>
  <c r="GK746" i="9" s="1"/>
  <c r="FU746" i="9"/>
  <c r="FT746" i="9"/>
  <c r="FS746" i="9"/>
  <c r="FQ746" i="9"/>
  <c r="FR746" i="9" s="1"/>
  <c r="FN746" i="9"/>
  <c r="FO746" i="9" s="1"/>
  <c r="FL746" i="9"/>
  <c r="FK746" i="9"/>
  <c r="CF746" i="9"/>
  <c r="CY746" i="9" s="1"/>
  <c r="AB746" i="9"/>
  <c r="HM745" i="9"/>
  <c r="HW745" i="9" s="1"/>
  <c r="HL745" i="9"/>
  <c r="HK745" i="9"/>
  <c r="HI745" i="9"/>
  <c r="HJ745" i="9" s="1"/>
  <c r="HF745" i="9"/>
  <c r="HG745" i="9" s="1"/>
  <c r="GW745" i="9"/>
  <c r="GT745" i="9"/>
  <c r="GU745" i="9" s="1"/>
  <c r="GV745" i="9" s="1"/>
  <c r="GQ745" i="9"/>
  <c r="GP745" i="9"/>
  <c r="GO745" i="9"/>
  <c r="GM745" i="9"/>
  <c r="GN745" i="9" s="1"/>
  <c r="GJ745" i="9"/>
  <c r="GK745" i="9" s="1"/>
  <c r="FU745" i="9"/>
  <c r="FT745" i="9"/>
  <c r="FS745" i="9"/>
  <c r="FQ745" i="9"/>
  <c r="FR745" i="9" s="1"/>
  <c r="FN745" i="9"/>
  <c r="FO745" i="9" s="1"/>
  <c r="FL745" i="9"/>
  <c r="FK745" i="9"/>
  <c r="CF745" i="9"/>
  <c r="CY745" i="9" s="1"/>
  <c r="AB745" i="9"/>
  <c r="HM744" i="9"/>
  <c r="HW744" i="9" s="1"/>
  <c r="HL744" i="9"/>
  <c r="HK744" i="9"/>
  <c r="HI744" i="9"/>
  <c r="HJ744" i="9" s="1"/>
  <c r="HF744" i="9"/>
  <c r="HG744" i="9" s="1"/>
  <c r="GW744" i="9"/>
  <c r="GX744" i="9" s="1"/>
  <c r="GY744" i="9" s="1"/>
  <c r="GT744" i="9"/>
  <c r="GQ744" i="9"/>
  <c r="GP744" i="9"/>
  <c r="GO744" i="9"/>
  <c r="GM744" i="9"/>
  <c r="GN744" i="9" s="1"/>
  <c r="GR744" i="9" s="1"/>
  <c r="GJ744" i="9"/>
  <c r="GK744" i="9" s="1"/>
  <c r="FU744" i="9"/>
  <c r="FT744" i="9"/>
  <c r="FS744" i="9"/>
  <c r="FQ744" i="9"/>
  <c r="FR744" i="9" s="1"/>
  <c r="FV744" i="9" s="1"/>
  <c r="FN744" i="9"/>
  <c r="FO744" i="9" s="1"/>
  <c r="FL744" i="9"/>
  <c r="FK744" i="9"/>
  <c r="CF744" i="9"/>
  <c r="CY744" i="9" s="1"/>
  <c r="AB744" i="9"/>
  <c r="HM743" i="9"/>
  <c r="HW743" i="9" s="1"/>
  <c r="HL743" i="9"/>
  <c r="HK743" i="9"/>
  <c r="HJ743" i="9"/>
  <c r="HI743" i="9"/>
  <c r="HF743" i="9"/>
  <c r="HG743" i="9" s="1"/>
  <c r="HN743" i="9" s="1"/>
  <c r="GW743" i="9"/>
  <c r="GX743" i="9" s="1"/>
  <c r="GY743" i="9" s="1"/>
  <c r="GT743" i="9"/>
  <c r="GU743" i="9" s="1"/>
  <c r="GV743" i="9" s="1"/>
  <c r="GQ743" i="9"/>
  <c r="GP743" i="9"/>
  <c r="GO743" i="9"/>
  <c r="GM743" i="9"/>
  <c r="GN743" i="9" s="1"/>
  <c r="GJ743" i="9"/>
  <c r="GK743" i="9" s="1"/>
  <c r="FU743" i="9"/>
  <c r="FT743" i="9"/>
  <c r="FS743" i="9"/>
  <c r="FQ743" i="9"/>
  <c r="FR743" i="9" s="1"/>
  <c r="FN743" i="9"/>
  <c r="FO743" i="9" s="1"/>
  <c r="FL743" i="9"/>
  <c r="FK743" i="9"/>
  <c r="BT743" i="9"/>
  <c r="BY743" i="9" s="1"/>
  <c r="BZ743" i="9" s="1"/>
  <c r="HZ743" i="9" s="1"/>
  <c r="AB743" i="9"/>
  <c r="HM742" i="9"/>
  <c r="HW742" i="9" s="1"/>
  <c r="HL742" i="9"/>
  <c r="HK742" i="9"/>
  <c r="HJ742" i="9"/>
  <c r="HI742" i="9"/>
  <c r="HF742" i="9"/>
  <c r="HG742" i="9" s="1"/>
  <c r="GW742" i="9"/>
  <c r="GX742" i="9" s="1"/>
  <c r="GY742" i="9" s="1"/>
  <c r="GT742" i="9"/>
  <c r="GQ742" i="9"/>
  <c r="GP742" i="9"/>
  <c r="GO742" i="9"/>
  <c r="GM742" i="9"/>
  <c r="GN742" i="9" s="1"/>
  <c r="GJ742" i="9"/>
  <c r="GK742" i="9" s="1"/>
  <c r="FU742" i="9"/>
  <c r="FT742" i="9"/>
  <c r="FS742" i="9"/>
  <c r="FQ742" i="9"/>
  <c r="FR742" i="9" s="1"/>
  <c r="FN742" i="9"/>
  <c r="FO742" i="9" s="1"/>
  <c r="FL742" i="9"/>
  <c r="FK742" i="9"/>
  <c r="BT742" i="9"/>
  <c r="BY742" i="9" s="1"/>
  <c r="BZ742" i="9" s="1"/>
  <c r="HZ742" i="9" s="1"/>
  <c r="AB742" i="9"/>
  <c r="HW741" i="9"/>
  <c r="HM741" i="9"/>
  <c r="HL741" i="9"/>
  <c r="HK741" i="9"/>
  <c r="HI741" i="9"/>
  <c r="HJ741" i="9" s="1"/>
  <c r="HG741" i="9"/>
  <c r="HF741" i="9"/>
  <c r="GW741" i="9"/>
  <c r="GX741" i="9" s="1"/>
  <c r="GY741" i="9" s="1"/>
  <c r="GT741" i="9"/>
  <c r="GQ741" i="9"/>
  <c r="GP741" i="9"/>
  <c r="GO741" i="9"/>
  <c r="GN741" i="9"/>
  <c r="GM741" i="9"/>
  <c r="GJ741" i="9"/>
  <c r="GK741" i="9" s="1"/>
  <c r="FU741" i="9"/>
  <c r="FT741" i="9"/>
  <c r="FS741" i="9"/>
  <c r="FR741" i="9"/>
  <c r="FQ741" i="9"/>
  <c r="FN741" i="9"/>
  <c r="FO741" i="9" s="1"/>
  <c r="FL741" i="9"/>
  <c r="FK741" i="9"/>
  <c r="BT741" i="9"/>
  <c r="BY741" i="9" s="1"/>
  <c r="AB741" i="9"/>
  <c r="HM740" i="9"/>
  <c r="HW740" i="9" s="1"/>
  <c r="HL740" i="9"/>
  <c r="HK740" i="9"/>
  <c r="HI740" i="9"/>
  <c r="HJ740" i="9" s="1"/>
  <c r="HF740" i="9"/>
  <c r="HG740" i="9" s="1"/>
  <c r="GW740" i="9"/>
  <c r="GT740" i="9"/>
  <c r="GU740" i="9" s="1"/>
  <c r="GV740" i="9" s="1"/>
  <c r="GQ740" i="9"/>
  <c r="GP740" i="9"/>
  <c r="GO740" i="9"/>
  <c r="GN740" i="9"/>
  <c r="GM740" i="9"/>
  <c r="GJ740" i="9"/>
  <c r="GK740" i="9" s="1"/>
  <c r="FU740" i="9"/>
  <c r="FT740" i="9"/>
  <c r="FS740" i="9"/>
  <c r="FQ740" i="9"/>
  <c r="FR740" i="9" s="1"/>
  <c r="FN740" i="9"/>
  <c r="FO740" i="9" s="1"/>
  <c r="FL740" i="9"/>
  <c r="FK740" i="9"/>
  <c r="AZ740" i="9"/>
  <c r="AX740" i="9"/>
  <c r="AB740" i="9"/>
  <c r="HW739" i="9"/>
  <c r="HM739" i="9"/>
  <c r="HL739" i="9"/>
  <c r="HK739" i="9"/>
  <c r="HI739" i="9"/>
  <c r="HJ739" i="9" s="1"/>
  <c r="HF739" i="9"/>
  <c r="HG739" i="9" s="1"/>
  <c r="FU739" i="9"/>
  <c r="FT739" i="9"/>
  <c r="FS739" i="9"/>
  <c r="FQ739" i="9"/>
  <c r="FR739" i="9" s="1"/>
  <c r="FN739" i="9"/>
  <c r="FO739" i="9" s="1"/>
  <c r="FL739" i="9"/>
  <c r="FK739" i="9"/>
  <c r="CF739" i="9"/>
  <c r="CY739" i="9" s="1"/>
  <c r="HY739" i="9" s="1"/>
  <c r="AB739" i="9"/>
  <c r="HM738" i="9"/>
  <c r="HW738" i="9" s="1"/>
  <c r="HL738" i="9"/>
  <c r="HK738" i="9"/>
  <c r="HI738" i="9"/>
  <c r="HJ738" i="9" s="1"/>
  <c r="HF738" i="9"/>
  <c r="HG738" i="9" s="1"/>
  <c r="FU738" i="9"/>
  <c r="FT738" i="9"/>
  <c r="FS738" i="9"/>
  <c r="FQ738" i="9"/>
  <c r="FR738" i="9" s="1"/>
  <c r="FN738" i="9"/>
  <c r="FO738" i="9" s="1"/>
  <c r="FL738" i="9"/>
  <c r="FK738" i="9"/>
  <c r="CF738" i="9"/>
  <c r="CY738" i="9" s="1"/>
  <c r="DA738" i="9" s="1"/>
  <c r="AB738" i="9"/>
  <c r="HM737" i="9"/>
  <c r="HW737" i="9" s="1"/>
  <c r="HL737" i="9"/>
  <c r="HK737" i="9"/>
  <c r="HI737" i="9"/>
  <c r="HJ737" i="9" s="1"/>
  <c r="HF737" i="9"/>
  <c r="HG737" i="9" s="1"/>
  <c r="FU737" i="9"/>
  <c r="FT737" i="9"/>
  <c r="FS737" i="9"/>
  <c r="FQ737" i="9"/>
  <c r="FR737" i="9" s="1"/>
  <c r="FN737" i="9"/>
  <c r="FO737" i="9" s="1"/>
  <c r="FL737" i="9"/>
  <c r="FK737" i="9"/>
  <c r="AX737" i="9"/>
  <c r="AZ737" i="9" s="1"/>
  <c r="BB737" i="9" s="1"/>
  <c r="IA737" i="9" s="1"/>
  <c r="AB737" i="9"/>
  <c r="HM736" i="9"/>
  <c r="HW736" i="9" s="1"/>
  <c r="HL736" i="9"/>
  <c r="HK736" i="9"/>
  <c r="HI736" i="9"/>
  <c r="HJ736" i="9" s="1"/>
  <c r="HF736" i="9"/>
  <c r="HG736" i="9" s="1"/>
  <c r="FU736" i="9"/>
  <c r="FT736" i="9"/>
  <c r="FS736" i="9"/>
  <c r="FQ736" i="9"/>
  <c r="FR736" i="9" s="1"/>
  <c r="FN736" i="9"/>
  <c r="FO736" i="9" s="1"/>
  <c r="FL736" i="9"/>
  <c r="FK736" i="9"/>
  <c r="AX736" i="9"/>
  <c r="AZ736" i="9" s="1"/>
  <c r="AB736" i="9"/>
  <c r="HM735" i="9"/>
  <c r="HW735" i="9" s="1"/>
  <c r="HL735" i="9"/>
  <c r="HK735" i="9"/>
  <c r="HJ735" i="9"/>
  <c r="HN735" i="9" s="1"/>
  <c r="HG735" i="9"/>
  <c r="GF735" i="9"/>
  <c r="GE735" i="9"/>
  <c r="GD735" i="9"/>
  <c r="GC735" i="9"/>
  <c r="FZ735" i="9"/>
  <c r="FU735" i="9"/>
  <c r="FT735" i="9"/>
  <c r="FS735" i="9"/>
  <c r="FR735" i="9"/>
  <c r="FO735" i="9"/>
  <c r="FL735" i="9"/>
  <c r="FK735" i="9"/>
  <c r="CY735" i="9"/>
  <c r="CZ735" i="9" s="1"/>
  <c r="HZ735" i="9" s="1"/>
  <c r="CF735" i="9"/>
  <c r="AB735" i="9"/>
  <c r="HM734" i="9"/>
  <c r="HW734" i="9" s="1"/>
  <c r="HL734" i="9"/>
  <c r="HK734" i="9"/>
  <c r="HJ734" i="9"/>
  <c r="HG734" i="9"/>
  <c r="GF734" i="9"/>
  <c r="GE734" i="9"/>
  <c r="GD734" i="9"/>
  <c r="GC734" i="9"/>
  <c r="FZ734" i="9"/>
  <c r="FU734" i="9"/>
  <c r="FT734" i="9"/>
  <c r="FS734" i="9"/>
  <c r="FR734" i="9"/>
  <c r="FV734" i="9" s="1"/>
  <c r="FO734" i="9"/>
  <c r="FL734" i="9"/>
  <c r="FK734" i="9"/>
  <c r="CF734" i="9"/>
  <c r="CY734" i="9" s="1"/>
  <c r="AB734" i="9"/>
  <c r="HM733" i="9"/>
  <c r="HW733" i="9" s="1"/>
  <c r="HL733" i="9"/>
  <c r="HK733" i="9"/>
  <c r="HJ733" i="9"/>
  <c r="HG733" i="9"/>
  <c r="GF733" i="9"/>
  <c r="GE733" i="9"/>
  <c r="GD733" i="9"/>
  <c r="GC733" i="9"/>
  <c r="FZ733" i="9"/>
  <c r="FU733" i="9"/>
  <c r="FT733" i="9"/>
  <c r="FS733" i="9"/>
  <c r="FR733" i="9"/>
  <c r="FO733" i="9"/>
  <c r="FL733" i="9"/>
  <c r="FK733" i="9"/>
  <c r="CF733" i="9"/>
  <c r="CY733" i="9" s="1"/>
  <c r="AB733" i="9"/>
  <c r="HW732" i="9"/>
  <c r="HM732" i="9"/>
  <c r="HL732" i="9"/>
  <c r="HK732" i="9"/>
  <c r="HJ732" i="9"/>
  <c r="HG732" i="9"/>
  <c r="GF732" i="9"/>
  <c r="GE732" i="9"/>
  <c r="GD732" i="9"/>
  <c r="GC732" i="9"/>
  <c r="FZ732" i="9"/>
  <c r="FU732" i="9"/>
  <c r="FT732" i="9"/>
  <c r="FS732" i="9"/>
  <c r="FR732" i="9"/>
  <c r="FO732" i="9"/>
  <c r="FL732" i="9"/>
  <c r="FK732" i="9"/>
  <c r="CF732" i="9"/>
  <c r="CY732" i="9" s="1"/>
  <c r="AB732" i="9"/>
  <c r="HM731" i="9"/>
  <c r="HW731" i="9" s="1"/>
  <c r="HL731" i="9"/>
  <c r="HK731" i="9"/>
  <c r="HJ731" i="9"/>
  <c r="HN731" i="9" s="1"/>
  <c r="HG731" i="9"/>
  <c r="GF731" i="9"/>
  <c r="GE731" i="9"/>
  <c r="GD731" i="9"/>
  <c r="GC731" i="9"/>
  <c r="GG731" i="9" s="1"/>
  <c r="FZ731" i="9"/>
  <c r="FU731" i="9"/>
  <c r="FT731" i="9"/>
  <c r="FS731" i="9"/>
  <c r="FR731" i="9"/>
  <c r="FV731" i="9" s="1"/>
  <c r="FO731" i="9"/>
  <c r="FL731" i="9"/>
  <c r="FK731" i="9"/>
  <c r="CF731" i="9"/>
  <c r="CY731" i="9" s="1"/>
  <c r="AB731" i="9"/>
  <c r="HM730" i="9"/>
  <c r="HW730" i="9" s="1"/>
  <c r="HL730" i="9"/>
  <c r="HK730" i="9"/>
  <c r="HJ730" i="9"/>
  <c r="HG730" i="9"/>
  <c r="GF730" i="9"/>
  <c r="GE730" i="9"/>
  <c r="GD730" i="9"/>
  <c r="GC730" i="9"/>
  <c r="FZ730" i="9"/>
  <c r="FU730" i="9"/>
  <c r="FT730" i="9"/>
  <c r="FS730" i="9"/>
  <c r="FR730" i="9"/>
  <c r="FO730" i="9"/>
  <c r="FL730" i="9"/>
  <c r="FK730" i="9"/>
  <c r="CF730" i="9"/>
  <c r="CY730" i="9" s="1"/>
  <c r="AB730" i="9"/>
  <c r="HM729" i="9"/>
  <c r="HW729" i="9" s="1"/>
  <c r="HL729" i="9"/>
  <c r="HK729" i="9"/>
  <c r="HJ729" i="9"/>
  <c r="HN729" i="9" s="1"/>
  <c r="HG729" i="9"/>
  <c r="GF729" i="9"/>
  <c r="GE729" i="9"/>
  <c r="GD729" i="9"/>
  <c r="GC729" i="9"/>
  <c r="GG729" i="9" s="1"/>
  <c r="FZ729" i="9"/>
  <c r="FU729" i="9"/>
  <c r="FT729" i="9"/>
  <c r="FS729" i="9"/>
  <c r="FR729" i="9"/>
  <c r="FO729" i="9"/>
  <c r="FL729" i="9"/>
  <c r="FK729" i="9"/>
  <c r="CF729" i="9"/>
  <c r="CY729" i="9" s="1"/>
  <c r="AB729" i="9"/>
  <c r="HM728" i="9"/>
  <c r="HW728" i="9" s="1"/>
  <c r="HL728" i="9"/>
  <c r="HK728" i="9"/>
  <c r="HJ728" i="9"/>
  <c r="HG728" i="9"/>
  <c r="GF728" i="9"/>
  <c r="GE728" i="9"/>
  <c r="GD728" i="9"/>
  <c r="GC728" i="9"/>
  <c r="GG728" i="9" s="1"/>
  <c r="FZ728" i="9"/>
  <c r="FU728" i="9"/>
  <c r="FT728" i="9"/>
  <c r="FS728" i="9"/>
  <c r="FR728" i="9"/>
  <c r="FO728" i="9"/>
  <c r="FL728" i="9"/>
  <c r="FK728" i="9"/>
  <c r="CF728" i="9"/>
  <c r="CY728" i="9" s="1"/>
  <c r="AB728" i="9"/>
  <c r="HM727" i="9"/>
  <c r="HW727" i="9" s="1"/>
  <c r="HL727" i="9"/>
  <c r="HK727" i="9"/>
  <c r="HJ727" i="9"/>
  <c r="HG727" i="9"/>
  <c r="GF727" i="9"/>
  <c r="GE727" i="9"/>
  <c r="GD727" i="9"/>
  <c r="GC727" i="9"/>
  <c r="FZ727" i="9"/>
  <c r="FU727" i="9"/>
  <c r="FT727" i="9"/>
  <c r="FS727" i="9"/>
  <c r="FR727" i="9"/>
  <c r="FO727" i="9"/>
  <c r="FL727" i="9"/>
  <c r="FK727" i="9"/>
  <c r="CY727" i="9"/>
  <c r="CZ727" i="9" s="1"/>
  <c r="HZ727" i="9" s="1"/>
  <c r="CF727" i="9"/>
  <c r="AB727" i="9"/>
  <c r="FU726" i="9"/>
  <c r="FT726" i="9"/>
  <c r="FS726" i="9"/>
  <c r="FR726" i="9"/>
  <c r="FO726" i="9"/>
  <c r="FL726" i="9"/>
  <c r="FK726" i="9"/>
  <c r="BT726" i="9"/>
  <c r="BY726" i="9" s="1"/>
  <c r="AB726" i="9"/>
  <c r="FU725" i="9"/>
  <c r="FT725" i="9"/>
  <c r="FS725" i="9"/>
  <c r="FR725" i="9"/>
  <c r="FO725" i="9"/>
  <c r="FL725" i="9"/>
  <c r="FK725" i="9"/>
  <c r="BT725" i="9"/>
  <c r="BY725" i="9" s="1"/>
  <c r="AB725" i="9"/>
  <c r="FU724" i="9"/>
  <c r="FT724" i="9"/>
  <c r="FS724" i="9"/>
  <c r="FR724" i="9"/>
  <c r="FV724" i="9" s="1"/>
  <c r="FO724" i="9"/>
  <c r="FL724" i="9"/>
  <c r="FK724" i="9"/>
  <c r="BT724" i="9"/>
  <c r="BY724" i="9" s="1"/>
  <c r="AB724" i="9"/>
  <c r="HM723" i="9"/>
  <c r="HW723" i="9" s="1"/>
  <c r="HL723" i="9"/>
  <c r="HK723" i="9"/>
  <c r="HJ723" i="9"/>
  <c r="HG723" i="9"/>
  <c r="GF723" i="9"/>
  <c r="GE723" i="9"/>
  <c r="GD723" i="9"/>
  <c r="GC723" i="9"/>
  <c r="FZ723" i="9"/>
  <c r="FH723" i="9"/>
  <c r="FG723" i="9"/>
  <c r="FF723" i="9"/>
  <c r="FE723" i="9"/>
  <c r="FB723" i="9"/>
  <c r="BT723" i="9"/>
  <c r="BY723" i="9" s="1"/>
  <c r="AB723" i="9"/>
  <c r="HM722" i="9"/>
  <c r="HW722" i="9" s="1"/>
  <c r="HL722" i="9"/>
  <c r="HK722" i="9"/>
  <c r="HJ722" i="9"/>
  <c r="HG722" i="9"/>
  <c r="GF722" i="9"/>
  <c r="GE722" i="9"/>
  <c r="GD722" i="9"/>
  <c r="GC722" i="9"/>
  <c r="FZ722" i="9"/>
  <c r="FH722" i="9"/>
  <c r="FG722" i="9"/>
  <c r="FF722" i="9"/>
  <c r="FE722" i="9"/>
  <c r="FI722" i="9" s="1"/>
  <c r="FB722" i="9"/>
  <c r="BT722" i="9"/>
  <c r="BY722" i="9" s="1"/>
  <c r="HY722" i="9" s="1"/>
  <c r="AB722" i="9"/>
  <c r="HH721" i="9"/>
  <c r="HM721" i="9" s="1"/>
  <c r="HW721" i="9" s="1"/>
  <c r="HE721" i="9"/>
  <c r="HF721" i="9" s="1"/>
  <c r="HG721" i="9" s="1"/>
  <c r="GC721" i="9"/>
  <c r="GA721" i="9"/>
  <c r="FZ721" i="9"/>
  <c r="FX721" i="9"/>
  <c r="FU721" i="9"/>
  <c r="FT721" i="9"/>
  <c r="FS721" i="9"/>
  <c r="FR721" i="9"/>
  <c r="FO721" i="9"/>
  <c r="FV721" i="9" s="1"/>
  <c r="FL721" i="9"/>
  <c r="FK721" i="9"/>
  <c r="CF721" i="9"/>
  <c r="CY721" i="9" s="1"/>
  <c r="BT721" i="9"/>
  <c r="AB721" i="9"/>
  <c r="HH720" i="9"/>
  <c r="HI720" i="9" s="1"/>
  <c r="HJ720" i="9" s="1"/>
  <c r="HE720" i="9"/>
  <c r="HF720" i="9" s="1"/>
  <c r="HG720" i="9" s="1"/>
  <c r="GC720" i="9"/>
  <c r="GA720" i="9"/>
  <c r="FZ720" i="9"/>
  <c r="FX720" i="9"/>
  <c r="FU720" i="9"/>
  <c r="FT720" i="9"/>
  <c r="FS720" i="9"/>
  <c r="FR720" i="9"/>
  <c r="FO720" i="9"/>
  <c r="FL720" i="9"/>
  <c r="FK720" i="9"/>
  <c r="BT720" i="9"/>
  <c r="BY720" i="9" s="1"/>
  <c r="BZ720" i="9" s="1"/>
  <c r="HZ720" i="9" s="1"/>
  <c r="AB720" i="9"/>
  <c r="HH719" i="9"/>
  <c r="HE719" i="9"/>
  <c r="HF719" i="9" s="1"/>
  <c r="HG719" i="9" s="1"/>
  <c r="GC719" i="9"/>
  <c r="GA719" i="9"/>
  <c r="FZ719" i="9"/>
  <c r="FX719" i="9"/>
  <c r="FU719" i="9"/>
  <c r="FT719" i="9"/>
  <c r="FS719" i="9"/>
  <c r="FR719" i="9"/>
  <c r="FO719" i="9"/>
  <c r="FL719" i="9"/>
  <c r="FK719" i="9"/>
  <c r="CF719" i="9"/>
  <c r="CY719" i="9" s="1"/>
  <c r="HY719" i="9" s="1"/>
  <c r="AB719" i="9"/>
  <c r="HM718" i="9"/>
  <c r="HW718" i="9" s="1"/>
  <c r="HL718" i="9"/>
  <c r="HK718" i="9"/>
  <c r="HJ718" i="9"/>
  <c r="HG718" i="9"/>
  <c r="FU718" i="9"/>
  <c r="FT718" i="9"/>
  <c r="FS718" i="9"/>
  <c r="FR718" i="9"/>
  <c r="FO718" i="9"/>
  <c r="FL718" i="9"/>
  <c r="FK718" i="9"/>
  <c r="CF718" i="9"/>
  <c r="CY718" i="9" s="1"/>
  <c r="DA718" i="9" s="1"/>
  <c r="AD718" i="9"/>
  <c r="AB718" i="9"/>
  <c r="HM717" i="9"/>
  <c r="HW717" i="9" s="1"/>
  <c r="HL717" i="9"/>
  <c r="HK717" i="9"/>
  <c r="HJ717" i="9"/>
  <c r="HG717" i="9"/>
  <c r="FU717" i="9"/>
  <c r="FT717" i="9"/>
  <c r="FS717" i="9"/>
  <c r="FR717" i="9"/>
  <c r="FV717" i="9" s="1"/>
  <c r="FO717" i="9"/>
  <c r="FL717" i="9"/>
  <c r="FK717" i="9"/>
  <c r="AX717" i="9"/>
  <c r="AZ717" i="9" s="1"/>
  <c r="BA717" i="9" s="1"/>
  <c r="HZ717" i="9" s="1"/>
  <c r="AD717" i="9"/>
  <c r="AB717" i="9"/>
  <c r="HM716" i="9"/>
  <c r="HW716" i="9" s="1"/>
  <c r="HL716" i="9"/>
  <c r="HK716" i="9"/>
  <c r="HJ716" i="9"/>
  <c r="HG716" i="9"/>
  <c r="GF716" i="9"/>
  <c r="GE716" i="9"/>
  <c r="GD716" i="9"/>
  <c r="GC716" i="9"/>
  <c r="FZ716" i="9"/>
  <c r="FU716" i="9"/>
  <c r="FT716" i="9"/>
  <c r="FS716" i="9"/>
  <c r="FR716" i="9"/>
  <c r="FO716" i="9"/>
  <c r="FL716" i="9"/>
  <c r="FK716" i="9"/>
  <c r="CY716" i="9"/>
  <c r="CF716" i="9"/>
  <c r="AX716" i="9"/>
  <c r="EW716" i="9" s="1"/>
  <c r="HY716" i="9" s="1"/>
  <c r="AB716" i="9"/>
  <c r="HM715" i="9"/>
  <c r="HW715" i="9" s="1"/>
  <c r="HL715" i="9"/>
  <c r="HK715" i="9"/>
  <c r="HJ715" i="9"/>
  <c r="HG715" i="9"/>
  <c r="GF715" i="9"/>
  <c r="GE715" i="9"/>
  <c r="GD715" i="9"/>
  <c r="GC715" i="9"/>
  <c r="FZ715" i="9"/>
  <c r="FU715" i="9"/>
  <c r="FT715" i="9"/>
  <c r="FS715" i="9"/>
  <c r="FR715" i="9"/>
  <c r="FO715" i="9"/>
  <c r="FV715" i="9" s="1"/>
  <c r="FL715" i="9"/>
  <c r="FK715" i="9"/>
  <c r="CF715" i="9"/>
  <c r="CY715" i="9" s="1"/>
  <c r="AX715" i="9"/>
  <c r="AB715" i="9"/>
  <c r="HM714" i="9"/>
  <c r="HW714" i="9" s="1"/>
  <c r="HL714" i="9"/>
  <c r="HK714" i="9"/>
  <c r="HJ714" i="9"/>
  <c r="HG714" i="9"/>
  <c r="GF714" i="9"/>
  <c r="GE714" i="9"/>
  <c r="GD714" i="9"/>
  <c r="GC714" i="9"/>
  <c r="GG714" i="9" s="1"/>
  <c r="FZ714" i="9"/>
  <c r="FU714" i="9"/>
  <c r="FT714" i="9"/>
  <c r="FS714" i="9"/>
  <c r="FR714" i="9"/>
  <c r="FO714" i="9"/>
  <c r="FL714" i="9"/>
  <c r="FK714" i="9"/>
  <c r="CF714" i="9"/>
  <c r="CY714" i="9" s="1"/>
  <c r="AX714" i="9"/>
  <c r="AB714" i="9"/>
  <c r="HM713" i="9"/>
  <c r="HW713" i="9" s="1"/>
  <c r="HL713" i="9"/>
  <c r="HK713" i="9"/>
  <c r="HJ713" i="9"/>
  <c r="HG713" i="9"/>
  <c r="GF713" i="9"/>
  <c r="GE713" i="9"/>
  <c r="GD713" i="9"/>
  <c r="GC713" i="9"/>
  <c r="FZ713" i="9"/>
  <c r="FU713" i="9"/>
  <c r="FT713" i="9"/>
  <c r="FS713" i="9"/>
  <c r="FR713" i="9"/>
  <c r="FO713" i="9"/>
  <c r="FL713" i="9"/>
  <c r="FK713" i="9"/>
  <c r="CF713" i="9"/>
  <c r="AX713" i="9"/>
  <c r="AZ713" i="9" s="1"/>
  <c r="AB713" i="9"/>
  <c r="HM712" i="9"/>
  <c r="HW712" i="9" s="1"/>
  <c r="HL712" i="9"/>
  <c r="HK712" i="9"/>
  <c r="HJ712" i="9"/>
  <c r="HN712" i="9" s="1"/>
  <c r="HG712" i="9"/>
  <c r="GF712" i="9"/>
  <c r="GE712" i="9"/>
  <c r="GD712" i="9"/>
  <c r="GC712" i="9"/>
  <c r="FZ712" i="9"/>
  <c r="FU712" i="9"/>
  <c r="FT712" i="9"/>
  <c r="FS712" i="9"/>
  <c r="FR712" i="9"/>
  <c r="FO712" i="9"/>
  <c r="FL712" i="9"/>
  <c r="FK712" i="9"/>
  <c r="CF712" i="9"/>
  <c r="CY712" i="9" s="1"/>
  <c r="DA712" i="9" s="1"/>
  <c r="AX712" i="9"/>
  <c r="AZ712" i="9" s="1"/>
  <c r="AB712" i="9"/>
  <c r="GF711" i="9"/>
  <c r="GE711" i="9"/>
  <c r="GD711" i="9"/>
  <c r="GC711" i="9"/>
  <c r="FZ711" i="9"/>
  <c r="FU711" i="9"/>
  <c r="FT711" i="9"/>
  <c r="FS711" i="9"/>
  <c r="FQ711" i="9"/>
  <c r="FR711" i="9" s="1"/>
  <c r="FN711" i="9"/>
  <c r="FO711" i="9" s="1"/>
  <c r="FL711" i="9"/>
  <c r="FK711" i="9"/>
  <c r="DE711" i="9"/>
  <c r="DS711" i="9" s="1"/>
  <c r="HY711" i="9" s="1"/>
  <c r="AB711" i="9"/>
  <c r="HM710" i="9"/>
  <c r="HW710" i="9" s="1"/>
  <c r="HL710" i="9"/>
  <c r="HK710" i="9"/>
  <c r="HJ710" i="9"/>
  <c r="HG710" i="9"/>
  <c r="FH710" i="9"/>
  <c r="FG710" i="9"/>
  <c r="FF710" i="9"/>
  <c r="FE710" i="9"/>
  <c r="FB710" i="9"/>
  <c r="DE710" i="9"/>
  <c r="DS710" i="9" s="1"/>
  <c r="HM709" i="9"/>
  <c r="HW709" i="9" s="1"/>
  <c r="HL709" i="9"/>
  <c r="HK709" i="9"/>
  <c r="HJ709" i="9"/>
  <c r="HG709" i="9"/>
  <c r="FH709" i="9"/>
  <c r="FG709" i="9"/>
  <c r="FF709" i="9"/>
  <c r="FE709" i="9"/>
  <c r="FB709" i="9"/>
  <c r="DE709" i="9"/>
  <c r="DS709" i="9" s="1"/>
  <c r="HW708" i="9"/>
  <c r="HM708" i="9"/>
  <c r="HL708" i="9"/>
  <c r="HK708" i="9"/>
  <c r="HJ708" i="9"/>
  <c r="HG708" i="9"/>
  <c r="FH708" i="9"/>
  <c r="FG708" i="9"/>
  <c r="FF708" i="9"/>
  <c r="FE708" i="9"/>
  <c r="FB708" i="9"/>
  <c r="DE708" i="9"/>
  <c r="DS708" i="9" s="1"/>
  <c r="HM707" i="9"/>
  <c r="HW707" i="9" s="1"/>
  <c r="HL707" i="9"/>
  <c r="HK707" i="9"/>
  <c r="HJ707" i="9"/>
  <c r="HG707" i="9"/>
  <c r="FH707" i="9"/>
  <c r="FG707" i="9"/>
  <c r="FF707" i="9"/>
  <c r="FE707" i="9"/>
  <c r="FI707" i="9" s="1"/>
  <c r="FB707" i="9"/>
  <c r="DE707" i="9"/>
  <c r="DS707" i="9" s="1"/>
  <c r="HY707" i="9" s="1"/>
  <c r="HM706" i="9"/>
  <c r="HW706" i="9" s="1"/>
  <c r="HL706" i="9"/>
  <c r="HK706" i="9"/>
  <c r="HI706" i="9"/>
  <c r="HJ706" i="9" s="1"/>
  <c r="HF706" i="9"/>
  <c r="HG706" i="9" s="1"/>
  <c r="GF706" i="9"/>
  <c r="GE706" i="9"/>
  <c r="GD706" i="9"/>
  <c r="GB706" i="9"/>
  <c r="GC706" i="9" s="1"/>
  <c r="FY706" i="9"/>
  <c r="FZ706" i="9" s="1"/>
  <c r="FU706" i="9"/>
  <c r="FT706" i="9"/>
  <c r="FS706" i="9"/>
  <c r="FQ706" i="9"/>
  <c r="FR706" i="9" s="1"/>
  <c r="FN706" i="9"/>
  <c r="FO706" i="9" s="1"/>
  <c r="FL706" i="9"/>
  <c r="FK706" i="9"/>
  <c r="FH706" i="9"/>
  <c r="FG706" i="9"/>
  <c r="FF706" i="9"/>
  <c r="FD706" i="9"/>
  <c r="FE706" i="9" s="1"/>
  <c r="FA706" i="9"/>
  <c r="FB706" i="9" s="1"/>
  <c r="DE706" i="9"/>
  <c r="DS706" i="9" s="1"/>
  <c r="AB706" i="9"/>
  <c r="HM705" i="9"/>
  <c r="HW705" i="9" s="1"/>
  <c r="HL705" i="9"/>
  <c r="HK705" i="9"/>
  <c r="HI705" i="9"/>
  <c r="HJ705" i="9" s="1"/>
  <c r="HF705" i="9"/>
  <c r="HG705" i="9" s="1"/>
  <c r="GF705" i="9"/>
  <c r="GE705" i="9"/>
  <c r="GD705" i="9"/>
  <c r="GB705" i="9"/>
  <c r="GC705" i="9" s="1"/>
  <c r="FY705" i="9"/>
  <c r="FZ705" i="9" s="1"/>
  <c r="FU705" i="9"/>
  <c r="FT705" i="9"/>
  <c r="FS705" i="9"/>
  <c r="FQ705" i="9"/>
  <c r="FR705" i="9" s="1"/>
  <c r="FN705" i="9"/>
  <c r="FO705" i="9" s="1"/>
  <c r="FL705" i="9"/>
  <c r="FK705" i="9"/>
  <c r="FH705" i="9"/>
  <c r="FG705" i="9"/>
  <c r="FF705" i="9"/>
  <c r="FD705" i="9"/>
  <c r="FE705" i="9" s="1"/>
  <c r="FA705" i="9"/>
  <c r="FB705" i="9" s="1"/>
  <c r="DE705" i="9"/>
  <c r="DS705" i="9" s="1"/>
  <c r="AB705" i="9"/>
  <c r="HM704" i="9"/>
  <c r="HW704" i="9" s="1"/>
  <c r="HL704" i="9"/>
  <c r="HK704" i="9"/>
  <c r="HI704" i="9"/>
  <c r="HJ704" i="9" s="1"/>
  <c r="HF704" i="9"/>
  <c r="HG704" i="9" s="1"/>
  <c r="GF704" i="9"/>
  <c r="GE704" i="9"/>
  <c r="GD704" i="9"/>
  <c r="GB704" i="9"/>
  <c r="GC704" i="9" s="1"/>
  <c r="FY704" i="9"/>
  <c r="FZ704" i="9" s="1"/>
  <c r="FU704" i="9"/>
  <c r="FT704" i="9"/>
  <c r="FS704" i="9"/>
  <c r="FQ704" i="9"/>
  <c r="FR704" i="9" s="1"/>
  <c r="FN704" i="9"/>
  <c r="FO704" i="9" s="1"/>
  <c r="FL704" i="9"/>
  <c r="FK704" i="9"/>
  <c r="FH704" i="9"/>
  <c r="FG704" i="9"/>
  <c r="FF704" i="9"/>
  <c r="FD704" i="9"/>
  <c r="FE704" i="9" s="1"/>
  <c r="FA704" i="9"/>
  <c r="FB704" i="9" s="1"/>
  <c r="DS704" i="9"/>
  <c r="DT704" i="9" s="1"/>
  <c r="HZ704" i="9" s="1"/>
  <c r="DE704" i="9"/>
  <c r="AB704" i="9"/>
  <c r="HM703" i="9"/>
  <c r="HW703" i="9" s="1"/>
  <c r="HL703" i="9"/>
  <c r="HK703" i="9"/>
  <c r="HI703" i="9"/>
  <c r="HJ703" i="9" s="1"/>
  <c r="HN703" i="9" s="1"/>
  <c r="HF703" i="9"/>
  <c r="HG703" i="9" s="1"/>
  <c r="GF703" i="9"/>
  <c r="GE703" i="9"/>
  <c r="GD703" i="9"/>
  <c r="GB703" i="9"/>
  <c r="GC703" i="9" s="1"/>
  <c r="FY703" i="9"/>
  <c r="FZ703" i="9" s="1"/>
  <c r="FU703" i="9"/>
  <c r="FT703" i="9"/>
  <c r="FS703" i="9"/>
  <c r="FQ703" i="9"/>
  <c r="FR703" i="9" s="1"/>
  <c r="FN703" i="9"/>
  <c r="FO703" i="9" s="1"/>
  <c r="FL703" i="9"/>
  <c r="FK703" i="9"/>
  <c r="FH703" i="9"/>
  <c r="FG703" i="9"/>
  <c r="FF703" i="9"/>
  <c r="FD703" i="9"/>
  <c r="FE703" i="9" s="1"/>
  <c r="FA703" i="9"/>
  <c r="FB703" i="9" s="1"/>
  <c r="DE703" i="9"/>
  <c r="DS703" i="9" s="1"/>
  <c r="DT703" i="9" s="1"/>
  <c r="HZ703" i="9" s="1"/>
  <c r="AB703" i="9"/>
  <c r="HM702" i="9"/>
  <c r="HW702" i="9" s="1"/>
  <c r="HL702" i="9"/>
  <c r="HK702" i="9"/>
  <c r="HJ702" i="9"/>
  <c r="HI702" i="9"/>
  <c r="HF702" i="9"/>
  <c r="HG702" i="9" s="1"/>
  <c r="GF702" i="9"/>
  <c r="GE702" i="9"/>
  <c r="GD702" i="9"/>
  <c r="GB702" i="9"/>
  <c r="GC702" i="9" s="1"/>
  <c r="FY702" i="9"/>
  <c r="FZ702" i="9" s="1"/>
  <c r="FU702" i="9"/>
  <c r="FT702" i="9"/>
  <c r="FS702" i="9"/>
  <c r="FQ702" i="9"/>
  <c r="FR702" i="9" s="1"/>
  <c r="FN702" i="9"/>
  <c r="FO702" i="9" s="1"/>
  <c r="FV702" i="9" s="1"/>
  <c r="FL702" i="9"/>
  <c r="FK702" i="9"/>
  <c r="FH702" i="9"/>
  <c r="FG702" i="9"/>
  <c r="FF702" i="9"/>
  <c r="FD702" i="9"/>
  <c r="FE702" i="9" s="1"/>
  <c r="FA702" i="9"/>
  <c r="FB702" i="9" s="1"/>
  <c r="DE702" i="9"/>
  <c r="DS702" i="9" s="1"/>
  <c r="DU702" i="9" s="1"/>
  <c r="AB702" i="9"/>
  <c r="HM701" i="9"/>
  <c r="HW701" i="9" s="1"/>
  <c r="HL701" i="9"/>
  <c r="HK701" i="9"/>
  <c r="HI701" i="9"/>
  <c r="HJ701" i="9" s="1"/>
  <c r="HF701" i="9"/>
  <c r="HG701" i="9" s="1"/>
  <c r="GF701" i="9"/>
  <c r="GE701" i="9"/>
  <c r="GD701" i="9"/>
  <c r="GB701" i="9"/>
  <c r="GC701" i="9" s="1"/>
  <c r="FY701" i="9"/>
  <c r="FZ701" i="9" s="1"/>
  <c r="FU701" i="9"/>
  <c r="FT701" i="9"/>
  <c r="FS701" i="9"/>
  <c r="FQ701" i="9"/>
  <c r="FR701" i="9" s="1"/>
  <c r="FN701" i="9"/>
  <c r="FO701" i="9" s="1"/>
  <c r="FL701" i="9"/>
  <c r="FK701" i="9"/>
  <c r="FH701" i="9"/>
  <c r="FG701" i="9"/>
  <c r="FF701" i="9"/>
  <c r="FD701" i="9"/>
  <c r="FE701" i="9" s="1"/>
  <c r="FA701" i="9"/>
  <c r="FB701" i="9" s="1"/>
  <c r="DE701" i="9"/>
  <c r="DS701" i="9" s="1"/>
  <c r="AB701" i="9"/>
  <c r="HM700" i="9"/>
  <c r="HW700" i="9" s="1"/>
  <c r="HL700" i="9"/>
  <c r="HK700" i="9"/>
  <c r="HI700" i="9"/>
  <c r="HJ700" i="9" s="1"/>
  <c r="HF700" i="9"/>
  <c r="HG700" i="9" s="1"/>
  <c r="GF700" i="9"/>
  <c r="GE700" i="9"/>
  <c r="GD700" i="9"/>
  <c r="GB700" i="9"/>
  <c r="GC700" i="9" s="1"/>
  <c r="FY700" i="9"/>
  <c r="FZ700" i="9" s="1"/>
  <c r="FU700" i="9"/>
  <c r="FT700" i="9"/>
  <c r="FS700" i="9"/>
  <c r="FQ700" i="9"/>
  <c r="FR700" i="9" s="1"/>
  <c r="FN700" i="9"/>
  <c r="FO700" i="9" s="1"/>
  <c r="FL700" i="9"/>
  <c r="FK700" i="9"/>
  <c r="FH700" i="9"/>
  <c r="FG700" i="9"/>
  <c r="FF700" i="9"/>
  <c r="FD700" i="9"/>
  <c r="FE700" i="9" s="1"/>
  <c r="FA700" i="9"/>
  <c r="FB700" i="9" s="1"/>
  <c r="DE700" i="9"/>
  <c r="DS700" i="9" s="1"/>
  <c r="AB700" i="9"/>
  <c r="HM699" i="9"/>
  <c r="HW699" i="9" s="1"/>
  <c r="HL699" i="9"/>
  <c r="HK699" i="9"/>
  <c r="HI699" i="9"/>
  <c r="HJ699" i="9" s="1"/>
  <c r="HF699" i="9"/>
  <c r="HG699" i="9" s="1"/>
  <c r="GF699" i="9"/>
  <c r="GE699" i="9"/>
  <c r="GD699" i="9"/>
  <c r="GB699" i="9"/>
  <c r="GC699" i="9" s="1"/>
  <c r="FY699" i="9"/>
  <c r="FZ699" i="9" s="1"/>
  <c r="FU699" i="9"/>
  <c r="FT699" i="9"/>
  <c r="FS699" i="9"/>
  <c r="FQ699" i="9"/>
  <c r="FR699" i="9" s="1"/>
  <c r="FN699" i="9"/>
  <c r="FO699" i="9" s="1"/>
  <c r="FL699" i="9"/>
  <c r="FK699" i="9"/>
  <c r="FH699" i="9"/>
  <c r="FG699" i="9"/>
  <c r="FF699" i="9"/>
  <c r="FD699" i="9"/>
  <c r="FE699" i="9" s="1"/>
  <c r="FA699" i="9"/>
  <c r="FB699" i="9" s="1"/>
  <c r="DE699" i="9"/>
  <c r="DS699" i="9" s="1"/>
  <c r="AB699" i="9"/>
  <c r="HM698" i="9"/>
  <c r="HW698" i="9" s="1"/>
  <c r="HL698" i="9"/>
  <c r="HK698" i="9"/>
  <c r="HI698" i="9"/>
  <c r="HJ698" i="9" s="1"/>
  <c r="HF698" i="9"/>
  <c r="HG698" i="9" s="1"/>
  <c r="GF698" i="9"/>
  <c r="GE698" i="9"/>
  <c r="GD698" i="9"/>
  <c r="GB698" i="9"/>
  <c r="GC698" i="9" s="1"/>
  <c r="FY698" i="9"/>
  <c r="FZ698" i="9" s="1"/>
  <c r="FU698" i="9"/>
  <c r="FT698" i="9"/>
  <c r="FS698" i="9"/>
  <c r="FQ698" i="9"/>
  <c r="FR698" i="9" s="1"/>
  <c r="FO698" i="9"/>
  <c r="FN698" i="9"/>
  <c r="FL698" i="9"/>
  <c r="FK698" i="9"/>
  <c r="FH698" i="9"/>
  <c r="FG698" i="9"/>
  <c r="FF698" i="9"/>
  <c r="FD698" i="9"/>
  <c r="FE698" i="9" s="1"/>
  <c r="FA698" i="9"/>
  <c r="FB698" i="9" s="1"/>
  <c r="DS698" i="9"/>
  <c r="DT698" i="9" s="1"/>
  <c r="HZ698" i="9" s="1"/>
  <c r="DE698" i="9"/>
  <c r="AB698" i="9"/>
  <c r="HM697" i="9"/>
  <c r="HW697" i="9" s="1"/>
  <c r="HL697" i="9"/>
  <c r="HK697" i="9"/>
  <c r="HI697" i="9"/>
  <c r="HJ697" i="9" s="1"/>
  <c r="HF697" i="9"/>
  <c r="HG697" i="9" s="1"/>
  <c r="GF697" i="9"/>
  <c r="GE697" i="9"/>
  <c r="GD697" i="9"/>
  <c r="GB697" i="9"/>
  <c r="GC697" i="9" s="1"/>
  <c r="FY697" i="9"/>
  <c r="FZ697" i="9" s="1"/>
  <c r="FU697" i="9"/>
  <c r="FT697" i="9"/>
  <c r="FS697" i="9"/>
  <c r="FQ697" i="9"/>
  <c r="FR697" i="9" s="1"/>
  <c r="FN697" i="9"/>
  <c r="FO697" i="9" s="1"/>
  <c r="FL697" i="9"/>
  <c r="FK697" i="9"/>
  <c r="FH697" i="9"/>
  <c r="FG697" i="9"/>
  <c r="FF697" i="9"/>
  <c r="FD697" i="9"/>
  <c r="FE697" i="9" s="1"/>
  <c r="FA697" i="9"/>
  <c r="FB697" i="9" s="1"/>
  <c r="DE697" i="9"/>
  <c r="DS697" i="9" s="1"/>
  <c r="AB697" i="9"/>
  <c r="HM696" i="9"/>
  <c r="HW696" i="9" s="1"/>
  <c r="HL696" i="9"/>
  <c r="HK696" i="9"/>
  <c r="HI696" i="9"/>
  <c r="HJ696" i="9" s="1"/>
  <c r="HF696" i="9"/>
  <c r="HG696" i="9" s="1"/>
  <c r="GF696" i="9"/>
  <c r="GE696" i="9"/>
  <c r="GD696" i="9"/>
  <c r="GB696" i="9"/>
  <c r="GC696" i="9" s="1"/>
  <c r="FY696" i="9"/>
  <c r="FZ696" i="9" s="1"/>
  <c r="FV696" i="9"/>
  <c r="FU696" i="9"/>
  <c r="FT696" i="9"/>
  <c r="FS696" i="9"/>
  <c r="FQ696" i="9"/>
  <c r="FR696" i="9" s="1"/>
  <c r="FN696" i="9"/>
  <c r="FO696" i="9" s="1"/>
  <c r="FL696" i="9"/>
  <c r="FK696" i="9"/>
  <c r="FH696" i="9"/>
  <c r="FG696" i="9"/>
  <c r="FF696" i="9"/>
  <c r="FD696" i="9"/>
  <c r="FE696" i="9" s="1"/>
  <c r="FA696" i="9"/>
  <c r="FB696" i="9" s="1"/>
  <c r="DE696" i="9"/>
  <c r="DS696" i="9" s="1"/>
  <c r="AB696" i="9"/>
  <c r="HM695" i="9"/>
  <c r="HW695" i="9" s="1"/>
  <c r="HL695" i="9"/>
  <c r="HK695" i="9"/>
  <c r="HI695" i="9"/>
  <c r="HJ695" i="9" s="1"/>
  <c r="HF695" i="9"/>
  <c r="HG695" i="9" s="1"/>
  <c r="GF695" i="9"/>
  <c r="GE695" i="9"/>
  <c r="GD695" i="9"/>
  <c r="GB695" i="9"/>
  <c r="GC695" i="9" s="1"/>
  <c r="FY695" i="9"/>
  <c r="FZ695" i="9" s="1"/>
  <c r="FU695" i="9"/>
  <c r="FT695" i="9"/>
  <c r="FS695" i="9"/>
  <c r="FQ695" i="9"/>
  <c r="FR695" i="9" s="1"/>
  <c r="FN695" i="9"/>
  <c r="FO695" i="9" s="1"/>
  <c r="FL695" i="9"/>
  <c r="FK695" i="9"/>
  <c r="FH695" i="9"/>
  <c r="FG695" i="9"/>
  <c r="FF695" i="9"/>
  <c r="FD695" i="9"/>
  <c r="FE695" i="9" s="1"/>
  <c r="FA695" i="9"/>
  <c r="FB695" i="9" s="1"/>
  <c r="DE695" i="9"/>
  <c r="DS695" i="9" s="1"/>
  <c r="DT695" i="9" s="1"/>
  <c r="HZ695" i="9" s="1"/>
  <c r="AB695" i="9"/>
  <c r="HM694" i="9"/>
  <c r="HW694" i="9" s="1"/>
  <c r="HL694" i="9"/>
  <c r="HK694" i="9"/>
  <c r="HI694" i="9"/>
  <c r="HJ694" i="9" s="1"/>
  <c r="HN694" i="9" s="1"/>
  <c r="HF694" i="9"/>
  <c r="HG694" i="9" s="1"/>
  <c r="GF694" i="9"/>
  <c r="GE694" i="9"/>
  <c r="GD694" i="9"/>
  <c r="GC694" i="9"/>
  <c r="GB694" i="9"/>
  <c r="FY694" i="9"/>
  <c r="FZ694" i="9" s="1"/>
  <c r="FU694" i="9"/>
  <c r="FT694" i="9"/>
  <c r="FS694" i="9"/>
  <c r="FQ694" i="9"/>
  <c r="FR694" i="9" s="1"/>
  <c r="FN694" i="9"/>
  <c r="FO694" i="9" s="1"/>
  <c r="FL694" i="9"/>
  <c r="FK694" i="9"/>
  <c r="FH694" i="9"/>
  <c r="FG694" i="9"/>
  <c r="FF694" i="9"/>
  <c r="FD694" i="9"/>
  <c r="FE694" i="9" s="1"/>
  <c r="FA694" i="9"/>
  <c r="FB694" i="9" s="1"/>
  <c r="DE694" i="9"/>
  <c r="DS694" i="9" s="1"/>
  <c r="DU694" i="9" s="1"/>
  <c r="AB694" i="9"/>
  <c r="HM693" i="9"/>
  <c r="HW693" i="9" s="1"/>
  <c r="HL693" i="9"/>
  <c r="HK693" i="9"/>
  <c r="HI693" i="9"/>
  <c r="HJ693" i="9" s="1"/>
  <c r="HF693" i="9"/>
  <c r="HG693" i="9" s="1"/>
  <c r="GF693" i="9"/>
  <c r="GE693" i="9"/>
  <c r="GD693" i="9"/>
  <c r="GB693" i="9"/>
  <c r="GC693" i="9" s="1"/>
  <c r="FY693" i="9"/>
  <c r="FZ693" i="9" s="1"/>
  <c r="FU693" i="9"/>
  <c r="FT693" i="9"/>
  <c r="FS693" i="9"/>
  <c r="FQ693" i="9"/>
  <c r="FR693" i="9" s="1"/>
  <c r="FN693" i="9"/>
  <c r="FO693" i="9" s="1"/>
  <c r="FL693" i="9"/>
  <c r="FK693" i="9"/>
  <c r="FH693" i="9"/>
  <c r="FG693" i="9"/>
  <c r="FF693" i="9"/>
  <c r="FD693" i="9"/>
  <c r="FE693" i="9" s="1"/>
  <c r="FA693" i="9"/>
  <c r="FB693" i="9" s="1"/>
  <c r="DE693" i="9"/>
  <c r="DS693" i="9" s="1"/>
  <c r="DT693" i="9" s="1"/>
  <c r="HZ693" i="9" s="1"/>
  <c r="AB693" i="9"/>
  <c r="HW692" i="9"/>
  <c r="HM692" i="9"/>
  <c r="HL692" i="9"/>
  <c r="HK692" i="9"/>
  <c r="HI692" i="9"/>
  <c r="HJ692" i="9" s="1"/>
  <c r="HN692" i="9" s="1"/>
  <c r="HF692" i="9"/>
  <c r="HG692" i="9" s="1"/>
  <c r="GF692" i="9"/>
  <c r="GE692" i="9"/>
  <c r="GD692" i="9"/>
  <c r="GB692" i="9"/>
  <c r="GC692" i="9" s="1"/>
  <c r="FY692" i="9"/>
  <c r="FZ692" i="9" s="1"/>
  <c r="FU692" i="9"/>
  <c r="FT692" i="9"/>
  <c r="FS692" i="9"/>
  <c r="FQ692" i="9"/>
  <c r="FR692" i="9" s="1"/>
  <c r="FN692" i="9"/>
  <c r="FO692" i="9" s="1"/>
  <c r="FL692" i="9"/>
  <c r="FK692" i="9"/>
  <c r="FH692" i="9"/>
  <c r="FG692" i="9"/>
  <c r="FF692" i="9"/>
  <c r="FE692" i="9"/>
  <c r="FD692" i="9"/>
  <c r="FA692" i="9"/>
  <c r="FB692" i="9" s="1"/>
  <c r="DE692" i="9"/>
  <c r="DS692" i="9" s="1"/>
  <c r="AB692" i="9"/>
  <c r="HM691" i="9"/>
  <c r="HW691" i="9" s="1"/>
  <c r="HL691" i="9"/>
  <c r="HK691" i="9"/>
  <c r="HI691" i="9"/>
  <c r="HJ691" i="9" s="1"/>
  <c r="HF691" i="9"/>
  <c r="HG691" i="9" s="1"/>
  <c r="GF691" i="9"/>
  <c r="GE691" i="9"/>
  <c r="GD691" i="9"/>
  <c r="GB691" i="9"/>
  <c r="GC691" i="9" s="1"/>
  <c r="FY691" i="9"/>
  <c r="FZ691" i="9" s="1"/>
  <c r="FU691" i="9"/>
  <c r="FT691" i="9"/>
  <c r="FS691" i="9"/>
  <c r="FQ691" i="9"/>
  <c r="FR691" i="9" s="1"/>
  <c r="FN691" i="9"/>
  <c r="FO691" i="9" s="1"/>
  <c r="FL691" i="9"/>
  <c r="FK691" i="9"/>
  <c r="FH691" i="9"/>
  <c r="FG691" i="9"/>
  <c r="FF691" i="9"/>
  <c r="FD691" i="9"/>
  <c r="FE691" i="9" s="1"/>
  <c r="FA691" i="9"/>
  <c r="FB691" i="9" s="1"/>
  <c r="DE691" i="9"/>
  <c r="DS691" i="9" s="1"/>
  <c r="AB691" i="9"/>
  <c r="HM690" i="9"/>
  <c r="HW690" i="9" s="1"/>
  <c r="HL690" i="9"/>
  <c r="HK690" i="9"/>
  <c r="HJ690" i="9"/>
  <c r="HI690" i="9"/>
  <c r="HF690" i="9"/>
  <c r="HG690" i="9" s="1"/>
  <c r="GF690" i="9"/>
  <c r="GE690" i="9"/>
  <c r="GD690" i="9"/>
  <c r="GB690" i="9"/>
  <c r="GC690" i="9" s="1"/>
  <c r="FY690" i="9"/>
  <c r="FZ690" i="9" s="1"/>
  <c r="FU690" i="9"/>
  <c r="FT690" i="9"/>
  <c r="FS690" i="9"/>
  <c r="FQ690" i="9"/>
  <c r="FR690" i="9" s="1"/>
  <c r="FN690" i="9"/>
  <c r="FO690" i="9" s="1"/>
  <c r="FL690" i="9"/>
  <c r="FK690" i="9"/>
  <c r="FH690" i="9"/>
  <c r="FG690" i="9"/>
  <c r="FF690" i="9"/>
  <c r="FD690" i="9"/>
  <c r="FE690" i="9" s="1"/>
  <c r="FA690" i="9"/>
  <c r="FB690" i="9" s="1"/>
  <c r="DE690" i="9"/>
  <c r="DS690" i="9" s="1"/>
  <c r="AB690" i="9"/>
  <c r="HM689" i="9"/>
  <c r="HW689" i="9" s="1"/>
  <c r="HL689" i="9"/>
  <c r="HK689" i="9"/>
  <c r="HI689" i="9"/>
  <c r="HJ689" i="9" s="1"/>
  <c r="HF689" i="9"/>
  <c r="HG689" i="9" s="1"/>
  <c r="GF689" i="9"/>
  <c r="GE689" i="9"/>
  <c r="GD689" i="9"/>
  <c r="GB689" i="9"/>
  <c r="GC689" i="9" s="1"/>
  <c r="FY689" i="9"/>
  <c r="FZ689" i="9" s="1"/>
  <c r="FU689" i="9"/>
  <c r="FT689" i="9"/>
  <c r="FS689" i="9"/>
  <c r="FQ689" i="9"/>
  <c r="FR689" i="9" s="1"/>
  <c r="FN689" i="9"/>
  <c r="FO689" i="9" s="1"/>
  <c r="FL689" i="9"/>
  <c r="FK689" i="9"/>
  <c r="FH689" i="9"/>
  <c r="FG689" i="9"/>
  <c r="FF689" i="9"/>
  <c r="FD689" i="9"/>
  <c r="FE689" i="9" s="1"/>
  <c r="FA689" i="9"/>
  <c r="FB689" i="9" s="1"/>
  <c r="DE689" i="9"/>
  <c r="DS689" i="9" s="1"/>
  <c r="AB689" i="9"/>
  <c r="HM688" i="9"/>
  <c r="HW688" i="9" s="1"/>
  <c r="HL688" i="9"/>
  <c r="HK688" i="9"/>
  <c r="HI688" i="9"/>
  <c r="HJ688" i="9" s="1"/>
  <c r="HF688" i="9"/>
  <c r="HG688" i="9" s="1"/>
  <c r="DE688" i="9"/>
  <c r="DS688" i="9" s="1"/>
  <c r="DU688" i="9" s="1"/>
  <c r="AB688" i="9"/>
  <c r="HM687" i="9"/>
  <c r="HW687" i="9" s="1"/>
  <c r="HL687" i="9"/>
  <c r="HK687" i="9"/>
  <c r="HI687" i="9"/>
  <c r="HJ687" i="9" s="1"/>
  <c r="HF687" i="9"/>
  <c r="HG687" i="9" s="1"/>
  <c r="DE687" i="9"/>
  <c r="DS687" i="9" s="1"/>
  <c r="AB687" i="9"/>
  <c r="HM686" i="9"/>
  <c r="HW686" i="9" s="1"/>
  <c r="HL686" i="9"/>
  <c r="HK686" i="9"/>
  <c r="HI686" i="9"/>
  <c r="HJ686" i="9" s="1"/>
  <c r="HF686" i="9"/>
  <c r="HG686" i="9" s="1"/>
  <c r="DE686" i="9"/>
  <c r="DS686" i="9" s="1"/>
  <c r="AB686" i="9"/>
  <c r="HM685" i="9"/>
  <c r="HW685" i="9" s="1"/>
  <c r="HL685" i="9"/>
  <c r="HK685" i="9"/>
  <c r="HI685" i="9"/>
  <c r="HJ685" i="9" s="1"/>
  <c r="HF685" i="9"/>
  <c r="HG685" i="9" s="1"/>
  <c r="DE685" i="9"/>
  <c r="DS685" i="9" s="1"/>
  <c r="DT685" i="9" s="1"/>
  <c r="HZ685" i="9" s="1"/>
  <c r="AB685" i="9"/>
  <c r="HM684" i="9"/>
  <c r="HW684" i="9" s="1"/>
  <c r="HL684" i="9"/>
  <c r="HK684" i="9"/>
  <c r="HI684" i="9"/>
  <c r="HJ684" i="9" s="1"/>
  <c r="HF684" i="9"/>
  <c r="HG684" i="9" s="1"/>
  <c r="DE684" i="9"/>
  <c r="DS684" i="9" s="1"/>
  <c r="AB684" i="9"/>
  <c r="HM683" i="9"/>
  <c r="HW683" i="9" s="1"/>
  <c r="HL683" i="9"/>
  <c r="HK683" i="9"/>
  <c r="HI683" i="9"/>
  <c r="HJ683" i="9" s="1"/>
  <c r="HF683" i="9"/>
  <c r="HG683" i="9" s="1"/>
  <c r="DE683" i="9"/>
  <c r="DS683" i="9" s="1"/>
  <c r="AB683" i="9"/>
  <c r="HM682" i="9"/>
  <c r="HW682" i="9" s="1"/>
  <c r="HL682" i="9"/>
  <c r="HK682" i="9"/>
  <c r="HI682" i="9"/>
  <c r="HJ682" i="9" s="1"/>
  <c r="HF682" i="9"/>
  <c r="HG682" i="9" s="1"/>
  <c r="GA682" i="9"/>
  <c r="FX682" i="9"/>
  <c r="FY682" i="9" s="1"/>
  <c r="FZ682" i="9" s="1"/>
  <c r="FG682" i="9"/>
  <c r="FC682" i="9"/>
  <c r="EZ682" i="9"/>
  <c r="FA682" i="9" s="1"/>
  <c r="FB682" i="9" s="1"/>
  <c r="DE682" i="9"/>
  <c r="DS682" i="9" s="1"/>
  <c r="DT682" i="9" s="1"/>
  <c r="HZ682" i="9" s="1"/>
  <c r="AB682" i="9"/>
  <c r="HM681" i="9"/>
  <c r="HW681" i="9" s="1"/>
  <c r="HL681" i="9"/>
  <c r="HK681" i="9"/>
  <c r="HI681" i="9"/>
  <c r="HJ681" i="9" s="1"/>
  <c r="HF681" i="9"/>
  <c r="HG681" i="9" s="1"/>
  <c r="GA681" i="9"/>
  <c r="FX681" i="9"/>
  <c r="FC681" i="9"/>
  <c r="EZ681" i="9"/>
  <c r="FA681" i="9" s="1"/>
  <c r="FB681" i="9" s="1"/>
  <c r="DE681" i="9"/>
  <c r="DS681" i="9" s="1"/>
  <c r="AB681" i="9"/>
  <c r="HW680" i="9"/>
  <c r="HM680" i="9"/>
  <c r="HL680" i="9"/>
  <c r="HK680" i="9"/>
  <c r="HI680" i="9"/>
  <c r="HJ680" i="9" s="1"/>
  <c r="HF680" i="9"/>
  <c r="HG680" i="9" s="1"/>
  <c r="GE680" i="9"/>
  <c r="GA680" i="9"/>
  <c r="FX680" i="9"/>
  <c r="FY680" i="9" s="1"/>
  <c r="FZ680" i="9" s="1"/>
  <c r="FC680" i="9"/>
  <c r="EZ680" i="9"/>
  <c r="FA680" i="9" s="1"/>
  <c r="FB680" i="9" s="1"/>
  <c r="DE680" i="9"/>
  <c r="DS680" i="9" s="1"/>
  <c r="AB680" i="9"/>
  <c r="HM679" i="9"/>
  <c r="HW679" i="9" s="1"/>
  <c r="HL679" i="9"/>
  <c r="HK679" i="9"/>
  <c r="HI679" i="9"/>
  <c r="HJ679" i="9" s="1"/>
  <c r="HF679" i="9"/>
  <c r="HG679" i="9" s="1"/>
  <c r="GA679" i="9"/>
  <c r="GB679" i="9" s="1"/>
  <c r="GC679" i="9" s="1"/>
  <c r="FX679" i="9"/>
  <c r="FC679" i="9"/>
  <c r="FD679" i="9" s="1"/>
  <c r="FE679" i="9" s="1"/>
  <c r="EZ679" i="9"/>
  <c r="DE679" i="9"/>
  <c r="DS679" i="9" s="1"/>
  <c r="AB679" i="9"/>
  <c r="HM678" i="9"/>
  <c r="HW678" i="9" s="1"/>
  <c r="HL678" i="9"/>
  <c r="HK678" i="9"/>
  <c r="HI678" i="9"/>
  <c r="HJ678" i="9" s="1"/>
  <c r="HF678" i="9"/>
  <c r="HG678" i="9" s="1"/>
  <c r="GA678" i="9"/>
  <c r="FX678" i="9"/>
  <c r="FC678" i="9"/>
  <c r="FA678" i="9"/>
  <c r="FB678" i="9" s="1"/>
  <c r="EZ678" i="9"/>
  <c r="DE678" i="9"/>
  <c r="DS678" i="9" s="1"/>
  <c r="AB678" i="9"/>
  <c r="HM677" i="9"/>
  <c r="HW677" i="9" s="1"/>
  <c r="HL677" i="9"/>
  <c r="HK677" i="9"/>
  <c r="HI677" i="9"/>
  <c r="HJ677" i="9" s="1"/>
  <c r="HF677" i="9"/>
  <c r="HG677" i="9" s="1"/>
  <c r="GA677" i="9"/>
  <c r="GB677" i="9" s="1"/>
  <c r="GC677" i="9" s="1"/>
  <c r="FX677" i="9"/>
  <c r="FY677" i="9" s="1"/>
  <c r="FZ677" i="9" s="1"/>
  <c r="FC677" i="9"/>
  <c r="FD677" i="9" s="1"/>
  <c r="FE677" i="9" s="1"/>
  <c r="EZ677" i="9"/>
  <c r="FA677" i="9" s="1"/>
  <c r="FB677" i="9" s="1"/>
  <c r="DE677" i="9"/>
  <c r="DS677" i="9" s="1"/>
  <c r="AB677" i="9"/>
  <c r="HM676" i="9"/>
  <c r="HW676" i="9" s="1"/>
  <c r="HL676" i="9"/>
  <c r="HK676" i="9"/>
  <c r="HI676" i="9"/>
  <c r="HJ676" i="9" s="1"/>
  <c r="HF676" i="9"/>
  <c r="HG676" i="9" s="1"/>
  <c r="GA676" i="9"/>
  <c r="FX676" i="9"/>
  <c r="FY676" i="9" s="1"/>
  <c r="FZ676" i="9" s="1"/>
  <c r="FC676" i="9"/>
  <c r="FG676" i="9" s="1"/>
  <c r="EZ676" i="9"/>
  <c r="FA676" i="9" s="1"/>
  <c r="FB676" i="9" s="1"/>
  <c r="DE676" i="9"/>
  <c r="DS676" i="9" s="1"/>
  <c r="AB676" i="9"/>
  <c r="HM675" i="9"/>
  <c r="HW675" i="9" s="1"/>
  <c r="HL675" i="9"/>
  <c r="HK675" i="9"/>
  <c r="HI675" i="9"/>
  <c r="HJ675" i="9" s="1"/>
  <c r="HF675" i="9"/>
  <c r="HG675" i="9" s="1"/>
  <c r="GA675" i="9"/>
  <c r="FX675" i="9"/>
  <c r="FY675" i="9" s="1"/>
  <c r="FZ675" i="9" s="1"/>
  <c r="FC675" i="9"/>
  <c r="EZ675" i="9"/>
  <c r="FA675" i="9" s="1"/>
  <c r="FB675" i="9" s="1"/>
  <c r="DE675" i="9"/>
  <c r="DS675" i="9" s="1"/>
  <c r="AB675" i="9"/>
  <c r="HM674" i="9"/>
  <c r="HW674" i="9" s="1"/>
  <c r="HL674" i="9"/>
  <c r="HK674" i="9"/>
  <c r="HI674" i="9"/>
  <c r="HJ674" i="9" s="1"/>
  <c r="HF674" i="9"/>
  <c r="HG674" i="9" s="1"/>
  <c r="HN674" i="9" s="1"/>
  <c r="GA674" i="9"/>
  <c r="FX674" i="9"/>
  <c r="FY674" i="9" s="1"/>
  <c r="FZ674" i="9" s="1"/>
  <c r="FC674" i="9"/>
  <c r="FG674" i="9" s="1"/>
  <c r="EZ674" i="9"/>
  <c r="FA674" i="9" s="1"/>
  <c r="FB674" i="9" s="1"/>
  <c r="DE674" i="9"/>
  <c r="DS674" i="9" s="1"/>
  <c r="DT674" i="9" s="1"/>
  <c r="HZ674" i="9" s="1"/>
  <c r="AB674" i="9"/>
  <c r="HM673" i="9"/>
  <c r="HW673" i="9" s="1"/>
  <c r="HL673" i="9"/>
  <c r="HK673" i="9"/>
  <c r="HI673" i="9"/>
  <c r="HJ673" i="9" s="1"/>
  <c r="HF673" i="9"/>
  <c r="HG673" i="9" s="1"/>
  <c r="GA673" i="9"/>
  <c r="GB673" i="9" s="1"/>
  <c r="GC673" i="9" s="1"/>
  <c r="FX673" i="9"/>
  <c r="FD673" i="9"/>
  <c r="FE673" i="9" s="1"/>
  <c r="FC673" i="9"/>
  <c r="EZ673" i="9"/>
  <c r="DE673" i="9"/>
  <c r="DS673" i="9" s="1"/>
  <c r="AB673" i="9"/>
  <c r="HM672" i="9"/>
  <c r="HW672" i="9" s="1"/>
  <c r="HL672" i="9"/>
  <c r="HK672" i="9"/>
  <c r="HJ672" i="9"/>
  <c r="HI672" i="9"/>
  <c r="HF672" i="9"/>
  <c r="HG672" i="9" s="1"/>
  <c r="GA672" i="9"/>
  <c r="FX672" i="9"/>
  <c r="FY672" i="9" s="1"/>
  <c r="FZ672" i="9" s="1"/>
  <c r="FC672" i="9"/>
  <c r="EZ672" i="9"/>
  <c r="FA672" i="9" s="1"/>
  <c r="FB672" i="9" s="1"/>
  <c r="DE672" i="9"/>
  <c r="DS672" i="9" s="1"/>
  <c r="AB672" i="9"/>
  <c r="HM671" i="9"/>
  <c r="HW671" i="9" s="1"/>
  <c r="HL671" i="9"/>
  <c r="HK671" i="9"/>
  <c r="HI671" i="9"/>
  <c r="HJ671" i="9" s="1"/>
  <c r="HF671" i="9"/>
  <c r="HG671" i="9" s="1"/>
  <c r="GA671" i="9"/>
  <c r="FX671" i="9"/>
  <c r="FC671" i="9"/>
  <c r="EZ671" i="9"/>
  <c r="FA671" i="9" s="1"/>
  <c r="FB671" i="9" s="1"/>
  <c r="DE671" i="9"/>
  <c r="DS671" i="9" s="1"/>
  <c r="DT671" i="9" s="1"/>
  <c r="HZ671" i="9" s="1"/>
  <c r="AB671" i="9"/>
  <c r="HM670" i="9"/>
  <c r="HW670" i="9" s="1"/>
  <c r="HL670" i="9"/>
  <c r="HK670" i="9"/>
  <c r="HI670" i="9"/>
  <c r="HJ670" i="9" s="1"/>
  <c r="HF670" i="9"/>
  <c r="HG670" i="9" s="1"/>
  <c r="GA670" i="9"/>
  <c r="FX670" i="9"/>
  <c r="FC670" i="9"/>
  <c r="EZ670" i="9"/>
  <c r="FA670" i="9" s="1"/>
  <c r="FB670" i="9" s="1"/>
  <c r="DE670" i="9"/>
  <c r="DS670" i="9" s="1"/>
  <c r="AB670" i="9"/>
  <c r="HM669" i="9"/>
  <c r="HW669" i="9" s="1"/>
  <c r="HL669" i="9"/>
  <c r="HK669" i="9"/>
  <c r="HI669" i="9"/>
  <c r="HJ669" i="9" s="1"/>
  <c r="HF669" i="9"/>
  <c r="HG669" i="9" s="1"/>
  <c r="GA669" i="9"/>
  <c r="GB669" i="9" s="1"/>
  <c r="GC669" i="9" s="1"/>
  <c r="FX669" i="9"/>
  <c r="FY669" i="9" s="1"/>
  <c r="FZ669" i="9" s="1"/>
  <c r="FC669" i="9"/>
  <c r="FD669" i="9" s="1"/>
  <c r="FE669" i="9" s="1"/>
  <c r="FB669" i="9"/>
  <c r="EZ669" i="9"/>
  <c r="FA669" i="9" s="1"/>
  <c r="DD669" i="9"/>
  <c r="DE669" i="9" s="1"/>
  <c r="DS669" i="9" s="1"/>
  <c r="AB669" i="9"/>
  <c r="HM668" i="9"/>
  <c r="HW668" i="9" s="1"/>
  <c r="HL668" i="9"/>
  <c r="HK668" i="9"/>
  <c r="HI668" i="9"/>
  <c r="HJ668" i="9" s="1"/>
  <c r="HF668" i="9"/>
  <c r="HG668" i="9" s="1"/>
  <c r="GA668" i="9"/>
  <c r="GB668" i="9" s="1"/>
  <c r="GC668" i="9" s="1"/>
  <c r="FX668" i="9"/>
  <c r="FY668" i="9" s="1"/>
  <c r="FZ668" i="9" s="1"/>
  <c r="FU668" i="9"/>
  <c r="FT668" i="9"/>
  <c r="FS668" i="9"/>
  <c r="FQ668" i="9"/>
  <c r="FR668" i="9" s="1"/>
  <c r="FN668" i="9"/>
  <c r="FO668" i="9" s="1"/>
  <c r="FL668" i="9"/>
  <c r="FK668" i="9"/>
  <c r="CF668" i="9"/>
  <c r="CY668" i="9" s="1"/>
  <c r="AD668" i="9"/>
  <c r="AB668" i="9"/>
  <c r="HM667" i="9"/>
  <c r="HW667" i="9" s="1"/>
  <c r="HL667" i="9"/>
  <c r="HK667" i="9"/>
  <c r="HI667" i="9"/>
  <c r="HJ667" i="9" s="1"/>
  <c r="HF667" i="9"/>
  <c r="HG667" i="9" s="1"/>
  <c r="GA667" i="9"/>
  <c r="GB667" i="9" s="1"/>
  <c r="GC667" i="9" s="1"/>
  <c r="FX667" i="9"/>
  <c r="FU667" i="9"/>
  <c r="FT667" i="9"/>
  <c r="FS667" i="9"/>
  <c r="FQ667" i="9"/>
  <c r="FR667" i="9" s="1"/>
  <c r="FN667" i="9"/>
  <c r="FO667" i="9" s="1"/>
  <c r="FL667" i="9"/>
  <c r="FK667" i="9"/>
  <c r="CF667" i="9"/>
  <c r="CY667" i="9" s="1"/>
  <c r="AD667" i="9"/>
  <c r="AB667" i="9"/>
  <c r="HM666" i="9"/>
  <c r="HW666" i="9" s="1"/>
  <c r="HL666" i="9"/>
  <c r="HK666" i="9"/>
  <c r="HI666" i="9"/>
  <c r="HJ666" i="9" s="1"/>
  <c r="HF666" i="9"/>
  <c r="HG666" i="9" s="1"/>
  <c r="FU666" i="9"/>
  <c r="FT666" i="9"/>
  <c r="FS666" i="9"/>
  <c r="FQ666" i="9"/>
  <c r="FR666" i="9" s="1"/>
  <c r="FN666" i="9"/>
  <c r="FO666" i="9" s="1"/>
  <c r="FL666" i="9"/>
  <c r="FK666" i="9"/>
  <c r="AW666" i="9"/>
  <c r="AX666" i="9" s="1"/>
  <c r="AZ666" i="9" s="1"/>
  <c r="AB666" i="9"/>
  <c r="HM665" i="9"/>
  <c r="HW665" i="9" s="1"/>
  <c r="HL665" i="9"/>
  <c r="HK665" i="9"/>
  <c r="HI665" i="9"/>
  <c r="HJ665" i="9" s="1"/>
  <c r="HF665" i="9"/>
  <c r="HG665" i="9" s="1"/>
  <c r="FU665" i="9"/>
  <c r="FT665" i="9"/>
  <c r="FS665" i="9"/>
  <c r="FQ665" i="9"/>
  <c r="FR665" i="9" s="1"/>
  <c r="FN665" i="9"/>
  <c r="FO665" i="9" s="1"/>
  <c r="FL665" i="9"/>
  <c r="FK665" i="9"/>
  <c r="AW665" i="9"/>
  <c r="AX665" i="9" s="1"/>
  <c r="AZ665" i="9" s="1"/>
  <c r="AB665" i="9"/>
  <c r="HM664" i="9"/>
  <c r="HW664" i="9" s="1"/>
  <c r="HL664" i="9"/>
  <c r="HK664" i="9"/>
  <c r="HI664" i="9"/>
  <c r="HJ664" i="9" s="1"/>
  <c r="HF664" i="9"/>
  <c r="HG664" i="9" s="1"/>
  <c r="FU664" i="9"/>
  <c r="FT664" i="9"/>
  <c r="FS664" i="9"/>
  <c r="FQ664" i="9"/>
  <c r="FR664" i="9" s="1"/>
  <c r="FN664" i="9"/>
  <c r="FO664" i="9" s="1"/>
  <c r="FL664" i="9"/>
  <c r="FK664" i="9"/>
  <c r="AW664" i="9"/>
  <c r="AX664" i="9" s="1"/>
  <c r="AZ664" i="9" s="1"/>
  <c r="BA664" i="9" s="1"/>
  <c r="HZ664" i="9" s="1"/>
  <c r="AB664" i="9"/>
  <c r="HM663" i="9"/>
  <c r="HW663" i="9" s="1"/>
  <c r="HL663" i="9"/>
  <c r="HK663" i="9"/>
  <c r="HI663" i="9"/>
  <c r="HJ663" i="9" s="1"/>
  <c r="HF663" i="9"/>
  <c r="HG663" i="9" s="1"/>
  <c r="FU663" i="9"/>
  <c r="FT663" i="9"/>
  <c r="FS663" i="9"/>
  <c r="FQ663" i="9"/>
  <c r="FR663" i="9" s="1"/>
  <c r="FN663" i="9"/>
  <c r="FO663" i="9" s="1"/>
  <c r="FL663" i="9"/>
  <c r="FK663" i="9"/>
  <c r="AW663" i="9"/>
  <c r="AX663" i="9" s="1"/>
  <c r="AZ663" i="9" s="1"/>
  <c r="BA663" i="9" s="1"/>
  <c r="HZ663" i="9" s="1"/>
  <c r="AB663" i="9"/>
  <c r="HM662" i="9"/>
  <c r="HW662" i="9" s="1"/>
  <c r="HL662" i="9"/>
  <c r="HK662" i="9"/>
  <c r="HI662" i="9"/>
  <c r="HJ662" i="9" s="1"/>
  <c r="HF662" i="9"/>
  <c r="HG662" i="9" s="1"/>
  <c r="FU662" i="9"/>
  <c r="FT662" i="9"/>
  <c r="FS662" i="9"/>
  <c r="FQ662" i="9"/>
  <c r="FR662" i="9" s="1"/>
  <c r="FN662" i="9"/>
  <c r="FO662" i="9" s="1"/>
  <c r="FL662" i="9"/>
  <c r="FK662" i="9"/>
  <c r="AX662" i="9"/>
  <c r="AZ662" i="9" s="1"/>
  <c r="AB662" i="9"/>
  <c r="HM661" i="9"/>
  <c r="HW661" i="9" s="1"/>
  <c r="HL661" i="9"/>
  <c r="HK661" i="9"/>
  <c r="HI661" i="9"/>
  <c r="HJ661" i="9" s="1"/>
  <c r="HF661" i="9"/>
  <c r="HG661" i="9" s="1"/>
  <c r="FU661" i="9"/>
  <c r="FT661" i="9"/>
  <c r="FS661" i="9"/>
  <c r="FQ661" i="9"/>
  <c r="FR661" i="9" s="1"/>
  <c r="FN661" i="9"/>
  <c r="FO661" i="9" s="1"/>
  <c r="FL661" i="9"/>
  <c r="FK661" i="9"/>
  <c r="AX661" i="9"/>
  <c r="AZ661" i="9" s="1"/>
  <c r="BB661" i="9" s="1"/>
  <c r="AB661" i="9"/>
  <c r="HM660" i="9"/>
  <c r="HW660" i="9" s="1"/>
  <c r="HL660" i="9"/>
  <c r="HK660" i="9"/>
  <c r="HI660" i="9"/>
  <c r="HJ660" i="9" s="1"/>
  <c r="HF660" i="9"/>
  <c r="HG660" i="9" s="1"/>
  <c r="FU660" i="9"/>
  <c r="FT660" i="9"/>
  <c r="FS660" i="9"/>
  <c r="FQ660" i="9"/>
  <c r="FR660" i="9" s="1"/>
  <c r="FN660" i="9"/>
  <c r="FO660" i="9" s="1"/>
  <c r="FL660" i="9"/>
  <c r="FK660" i="9"/>
  <c r="AX660" i="9"/>
  <c r="AZ660" i="9" s="1"/>
  <c r="BB660" i="9" s="1"/>
  <c r="HX660" i="9" s="1"/>
  <c r="AB660" i="9"/>
  <c r="HM659" i="9"/>
  <c r="HW659" i="9" s="1"/>
  <c r="HL659" i="9"/>
  <c r="HK659" i="9"/>
  <c r="HI659" i="9"/>
  <c r="HJ659" i="9" s="1"/>
  <c r="HF659" i="9"/>
  <c r="HG659" i="9" s="1"/>
  <c r="FU659" i="9"/>
  <c r="FT659" i="9"/>
  <c r="FS659" i="9"/>
  <c r="FQ659" i="9"/>
  <c r="FR659" i="9" s="1"/>
  <c r="FN659" i="9"/>
  <c r="FO659" i="9" s="1"/>
  <c r="FL659" i="9"/>
  <c r="FK659" i="9"/>
  <c r="AX659" i="9"/>
  <c r="AZ659" i="9" s="1"/>
  <c r="AB659" i="9"/>
  <c r="HM658" i="9"/>
  <c r="HW658" i="9" s="1"/>
  <c r="HL658" i="9"/>
  <c r="HK658" i="9"/>
  <c r="HI658" i="9"/>
  <c r="HJ658" i="9" s="1"/>
  <c r="HF658" i="9"/>
  <c r="HG658" i="9" s="1"/>
  <c r="HN658" i="9" s="1"/>
  <c r="FU658" i="9"/>
  <c r="FT658" i="9"/>
  <c r="FS658" i="9"/>
  <c r="FQ658" i="9"/>
  <c r="FR658" i="9" s="1"/>
  <c r="FN658" i="9"/>
  <c r="FO658" i="9" s="1"/>
  <c r="FL658" i="9"/>
  <c r="FK658" i="9"/>
  <c r="AX658" i="9"/>
  <c r="AZ658" i="9" s="1"/>
  <c r="AW658" i="9"/>
  <c r="AB658" i="9"/>
  <c r="HM657" i="9"/>
  <c r="HW657" i="9" s="1"/>
  <c r="HL657" i="9"/>
  <c r="HK657" i="9"/>
  <c r="HI657" i="9"/>
  <c r="HJ657" i="9" s="1"/>
  <c r="HF657" i="9"/>
  <c r="HG657" i="9" s="1"/>
  <c r="FU657" i="9"/>
  <c r="FT657" i="9"/>
  <c r="FS657" i="9"/>
  <c r="FQ657" i="9"/>
  <c r="FR657" i="9" s="1"/>
  <c r="FN657" i="9"/>
  <c r="FO657" i="9" s="1"/>
  <c r="FL657" i="9"/>
  <c r="FK657" i="9"/>
  <c r="AW657" i="9"/>
  <c r="AX657" i="9" s="1"/>
  <c r="AZ657" i="9" s="1"/>
  <c r="AB657" i="9"/>
  <c r="HM656" i="9"/>
  <c r="HW656" i="9" s="1"/>
  <c r="HL656" i="9"/>
  <c r="HK656" i="9"/>
  <c r="HI656" i="9"/>
  <c r="HJ656" i="9" s="1"/>
  <c r="HF656" i="9"/>
  <c r="HG656" i="9" s="1"/>
  <c r="FU656" i="9"/>
  <c r="FT656" i="9"/>
  <c r="FS656" i="9"/>
  <c r="FQ656" i="9"/>
  <c r="FR656" i="9" s="1"/>
  <c r="FN656" i="9"/>
  <c r="FO656" i="9" s="1"/>
  <c r="FL656" i="9"/>
  <c r="FK656" i="9"/>
  <c r="AW656" i="9"/>
  <c r="AX656" i="9" s="1"/>
  <c r="AZ656" i="9" s="1"/>
  <c r="HY656" i="9" s="1"/>
  <c r="AB656" i="9"/>
  <c r="HM655" i="9"/>
  <c r="HW655" i="9" s="1"/>
  <c r="HL655" i="9"/>
  <c r="HK655" i="9"/>
  <c r="HI655" i="9"/>
  <c r="HJ655" i="9" s="1"/>
  <c r="HG655" i="9"/>
  <c r="HF655" i="9"/>
  <c r="FU655" i="9"/>
  <c r="FT655" i="9"/>
  <c r="FS655" i="9"/>
  <c r="FQ655" i="9"/>
  <c r="FR655" i="9" s="1"/>
  <c r="FN655" i="9"/>
  <c r="FO655" i="9" s="1"/>
  <c r="FL655" i="9"/>
  <c r="FK655" i="9"/>
  <c r="AW655" i="9"/>
  <c r="AX655" i="9" s="1"/>
  <c r="AZ655" i="9" s="1"/>
  <c r="AB655" i="9"/>
  <c r="HM654" i="9"/>
  <c r="HW654" i="9" s="1"/>
  <c r="HL654" i="9"/>
  <c r="HK654" i="9"/>
  <c r="HI654" i="9"/>
  <c r="HJ654" i="9" s="1"/>
  <c r="HF654" i="9"/>
  <c r="HG654" i="9" s="1"/>
  <c r="FU654" i="9"/>
  <c r="FT654" i="9"/>
  <c r="FS654" i="9"/>
  <c r="FQ654" i="9"/>
  <c r="FR654" i="9" s="1"/>
  <c r="FV654" i="9" s="1"/>
  <c r="FN654" i="9"/>
  <c r="FO654" i="9" s="1"/>
  <c r="FL654" i="9"/>
  <c r="FK654" i="9"/>
  <c r="AX654" i="9"/>
  <c r="AZ654" i="9" s="1"/>
  <c r="AB654" i="9"/>
  <c r="HM653" i="9"/>
  <c r="HW653" i="9" s="1"/>
  <c r="HL653" i="9"/>
  <c r="HK653" i="9"/>
  <c r="HI653" i="9"/>
  <c r="HJ653" i="9" s="1"/>
  <c r="HF653" i="9"/>
  <c r="HG653" i="9" s="1"/>
  <c r="FU653" i="9"/>
  <c r="FT653" i="9"/>
  <c r="FS653" i="9"/>
  <c r="FQ653" i="9"/>
  <c r="FR653" i="9" s="1"/>
  <c r="FN653" i="9"/>
  <c r="FO653" i="9" s="1"/>
  <c r="FL653" i="9"/>
  <c r="FK653" i="9"/>
  <c r="AX653" i="9"/>
  <c r="AZ653" i="9" s="1"/>
  <c r="HY653" i="9" s="1"/>
  <c r="AB653" i="9"/>
  <c r="HM652" i="9"/>
  <c r="HW652" i="9" s="1"/>
  <c r="HL652" i="9"/>
  <c r="HK652" i="9"/>
  <c r="HI652" i="9"/>
  <c r="HJ652" i="9" s="1"/>
  <c r="HG652" i="9"/>
  <c r="HF652" i="9"/>
  <c r="FU652" i="9"/>
  <c r="FT652" i="9"/>
  <c r="FS652" i="9"/>
  <c r="FQ652" i="9"/>
  <c r="FR652" i="9" s="1"/>
  <c r="FN652" i="9"/>
  <c r="FO652" i="9" s="1"/>
  <c r="FL652" i="9"/>
  <c r="FK652" i="9"/>
  <c r="AX652" i="9"/>
  <c r="AZ652" i="9" s="1"/>
  <c r="AB652" i="9"/>
  <c r="HM651" i="9"/>
  <c r="HW651" i="9" s="1"/>
  <c r="HL651" i="9"/>
  <c r="HK651" i="9"/>
  <c r="HI651" i="9"/>
  <c r="HJ651" i="9" s="1"/>
  <c r="HF651" i="9"/>
  <c r="HG651" i="9" s="1"/>
  <c r="FU651" i="9"/>
  <c r="FT651" i="9"/>
  <c r="FS651" i="9"/>
  <c r="FQ651" i="9"/>
  <c r="FR651" i="9" s="1"/>
  <c r="FN651" i="9"/>
  <c r="FO651" i="9" s="1"/>
  <c r="FL651" i="9"/>
  <c r="FK651" i="9"/>
  <c r="AX651" i="9"/>
  <c r="AZ651" i="9" s="1"/>
  <c r="AB651" i="9"/>
  <c r="HM650" i="9"/>
  <c r="HW650" i="9" s="1"/>
  <c r="HL650" i="9"/>
  <c r="HK650" i="9"/>
  <c r="HI650" i="9"/>
  <c r="HJ650" i="9" s="1"/>
  <c r="HN650" i="9" s="1"/>
  <c r="HF650" i="9"/>
  <c r="HG650" i="9" s="1"/>
  <c r="FU650" i="9"/>
  <c r="FT650" i="9"/>
  <c r="FS650" i="9"/>
  <c r="FQ650" i="9"/>
  <c r="FR650" i="9" s="1"/>
  <c r="FN650" i="9"/>
  <c r="FO650" i="9" s="1"/>
  <c r="FL650" i="9"/>
  <c r="FK650" i="9"/>
  <c r="AW650" i="9"/>
  <c r="AX650" i="9" s="1"/>
  <c r="AZ650" i="9" s="1"/>
  <c r="HY650" i="9" s="1"/>
  <c r="AB650" i="9"/>
  <c r="HM649" i="9"/>
  <c r="HW649" i="9" s="1"/>
  <c r="HL649" i="9"/>
  <c r="HK649" i="9"/>
  <c r="HI649" i="9"/>
  <c r="HJ649" i="9" s="1"/>
  <c r="HF649" i="9"/>
  <c r="HG649" i="9" s="1"/>
  <c r="FU649" i="9"/>
  <c r="FT649" i="9"/>
  <c r="FS649" i="9"/>
  <c r="FQ649" i="9"/>
  <c r="FR649" i="9" s="1"/>
  <c r="FN649" i="9"/>
  <c r="FO649" i="9" s="1"/>
  <c r="FL649" i="9"/>
  <c r="FK649" i="9"/>
  <c r="AW649" i="9"/>
  <c r="AX649" i="9" s="1"/>
  <c r="AZ649" i="9" s="1"/>
  <c r="AB649" i="9"/>
  <c r="HM648" i="9"/>
  <c r="HW648" i="9" s="1"/>
  <c r="HL648" i="9"/>
  <c r="HK648" i="9"/>
  <c r="HI648" i="9"/>
  <c r="HJ648" i="9" s="1"/>
  <c r="HF648" i="9"/>
  <c r="HG648" i="9" s="1"/>
  <c r="FU648" i="9"/>
  <c r="FT648" i="9"/>
  <c r="FS648" i="9"/>
  <c r="FQ648" i="9"/>
  <c r="FR648" i="9" s="1"/>
  <c r="FN648" i="9"/>
  <c r="FO648" i="9" s="1"/>
  <c r="FL648" i="9"/>
  <c r="FK648" i="9"/>
  <c r="AW648" i="9"/>
  <c r="AX648" i="9" s="1"/>
  <c r="AZ648" i="9" s="1"/>
  <c r="AB648" i="9"/>
  <c r="HM647" i="9"/>
  <c r="HW647" i="9" s="1"/>
  <c r="HL647" i="9"/>
  <c r="HK647" i="9"/>
  <c r="HI647" i="9"/>
  <c r="HJ647" i="9" s="1"/>
  <c r="HF647" i="9"/>
  <c r="HG647" i="9" s="1"/>
  <c r="FU647" i="9"/>
  <c r="FT647" i="9"/>
  <c r="FS647" i="9"/>
  <c r="FQ647" i="9"/>
  <c r="FR647" i="9" s="1"/>
  <c r="FN647" i="9"/>
  <c r="FO647" i="9" s="1"/>
  <c r="FL647" i="9"/>
  <c r="FK647" i="9"/>
  <c r="AW647" i="9"/>
  <c r="AX647" i="9" s="1"/>
  <c r="AZ647" i="9" s="1"/>
  <c r="AB647" i="9"/>
  <c r="HM646" i="9"/>
  <c r="HW646" i="9" s="1"/>
  <c r="HL646" i="9"/>
  <c r="HK646" i="9"/>
  <c r="HI646" i="9"/>
  <c r="HJ646" i="9" s="1"/>
  <c r="HF646" i="9"/>
  <c r="HG646" i="9" s="1"/>
  <c r="FU646" i="9"/>
  <c r="FT646" i="9"/>
  <c r="FS646" i="9"/>
  <c r="FQ646" i="9"/>
  <c r="FR646" i="9" s="1"/>
  <c r="FN646" i="9"/>
  <c r="FO646" i="9" s="1"/>
  <c r="FL646" i="9"/>
  <c r="FK646" i="9"/>
  <c r="AX646" i="9"/>
  <c r="AZ646" i="9" s="1"/>
  <c r="HY646" i="9" s="1"/>
  <c r="AB646" i="9"/>
  <c r="HM645" i="9"/>
  <c r="HW645" i="9" s="1"/>
  <c r="HL645" i="9"/>
  <c r="HK645" i="9"/>
  <c r="HI645" i="9"/>
  <c r="HJ645" i="9" s="1"/>
  <c r="HF645" i="9"/>
  <c r="HG645" i="9" s="1"/>
  <c r="FU645" i="9"/>
  <c r="FT645" i="9"/>
  <c r="FS645" i="9"/>
  <c r="FQ645" i="9"/>
  <c r="FR645" i="9" s="1"/>
  <c r="FN645" i="9"/>
  <c r="FO645" i="9" s="1"/>
  <c r="FL645" i="9"/>
  <c r="FK645" i="9"/>
  <c r="AX645" i="9"/>
  <c r="AZ645" i="9" s="1"/>
  <c r="BB645" i="9" s="1"/>
  <c r="AB645" i="9"/>
  <c r="HM644" i="9"/>
  <c r="HW644" i="9" s="1"/>
  <c r="HL644" i="9"/>
  <c r="HK644" i="9"/>
  <c r="HI644" i="9"/>
  <c r="HJ644" i="9" s="1"/>
  <c r="HF644" i="9"/>
  <c r="HG644" i="9" s="1"/>
  <c r="FU644" i="9"/>
  <c r="FT644" i="9"/>
  <c r="FS644" i="9"/>
  <c r="FQ644" i="9"/>
  <c r="FR644" i="9" s="1"/>
  <c r="FN644" i="9"/>
  <c r="FO644" i="9" s="1"/>
  <c r="FL644" i="9"/>
  <c r="FK644" i="9"/>
  <c r="AX644" i="9"/>
  <c r="AZ644" i="9" s="1"/>
  <c r="BB644" i="9" s="1"/>
  <c r="HX644" i="9" s="1"/>
  <c r="AB644" i="9"/>
  <c r="HM643" i="9"/>
  <c r="HW643" i="9" s="1"/>
  <c r="HL643" i="9"/>
  <c r="HK643" i="9"/>
  <c r="HI643" i="9"/>
  <c r="HJ643" i="9" s="1"/>
  <c r="HF643" i="9"/>
  <c r="HG643" i="9" s="1"/>
  <c r="FU643" i="9"/>
  <c r="FT643" i="9"/>
  <c r="FS643" i="9"/>
  <c r="FQ643" i="9"/>
  <c r="FR643" i="9" s="1"/>
  <c r="FN643" i="9"/>
  <c r="FO643" i="9" s="1"/>
  <c r="FL643" i="9"/>
  <c r="FK643" i="9"/>
  <c r="AX643" i="9"/>
  <c r="AZ643" i="9" s="1"/>
  <c r="AB643" i="9"/>
  <c r="HM642" i="9"/>
  <c r="HW642" i="9" s="1"/>
  <c r="HL642" i="9"/>
  <c r="HK642" i="9"/>
  <c r="HI642" i="9"/>
  <c r="HJ642" i="9" s="1"/>
  <c r="HF642" i="9"/>
  <c r="HG642" i="9" s="1"/>
  <c r="HN642" i="9" s="1"/>
  <c r="FU642" i="9"/>
  <c r="FT642" i="9"/>
  <c r="FS642" i="9"/>
  <c r="FQ642" i="9"/>
  <c r="FR642" i="9" s="1"/>
  <c r="FN642" i="9"/>
  <c r="FO642" i="9" s="1"/>
  <c r="FL642" i="9"/>
  <c r="FK642" i="9"/>
  <c r="AX642" i="9"/>
  <c r="AZ642" i="9" s="1"/>
  <c r="AW642" i="9"/>
  <c r="AB642" i="9"/>
  <c r="HM641" i="9"/>
  <c r="HW641" i="9" s="1"/>
  <c r="HL641" i="9"/>
  <c r="HK641" i="9"/>
  <c r="HI641" i="9"/>
  <c r="HJ641" i="9" s="1"/>
  <c r="HF641" i="9"/>
  <c r="HG641" i="9" s="1"/>
  <c r="FU641" i="9"/>
  <c r="FT641" i="9"/>
  <c r="FS641" i="9"/>
  <c r="FQ641" i="9"/>
  <c r="FR641" i="9" s="1"/>
  <c r="FN641" i="9"/>
  <c r="FO641" i="9" s="1"/>
  <c r="FL641" i="9"/>
  <c r="FK641" i="9"/>
  <c r="AW641" i="9"/>
  <c r="AX641" i="9" s="1"/>
  <c r="AZ641" i="9" s="1"/>
  <c r="AB641" i="9"/>
  <c r="HM640" i="9"/>
  <c r="HW640" i="9" s="1"/>
  <c r="HL640" i="9"/>
  <c r="HK640" i="9"/>
  <c r="HI640" i="9"/>
  <c r="HJ640" i="9" s="1"/>
  <c r="HF640" i="9"/>
  <c r="HG640" i="9" s="1"/>
  <c r="FU640" i="9"/>
  <c r="FT640" i="9"/>
  <c r="FS640" i="9"/>
  <c r="FR640" i="9"/>
  <c r="FQ640" i="9"/>
  <c r="FN640" i="9"/>
  <c r="FO640" i="9" s="1"/>
  <c r="FL640" i="9"/>
  <c r="FK640" i="9"/>
  <c r="AW640" i="9"/>
  <c r="AX640" i="9" s="1"/>
  <c r="AZ640" i="9" s="1"/>
  <c r="HY640" i="9" s="1"/>
  <c r="AB640" i="9"/>
  <c r="HM639" i="9"/>
  <c r="HW639" i="9" s="1"/>
  <c r="HL639" i="9"/>
  <c r="HK639" i="9"/>
  <c r="HI639" i="9"/>
  <c r="HJ639" i="9" s="1"/>
  <c r="HG639" i="9"/>
  <c r="HF639" i="9"/>
  <c r="FU639" i="9"/>
  <c r="FT639" i="9"/>
  <c r="FS639" i="9"/>
  <c r="FQ639" i="9"/>
  <c r="FR639" i="9" s="1"/>
  <c r="FN639" i="9"/>
  <c r="FO639" i="9" s="1"/>
  <c r="FL639" i="9"/>
  <c r="FK639" i="9"/>
  <c r="AW639" i="9"/>
  <c r="AX639" i="9" s="1"/>
  <c r="AZ639" i="9" s="1"/>
  <c r="AB639" i="9"/>
  <c r="HM638" i="9"/>
  <c r="HW638" i="9" s="1"/>
  <c r="HL638" i="9"/>
  <c r="HK638" i="9"/>
  <c r="HI638" i="9"/>
  <c r="HJ638" i="9" s="1"/>
  <c r="HF638" i="9"/>
  <c r="HG638" i="9" s="1"/>
  <c r="FU638" i="9"/>
  <c r="FT638" i="9"/>
  <c r="FS638" i="9"/>
  <c r="FQ638" i="9"/>
  <c r="FR638" i="9" s="1"/>
  <c r="FN638" i="9"/>
  <c r="FO638" i="9" s="1"/>
  <c r="FL638" i="9"/>
  <c r="FK638" i="9"/>
  <c r="AX638" i="9"/>
  <c r="AZ638" i="9" s="1"/>
  <c r="AB638" i="9"/>
  <c r="HM637" i="9"/>
  <c r="HW637" i="9" s="1"/>
  <c r="HL637" i="9"/>
  <c r="HK637" i="9"/>
  <c r="HJ637" i="9"/>
  <c r="HI637" i="9"/>
  <c r="HF637" i="9"/>
  <c r="HG637" i="9" s="1"/>
  <c r="FU637" i="9"/>
  <c r="FT637" i="9"/>
  <c r="FS637" i="9"/>
  <c r="FR637" i="9"/>
  <c r="FQ637" i="9"/>
  <c r="FN637" i="9"/>
  <c r="FO637" i="9" s="1"/>
  <c r="FL637" i="9"/>
  <c r="FK637" i="9"/>
  <c r="AZ637" i="9"/>
  <c r="HY637" i="9" s="1"/>
  <c r="AX637" i="9"/>
  <c r="AB637" i="9"/>
  <c r="HW636" i="9"/>
  <c r="HM636" i="9"/>
  <c r="HL636" i="9"/>
  <c r="HK636" i="9"/>
  <c r="HI636" i="9"/>
  <c r="HJ636" i="9" s="1"/>
  <c r="HG636" i="9"/>
  <c r="HF636" i="9"/>
  <c r="FU636" i="9"/>
  <c r="FT636" i="9"/>
  <c r="FS636" i="9"/>
  <c r="FQ636" i="9"/>
  <c r="FR636" i="9" s="1"/>
  <c r="FN636" i="9"/>
  <c r="FO636" i="9" s="1"/>
  <c r="FL636" i="9"/>
  <c r="FK636" i="9"/>
  <c r="AX636" i="9"/>
  <c r="AZ636" i="9" s="1"/>
  <c r="AB636" i="9"/>
  <c r="HM635" i="9"/>
  <c r="HW635" i="9" s="1"/>
  <c r="HL635" i="9"/>
  <c r="HK635" i="9"/>
  <c r="HI635" i="9"/>
  <c r="HJ635" i="9" s="1"/>
  <c r="HF635" i="9"/>
  <c r="HG635" i="9" s="1"/>
  <c r="FU635" i="9"/>
  <c r="FT635" i="9"/>
  <c r="FS635" i="9"/>
  <c r="FQ635" i="9"/>
  <c r="FR635" i="9" s="1"/>
  <c r="FN635" i="9"/>
  <c r="FO635" i="9" s="1"/>
  <c r="FL635" i="9"/>
  <c r="FK635" i="9"/>
  <c r="AX635" i="9"/>
  <c r="AZ635" i="9" s="1"/>
  <c r="AB635" i="9"/>
  <c r="HM634" i="9"/>
  <c r="HW634" i="9" s="1"/>
  <c r="HL634" i="9"/>
  <c r="HK634" i="9"/>
  <c r="HI634" i="9"/>
  <c r="HJ634" i="9" s="1"/>
  <c r="HN634" i="9" s="1"/>
  <c r="HF634" i="9"/>
  <c r="HG634" i="9" s="1"/>
  <c r="FU634" i="9"/>
  <c r="FT634" i="9"/>
  <c r="FS634" i="9"/>
  <c r="FQ634" i="9"/>
  <c r="FR634" i="9" s="1"/>
  <c r="FN634" i="9"/>
  <c r="FO634" i="9" s="1"/>
  <c r="FL634" i="9"/>
  <c r="FK634" i="9"/>
  <c r="AW634" i="9"/>
  <c r="AX634" i="9" s="1"/>
  <c r="AZ634" i="9" s="1"/>
  <c r="HY634" i="9" s="1"/>
  <c r="AB634" i="9"/>
  <c r="HM633" i="9"/>
  <c r="HW633" i="9" s="1"/>
  <c r="HL633" i="9"/>
  <c r="HK633" i="9"/>
  <c r="HI633" i="9"/>
  <c r="HJ633" i="9" s="1"/>
  <c r="HF633" i="9"/>
  <c r="HG633" i="9" s="1"/>
  <c r="FU633" i="9"/>
  <c r="FT633" i="9"/>
  <c r="FS633" i="9"/>
  <c r="FQ633" i="9"/>
  <c r="FR633" i="9" s="1"/>
  <c r="FN633" i="9"/>
  <c r="FO633" i="9" s="1"/>
  <c r="FL633" i="9"/>
  <c r="FK633" i="9"/>
  <c r="AW633" i="9"/>
  <c r="AX633" i="9" s="1"/>
  <c r="AZ633" i="9" s="1"/>
  <c r="AB633" i="9"/>
  <c r="HM632" i="9"/>
  <c r="HW632" i="9" s="1"/>
  <c r="HL632" i="9"/>
  <c r="HK632" i="9"/>
  <c r="HI632" i="9"/>
  <c r="HJ632" i="9" s="1"/>
  <c r="HF632" i="9"/>
  <c r="HG632" i="9" s="1"/>
  <c r="FU632" i="9"/>
  <c r="FT632" i="9"/>
  <c r="FS632" i="9"/>
  <c r="FQ632" i="9"/>
  <c r="FR632" i="9" s="1"/>
  <c r="FV632" i="9" s="1"/>
  <c r="FN632" i="9"/>
  <c r="FO632" i="9" s="1"/>
  <c r="FL632" i="9"/>
  <c r="FK632" i="9"/>
  <c r="AW632" i="9"/>
  <c r="AX632" i="9" s="1"/>
  <c r="AZ632" i="9" s="1"/>
  <c r="AB632" i="9"/>
  <c r="HM631" i="9"/>
  <c r="HW631" i="9" s="1"/>
  <c r="HL631" i="9"/>
  <c r="HK631" i="9"/>
  <c r="HI631" i="9"/>
  <c r="HJ631" i="9" s="1"/>
  <c r="HF631" i="9"/>
  <c r="HG631" i="9" s="1"/>
  <c r="FU631" i="9"/>
  <c r="FT631" i="9"/>
  <c r="FS631" i="9"/>
  <c r="FQ631" i="9"/>
  <c r="FR631" i="9" s="1"/>
  <c r="FN631" i="9"/>
  <c r="FO631" i="9" s="1"/>
  <c r="FL631" i="9"/>
  <c r="FK631" i="9"/>
  <c r="AW631" i="9"/>
  <c r="AX631" i="9" s="1"/>
  <c r="AZ631" i="9" s="1"/>
  <c r="BB631" i="9" s="1"/>
  <c r="AB631" i="9"/>
  <c r="HM630" i="9"/>
  <c r="HW630" i="9" s="1"/>
  <c r="HL630" i="9"/>
  <c r="HK630" i="9"/>
  <c r="HJ630" i="9"/>
  <c r="HI630" i="9"/>
  <c r="HF630" i="9"/>
  <c r="HG630" i="9" s="1"/>
  <c r="FU630" i="9"/>
  <c r="FT630" i="9"/>
  <c r="FS630" i="9"/>
  <c r="FR630" i="9"/>
  <c r="FQ630" i="9"/>
  <c r="FN630" i="9"/>
  <c r="FO630" i="9" s="1"/>
  <c r="FL630" i="9"/>
  <c r="FK630" i="9"/>
  <c r="AX630" i="9"/>
  <c r="AZ630" i="9" s="1"/>
  <c r="AB630" i="9"/>
  <c r="HM629" i="9"/>
  <c r="HW629" i="9" s="1"/>
  <c r="HL629" i="9"/>
  <c r="HK629" i="9"/>
  <c r="HJ629" i="9"/>
  <c r="HN629" i="9" s="1"/>
  <c r="HI629" i="9"/>
  <c r="HF629" i="9"/>
  <c r="HG629" i="9" s="1"/>
  <c r="FU629" i="9"/>
  <c r="FT629" i="9"/>
  <c r="FS629" i="9"/>
  <c r="FQ629" i="9"/>
  <c r="FR629" i="9" s="1"/>
  <c r="FN629" i="9"/>
  <c r="FO629" i="9" s="1"/>
  <c r="FL629" i="9"/>
  <c r="FK629" i="9"/>
  <c r="AX629" i="9"/>
  <c r="AZ629" i="9" s="1"/>
  <c r="AB629" i="9"/>
  <c r="HM628" i="9"/>
  <c r="HW628" i="9" s="1"/>
  <c r="HL628" i="9"/>
  <c r="HK628" i="9"/>
  <c r="HI628" i="9"/>
  <c r="HJ628" i="9" s="1"/>
  <c r="HF628" i="9"/>
  <c r="HG628" i="9" s="1"/>
  <c r="FU628" i="9"/>
  <c r="FT628" i="9"/>
  <c r="FS628" i="9"/>
  <c r="FQ628" i="9"/>
  <c r="FR628" i="9" s="1"/>
  <c r="FN628" i="9"/>
  <c r="FO628" i="9" s="1"/>
  <c r="FL628" i="9"/>
  <c r="FK628" i="9"/>
  <c r="AX628" i="9"/>
  <c r="AZ628" i="9" s="1"/>
  <c r="BB628" i="9" s="1"/>
  <c r="HX628" i="9" s="1"/>
  <c r="AB628" i="9"/>
  <c r="HM627" i="9"/>
  <c r="HW627" i="9" s="1"/>
  <c r="HL627" i="9"/>
  <c r="HK627" i="9"/>
  <c r="HI627" i="9"/>
  <c r="HJ627" i="9" s="1"/>
  <c r="HF627" i="9"/>
  <c r="HG627" i="9" s="1"/>
  <c r="FU627" i="9"/>
  <c r="FT627" i="9"/>
  <c r="FS627" i="9"/>
  <c r="FQ627" i="9"/>
  <c r="FR627" i="9" s="1"/>
  <c r="FN627" i="9"/>
  <c r="FO627" i="9" s="1"/>
  <c r="FL627" i="9"/>
  <c r="FK627" i="9"/>
  <c r="AX627" i="9"/>
  <c r="AZ627" i="9" s="1"/>
  <c r="AB627" i="9"/>
  <c r="HM626" i="9"/>
  <c r="HW626" i="9" s="1"/>
  <c r="HL626" i="9"/>
  <c r="HK626" i="9"/>
  <c r="HI626" i="9"/>
  <c r="HJ626" i="9" s="1"/>
  <c r="HF626" i="9"/>
  <c r="HG626" i="9" s="1"/>
  <c r="FU626" i="9"/>
  <c r="FT626" i="9"/>
  <c r="FS626" i="9"/>
  <c r="FQ626" i="9"/>
  <c r="FR626" i="9" s="1"/>
  <c r="FN626" i="9"/>
  <c r="FO626" i="9" s="1"/>
  <c r="FL626" i="9"/>
  <c r="FK626" i="9"/>
  <c r="AW626" i="9"/>
  <c r="AX626" i="9" s="1"/>
  <c r="AZ626" i="9" s="1"/>
  <c r="AB626" i="9"/>
  <c r="HM625" i="9"/>
  <c r="HW625" i="9" s="1"/>
  <c r="HL625" i="9"/>
  <c r="HK625" i="9"/>
  <c r="HI625" i="9"/>
  <c r="HJ625" i="9" s="1"/>
  <c r="HF625" i="9"/>
  <c r="HG625" i="9" s="1"/>
  <c r="FU625" i="9"/>
  <c r="FT625" i="9"/>
  <c r="FS625" i="9"/>
  <c r="FQ625" i="9"/>
  <c r="FR625" i="9" s="1"/>
  <c r="FN625" i="9"/>
  <c r="FO625" i="9" s="1"/>
  <c r="FL625" i="9"/>
  <c r="FK625" i="9"/>
  <c r="AW625" i="9"/>
  <c r="AX625" i="9" s="1"/>
  <c r="AZ625" i="9" s="1"/>
  <c r="BB625" i="9" s="1"/>
  <c r="AB625" i="9"/>
  <c r="HM624" i="9"/>
  <c r="HW624" i="9" s="1"/>
  <c r="HL624" i="9"/>
  <c r="HK624" i="9"/>
  <c r="HI624" i="9"/>
  <c r="HJ624" i="9" s="1"/>
  <c r="HF624" i="9"/>
  <c r="HG624" i="9" s="1"/>
  <c r="FU624" i="9"/>
  <c r="FT624" i="9"/>
  <c r="FS624" i="9"/>
  <c r="FQ624" i="9"/>
  <c r="FR624" i="9" s="1"/>
  <c r="FN624" i="9"/>
  <c r="FO624" i="9" s="1"/>
  <c r="FL624" i="9"/>
  <c r="FK624" i="9"/>
  <c r="AW624" i="9"/>
  <c r="AX624" i="9" s="1"/>
  <c r="AZ624" i="9" s="1"/>
  <c r="HY624" i="9" s="1"/>
  <c r="AB624" i="9"/>
  <c r="HM623" i="9"/>
  <c r="HW623" i="9" s="1"/>
  <c r="HL623" i="9"/>
  <c r="HK623" i="9"/>
  <c r="HI623" i="9"/>
  <c r="HJ623" i="9" s="1"/>
  <c r="HF623" i="9"/>
  <c r="HG623" i="9" s="1"/>
  <c r="FU623" i="9"/>
  <c r="FT623" i="9"/>
  <c r="FS623" i="9"/>
  <c r="FQ623" i="9"/>
  <c r="FR623" i="9" s="1"/>
  <c r="FN623" i="9"/>
  <c r="FO623" i="9" s="1"/>
  <c r="FL623" i="9"/>
  <c r="FK623" i="9"/>
  <c r="BA623" i="9"/>
  <c r="HZ623" i="9" s="1"/>
  <c r="AW623" i="9"/>
  <c r="AX623" i="9" s="1"/>
  <c r="AZ623" i="9" s="1"/>
  <c r="AB623" i="9"/>
  <c r="HM622" i="9"/>
  <c r="HW622" i="9" s="1"/>
  <c r="HL622" i="9"/>
  <c r="HK622" i="9"/>
  <c r="HI622" i="9"/>
  <c r="HJ622" i="9" s="1"/>
  <c r="HF622" i="9"/>
  <c r="HG622" i="9" s="1"/>
  <c r="FU622" i="9"/>
  <c r="FT622" i="9"/>
  <c r="FS622" i="9"/>
  <c r="FQ622" i="9"/>
  <c r="FR622" i="9" s="1"/>
  <c r="FN622" i="9"/>
  <c r="FO622" i="9" s="1"/>
  <c r="FL622" i="9"/>
  <c r="FK622" i="9"/>
  <c r="AX622" i="9"/>
  <c r="AZ622" i="9" s="1"/>
  <c r="AB622" i="9"/>
  <c r="HM621" i="9"/>
  <c r="HW621" i="9" s="1"/>
  <c r="HL621" i="9"/>
  <c r="HK621" i="9"/>
  <c r="HI621" i="9"/>
  <c r="HJ621" i="9" s="1"/>
  <c r="HF621" i="9"/>
  <c r="HG621" i="9" s="1"/>
  <c r="FU621" i="9"/>
  <c r="FT621" i="9"/>
  <c r="FS621" i="9"/>
  <c r="FQ621" i="9"/>
  <c r="FR621" i="9" s="1"/>
  <c r="FN621" i="9"/>
  <c r="FO621" i="9" s="1"/>
  <c r="FL621" i="9"/>
  <c r="FK621" i="9"/>
  <c r="AX621" i="9"/>
  <c r="AZ621" i="9" s="1"/>
  <c r="HY621" i="9" s="1"/>
  <c r="AB621" i="9"/>
  <c r="HM620" i="9"/>
  <c r="HW620" i="9" s="1"/>
  <c r="HL620" i="9"/>
  <c r="HK620" i="9"/>
  <c r="HI620" i="9"/>
  <c r="HJ620" i="9" s="1"/>
  <c r="HG620" i="9"/>
  <c r="HF620" i="9"/>
  <c r="FU620" i="9"/>
  <c r="FT620" i="9"/>
  <c r="FS620" i="9"/>
  <c r="FQ620" i="9"/>
  <c r="FR620" i="9" s="1"/>
  <c r="FN620" i="9"/>
  <c r="FO620" i="9" s="1"/>
  <c r="FL620" i="9"/>
  <c r="FK620" i="9"/>
  <c r="AX620" i="9"/>
  <c r="AZ620" i="9" s="1"/>
  <c r="AB620" i="9"/>
  <c r="HM619" i="9"/>
  <c r="HW619" i="9" s="1"/>
  <c r="HL619" i="9"/>
  <c r="HK619" i="9"/>
  <c r="HI619" i="9"/>
  <c r="HJ619" i="9" s="1"/>
  <c r="HF619" i="9"/>
  <c r="HG619" i="9" s="1"/>
  <c r="FU619" i="9"/>
  <c r="FT619" i="9"/>
  <c r="FS619" i="9"/>
  <c r="FQ619" i="9"/>
  <c r="FR619" i="9" s="1"/>
  <c r="FN619" i="9"/>
  <c r="FO619" i="9" s="1"/>
  <c r="FL619" i="9"/>
  <c r="FK619" i="9"/>
  <c r="AX619" i="9"/>
  <c r="AZ619" i="9" s="1"/>
  <c r="AB619" i="9"/>
  <c r="HM618" i="9"/>
  <c r="HW618" i="9" s="1"/>
  <c r="HL618" i="9"/>
  <c r="HK618" i="9"/>
  <c r="HI618" i="9"/>
  <c r="HJ618" i="9" s="1"/>
  <c r="HF618" i="9"/>
  <c r="HG618" i="9" s="1"/>
  <c r="FU618" i="9"/>
  <c r="FT618" i="9"/>
  <c r="FS618" i="9"/>
  <c r="FQ618" i="9"/>
  <c r="FR618" i="9" s="1"/>
  <c r="FN618" i="9"/>
  <c r="FO618" i="9" s="1"/>
  <c r="FL618" i="9"/>
  <c r="FK618" i="9"/>
  <c r="AW618" i="9"/>
  <c r="AX618" i="9" s="1"/>
  <c r="AZ618" i="9" s="1"/>
  <c r="AB618" i="9"/>
  <c r="HM617" i="9"/>
  <c r="HW617" i="9" s="1"/>
  <c r="HL617" i="9"/>
  <c r="HK617" i="9"/>
  <c r="HI617" i="9"/>
  <c r="HJ617" i="9" s="1"/>
  <c r="HF617" i="9"/>
  <c r="HG617" i="9" s="1"/>
  <c r="FU617" i="9"/>
  <c r="FT617" i="9"/>
  <c r="FS617" i="9"/>
  <c r="FQ617" i="9"/>
  <c r="FR617" i="9" s="1"/>
  <c r="FN617" i="9"/>
  <c r="FO617" i="9" s="1"/>
  <c r="FL617" i="9"/>
  <c r="FK617" i="9"/>
  <c r="AW617" i="9"/>
  <c r="AX617" i="9" s="1"/>
  <c r="AZ617" i="9" s="1"/>
  <c r="AB617" i="9"/>
  <c r="HM616" i="9"/>
  <c r="HW616" i="9" s="1"/>
  <c r="HL616" i="9"/>
  <c r="HK616" i="9"/>
  <c r="HI616" i="9"/>
  <c r="HJ616" i="9" s="1"/>
  <c r="HF616" i="9"/>
  <c r="HG616" i="9" s="1"/>
  <c r="FU616" i="9"/>
  <c r="FT616" i="9"/>
  <c r="FS616" i="9"/>
  <c r="FQ616" i="9"/>
  <c r="FR616" i="9" s="1"/>
  <c r="FN616" i="9"/>
  <c r="FO616" i="9" s="1"/>
  <c r="FL616" i="9"/>
  <c r="FK616" i="9"/>
  <c r="AW616" i="9"/>
  <c r="AX616" i="9" s="1"/>
  <c r="AZ616" i="9" s="1"/>
  <c r="AB616" i="9"/>
  <c r="HM615" i="9"/>
  <c r="HW615" i="9" s="1"/>
  <c r="HL615" i="9"/>
  <c r="HK615" i="9"/>
  <c r="HI615" i="9"/>
  <c r="HJ615" i="9" s="1"/>
  <c r="HG615" i="9"/>
  <c r="HF615" i="9"/>
  <c r="FU615" i="9"/>
  <c r="FT615" i="9"/>
  <c r="FS615" i="9"/>
  <c r="FQ615" i="9"/>
  <c r="FR615" i="9" s="1"/>
  <c r="FN615" i="9"/>
  <c r="FO615" i="9" s="1"/>
  <c r="FL615" i="9"/>
  <c r="FK615" i="9"/>
  <c r="AW615" i="9"/>
  <c r="AX615" i="9" s="1"/>
  <c r="AZ615" i="9" s="1"/>
  <c r="BB615" i="9" s="1"/>
  <c r="AB615" i="9"/>
  <c r="HM614" i="9"/>
  <c r="HW614" i="9" s="1"/>
  <c r="HL614" i="9"/>
  <c r="HK614" i="9"/>
  <c r="HI614" i="9"/>
  <c r="HJ614" i="9" s="1"/>
  <c r="HF614" i="9"/>
  <c r="HG614" i="9" s="1"/>
  <c r="FU614" i="9"/>
  <c r="FT614" i="9"/>
  <c r="FS614" i="9"/>
  <c r="FQ614" i="9"/>
  <c r="FR614" i="9" s="1"/>
  <c r="FV614" i="9" s="1"/>
  <c r="FN614" i="9"/>
  <c r="FO614" i="9" s="1"/>
  <c r="FL614" i="9"/>
  <c r="FK614" i="9"/>
  <c r="AZ614" i="9"/>
  <c r="AX614" i="9"/>
  <c r="AB614" i="9"/>
  <c r="HM613" i="9"/>
  <c r="HW613" i="9" s="1"/>
  <c r="HL613" i="9"/>
  <c r="HK613" i="9"/>
  <c r="HI613" i="9"/>
  <c r="HJ613" i="9" s="1"/>
  <c r="HF613" i="9"/>
  <c r="HG613" i="9" s="1"/>
  <c r="FU613" i="9"/>
  <c r="FT613" i="9"/>
  <c r="FS613" i="9"/>
  <c r="FQ613" i="9"/>
  <c r="FR613" i="9" s="1"/>
  <c r="FN613" i="9"/>
  <c r="FO613" i="9" s="1"/>
  <c r="FL613" i="9"/>
  <c r="FK613" i="9"/>
  <c r="AX613" i="9"/>
  <c r="AZ613" i="9" s="1"/>
  <c r="AB613" i="9"/>
  <c r="HM612" i="9"/>
  <c r="HW612" i="9" s="1"/>
  <c r="HL612" i="9"/>
  <c r="HK612" i="9"/>
  <c r="HI612" i="9"/>
  <c r="HJ612" i="9" s="1"/>
  <c r="HF612" i="9"/>
  <c r="HG612" i="9" s="1"/>
  <c r="FU612" i="9"/>
  <c r="FT612" i="9"/>
  <c r="FS612" i="9"/>
  <c r="FQ612" i="9"/>
  <c r="FR612" i="9" s="1"/>
  <c r="FN612" i="9"/>
  <c r="FO612" i="9" s="1"/>
  <c r="FL612" i="9"/>
  <c r="FK612" i="9"/>
  <c r="AX612" i="9"/>
  <c r="AZ612" i="9" s="1"/>
  <c r="HY612" i="9" s="1"/>
  <c r="AB612" i="9"/>
  <c r="HM611" i="9"/>
  <c r="HW611" i="9" s="1"/>
  <c r="HL611" i="9"/>
  <c r="HK611" i="9"/>
  <c r="HI611" i="9"/>
  <c r="HJ611" i="9" s="1"/>
  <c r="HF611" i="9"/>
  <c r="HG611" i="9" s="1"/>
  <c r="FU611" i="9"/>
  <c r="FT611" i="9"/>
  <c r="FS611" i="9"/>
  <c r="FQ611" i="9"/>
  <c r="FR611" i="9" s="1"/>
  <c r="FN611" i="9"/>
  <c r="FO611" i="9" s="1"/>
  <c r="FL611" i="9"/>
  <c r="FK611" i="9"/>
  <c r="AZ611" i="9"/>
  <c r="AX611" i="9"/>
  <c r="AB611" i="9"/>
  <c r="HM610" i="9"/>
  <c r="HW610" i="9" s="1"/>
  <c r="HL610" i="9"/>
  <c r="HK610" i="9"/>
  <c r="HI610" i="9"/>
  <c r="HJ610" i="9" s="1"/>
  <c r="HF610" i="9"/>
  <c r="HG610" i="9" s="1"/>
  <c r="FU610" i="9"/>
  <c r="FT610" i="9"/>
  <c r="FS610" i="9"/>
  <c r="FQ610" i="9"/>
  <c r="FR610" i="9" s="1"/>
  <c r="FN610" i="9"/>
  <c r="FO610" i="9" s="1"/>
  <c r="FL610" i="9"/>
  <c r="FK610" i="9"/>
  <c r="AW610" i="9"/>
  <c r="AX610" i="9" s="1"/>
  <c r="AZ610" i="9" s="1"/>
  <c r="AB610" i="9"/>
  <c r="HM609" i="9"/>
  <c r="HW609" i="9" s="1"/>
  <c r="HL609" i="9"/>
  <c r="HK609" i="9"/>
  <c r="HI609" i="9"/>
  <c r="HJ609" i="9" s="1"/>
  <c r="HF609" i="9"/>
  <c r="HG609" i="9" s="1"/>
  <c r="FU609" i="9"/>
  <c r="FT609" i="9"/>
  <c r="FS609" i="9"/>
  <c r="FQ609" i="9"/>
  <c r="FR609" i="9" s="1"/>
  <c r="FN609" i="9"/>
  <c r="FO609" i="9" s="1"/>
  <c r="FL609" i="9"/>
  <c r="FK609" i="9"/>
  <c r="AW609" i="9"/>
  <c r="AX609" i="9" s="1"/>
  <c r="AZ609" i="9" s="1"/>
  <c r="HY609" i="9" s="1"/>
  <c r="AB609" i="9"/>
  <c r="HM608" i="9"/>
  <c r="HW608" i="9" s="1"/>
  <c r="HL608" i="9"/>
  <c r="HK608" i="9"/>
  <c r="HI608" i="9"/>
  <c r="HJ608" i="9" s="1"/>
  <c r="HN608" i="9" s="1"/>
  <c r="HF608" i="9"/>
  <c r="HG608" i="9" s="1"/>
  <c r="FU608" i="9"/>
  <c r="FT608" i="9"/>
  <c r="FS608" i="9"/>
  <c r="FQ608" i="9"/>
  <c r="FR608" i="9" s="1"/>
  <c r="FN608" i="9"/>
  <c r="FO608" i="9" s="1"/>
  <c r="FL608" i="9"/>
  <c r="FK608" i="9"/>
  <c r="AW608" i="9"/>
  <c r="AX608" i="9" s="1"/>
  <c r="AZ608" i="9" s="1"/>
  <c r="BB608" i="9" s="1"/>
  <c r="AB608" i="9"/>
  <c r="HM607" i="9"/>
  <c r="HW607" i="9" s="1"/>
  <c r="HL607" i="9"/>
  <c r="HK607" i="9"/>
  <c r="HI607" i="9"/>
  <c r="HJ607" i="9" s="1"/>
  <c r="HF607" i="9"/>
  <c r="HG607" i="9" s="1"/>
  <c r="FU607" i="9"/>
  <c r="FT607" i="9"/>
  <c r="FS607" i="9"/>
  <c r="FQ607" i="9"/>
  <c r="FR607" i="9" s="1"/>
  <c r="FN607" i="9"/>
  <c r="FO607" i="9" s="1"/>
  <c r="FL607" i="9"/>
  <c r="FK607" i="9"/>
  <c r="AW607" i="9"/>
  <c r="AX607" i="9" s="1"/>
  <c r="AZ607" i="9" s="1"/>
  <c r="AB607" i="9"/>
  <c r="HM606" i="9"/>
  <c r="HW606" i="9" s="1"/>
  <c r="HL606" i="9"/>
  <c r="HK606" i="9"/>
  <c r="HI606" i="9"/>
  <c r="HJ606" i="9" s="1"/>
  <c r="HF606" i="9"/>
  <c r="HG606" i="9" s="1"/>
  <c r="FU606" i="9"/>
  <c r="FT606" i="9"/>
  <c r="FS606" i="9"/>
  <c r="FQ606" i="9"/>
  <c r="FR606" i="9" s="1"/>
  <c r="FN606" i="9"/>
  <c r="FO606" i="9" s="1"/>
  <c r="FL606" i="9"/>
  <c r="FK606" i="9"/>
  <c r="AX606" i="9"/>
  <c r="AZ606" i="9" s="1"/>
  <c r="BA606" i="9" s="1"/>
  <c r="HZ606" i="9" s="1"/>
  <c r="AB606" i="9"/>
  <c r="HM605" i="9"/>
  <c r="HW605" i="9" s="1"/>
  <c r="HL605" i="9"/>
  <c r="HK605" i="9"/>
  <c r="HI605" i="9"/>
  <c r="HJ605" i="9" s="1"/>
  <c r="HF605" i="9"/>
  <c r="HG605" i="9" s="1"/>
  <c r="FU605" i="9"/>
  <c r="FT605" i="9"/>
  <c r="FS605" i="9"/>
  <c r="FR605" i="9"/>
  <c r="FQ605" i="9"/>
  <c r="FN605" i="9"/>
  <c r="FO605" i="9" s="1"/>
  <c r="FL605" i="9"/>
  <c r="FK605" i="9"/>
  <c r="AX605" i="9"/>
  <c r="AZ605" i="9" s="1"/>
  <c r="AB605" i="9"/>
  <c r="HM604" i="9"/>
  <c r="HW604" i="9" s="1"/>
  <c r="HL604" i="9"/>
  <c r="HK604" i="9"/>
  <c r="HI604" i="9"/>
  <c r="HJ604" i="9" s="1"/>
  <c r="HF604" i="9"/>
  <c r="HG604" i="9" s="1"/>
  <c r="FU604" i="9"/>
  <c r="FT604" i="9"/>
  <c r="FS604" i="9"/>
  <c r="FQ604" i="9"/>
  <c r="FR604" i="9" s="1"/>
  <c r="FN604" i="9"/>
  <c r="FO604" i="9" s="1"/>
  <c r="FL604" i="9"/>
  <c r="FK604" i="9"/>
  <c r="AX604" i="9"/>
  <c r="AZ604" i="9" s="1"/>
  <c r="AB604" i="9"/>
  <c r="HM603" i="9"/>
  <c r="HW603" i="9" s="1"/>
  <c r="HL603" i="9"/>
  <c r="HK603" i="9"/>
  <c r="HI603" i="9"/>
  <c r="HJ603" i="9" s="1"/>
  <c r="HF603" i="9"/>
  <c r="HG603" i="9" s="1"/>
  <c r="FU603" i="9"/>
  <c r="FT603" i="9"/>
  <c r="FS603" i="9"/>
  <c r="FQ603" i="9"/>
  <c r="FR603" i="9" s="1"/>
  <c r="FN603" i="9"/>
  <c r="FO603" i="9" s="1"/>
  <c r="FL603" i="9"/>
  <c r="FK603" i="9"/>
  <c r="AX603" i="9"/>
  <c r="AZ603" i="9" s="1"/>
  <c r="BA603" i="9" s="1"/>
  <c r="HZ603" i="9" s="1"/>
  <c r="AB603" i="9"/>
  <c r="HM602" i="9"/>
  <c r="HW602" i="9" s="1"/>
  <c r="HL602" i="9"/>
  <c r="HK602" i="9"/>
  <c r="HI602" i="9"/>
  <c r="HJ602" i="9" s="1"/>
  <c r="HF602" i="9"/>
  <c r="HG602" i="9" s="1"/>
  <c r="FU602" i="9"/>
  <c r="FT602" i="9"/>
  <c r="FS602" i="9"/>
  <c r="FQ602" i="9"/>
  <c r="FR602" i="9" s="1"/>
  <c r="FN602" i="9"/>
  <c r="FO602" i="9" s="1"/>
  <c r="FL602" i="9"/>
  <c r="FK602" i="9"/>
  <c r="AW602" i="9"/>
  <c r="AX602" i="9" s="1"/>
  <c r="AZ602" i="9" s="1"/>
  <c r="AB602" i="9"/>
  <c r="HM601" i="9"/>
  <c r="HW601" i="9" s="1"/>
  <c r="HL601" i="9"/>
  <c r="HK601" i="9"/>
  <c r="HI601" i="9"/>
  <c r="HJ601" i="9" s="1"/>
  <c r="HF601" i="9"/>
  <c r="HG601" i="9" s="1"/>
  <c r="FU601" i="9"/>
  <c r="FT601" i="9"/>
  <c r="FS601" i="9"/>
  <c r="FQ601" i="9"/>
  <c r="FR601" i="9" s="1"/>
  <c r="FN601" i="9"/>
  <c r="FO601" i="9" s="1"/>
  <c r="FL601" i="9"/>
  <c r="FK601" i="9"/>
  <c r="AW601" i="9"/>
  <c r="AX601" i="9" s="1"/>
  <c r="AZ601" i="9" s="1"/>
  <c r="AB601" i="9"/>
  <c r="HM600" i="9"/>
  <c r="HW600" i="9" s="1"/>
  <c r="HL600" i="9"/>
  <c r="HK600" i="9"/>
  <c r="HI600" i="9"/>
  <c r="HJ600" i="9" s="1"/>
  <c r="HF600" i="9"/>
  <c r="HG600" i="9" s="1"/>
  <c r="FU600" i="9"/>
  <c r="FT600" i="9"/>
  <c r="FS600" i="9"/>
  <c r="FQ600" i="9"/>
  <c r="FR600" i="9" s="1"/>
  <c r="FV600" i="9" s="1"/>
  <c r="FN600" i="9"/>
  <c r="FO600" i="9" s="1"/>
  <c r="FL600" i="9"/>
  <c r="FK600" i="9"/>
  <c r="AW600" i="9"/>
  <c r="AX600" i="9" s="1"/>
  <c r="AZ600" i="9" s="1"/>
  <c r="AB600" i="9"/>
  <c r="HM599" i="9"/>
  <c r="HW599" i="9" s="1"/>
  <c r="HL599" i="9"/>
  <c r="HK599" i="9"/>
  <c r="HI599" i="9"/>
  <c r="HJ599" i="9" s="1"/>
  <c r="HF599" i="9"/>
  <c r="HG599" i="9" s="1"/>
  <c r="FU599" i="9"/>
  <c r="FT599" i="9"/>
  <c r="FS599" i="9"/>
  <c r="FQ599" i="9"/>
  <c r="FR599" i="9" s="1"/>
  <c r="FN599" i="9"/>
  <c r="FO599" i="9" s="1"/>
  <c r="FL599" i="9"/>
  <c r="FK599" i="9"/>
  <c r="AW599" i="9"/>
  <c r="AX599" i="9" s="1"/>
  <c r="AZ599" i="9" s="1"/>
  <c r="BA599" i="9" s="1"/>
  <c r="HZ599" i="9" s="1"/>
  <c r="AB599" i="9"/>
  <c r="HM598" i="9"/>
  <c r="HW598" i="9" s="1"/>
  <c r="HL598" i="9"/>
  <c r="HK598" i="9"/>
  <c r="HI598" i="9"/>
  <c r="HJ598" i="9" s="1"/>
  <c r="HF598" i="9"/>
  <c r="HG598" i="9" s="1"/>
  <c r="FU598" i="9"/>
  <c r="FQ598" i="9"/>
  <c r="FR598" i="9" s="1"/>
  <c r="FN598" i="9"/>
  <c r="FO598" i="9" s="1"/>
  <c r="FL598" i="9"/>
  <c r="FK598" i="9"/>
  <c r="AX598" i="9"/>
  <c r="AZ598" i="9" s="1"/>
  <c r="AB598" i="9"/>
  <c r="HM597" i="9"/>
  <c r="HW597" i="9" s="1"/>
  <c r="HL597" i="9"/>
  <c r="HK597" i="9"/>
  <c r="HI597" i="9"/>
  <c r="HJ597" i="9" s="1"/>
  <c r="HF597" i="9"/>
  <c r="HG597" i="9" s="1"/>
  <c r="FU597" i="9"/>
  <c r="FR597" i="9"/>
  <c r="FN597" i="9"/>
  <c r="FO597" i="9" s="1"/>
  <c r="FL597" i="9"/>
  <c r="FK597" i="9"/>
  <c r="AX597" i="9"/>
  <c r="AZ597" i="9" s="1"/>
  <c r="HY597" i="9" s="1"/>
  <c r="AB597" i="9"/>
  <c r="HM596" i="9"/>
  <c r="HW596" i="9" s="1"/>
  <c r="HL596" i="9"/>
  <c r="HK596" i="9"/>
  <c r="HI596" i="9"/>
  <c r="HJ596" i="9" s="1"/>
  <c r="HF596" i="9"/>
  <c r="HG596" i="9" s="1"/>
  <c r="FU596" i="9"/>
  <c r="FR596" i="9"/>
  <c r="FN596" i="9"/>
  <c r="FO596" i="9" s="1"/>
  <c r="FL596" i="9"/>
  <c r="FK596" i="9"/>
  <c r="AX596" i="9"/>
  <c r="AZ596" i="9" s="1"/>
  <c r="BA596" i="9" s="1"/>
  <c r="HZ596" i="9" s="1"/>
  <c r="AB596" i="9"/>
  <c r="HM595" i="9"/>
  <c r="HW595" i="9" s="1"/>
  <c r="HL595" i="9"/>
  <c r="HK595" i="9"/>
  <c r="HI595" i="9"/>
  <c r="HJ595" i="9" s="1"/>
  <c r="HF595" i="9"/>
  <c r="HG595" i="9" s="1"/>
  <c r="FU595" i="9"/>
  <c r="FR595" i="9"/>
  <c r="FN595" i="9"/>
  <c r="FO595" i="9" s="1"/>
  <c r="FL595" i="9"/>
  <c r="FK595" i="9"/>
  <c r="AX595" i="9"/>
  <c r="AZ595" i="9" s="1"/>
  <c r="BA595" i="9" s="1"/>
  <c r="HZ595" i="9" s="1"/>
  <c r="AB595" i="9"/>
  <c r="HM594" i="9"/>
  <c r="HW594" i="9" s="1"/>
  <c r="HL594" i="9"/>
  <c r="HK594" i="9"/>
  <c r="HI594" i="9"/>
  <c r="HJ594" i="9" s="1"/>
  <c r="HF594" i="9"/>
  <c r="HG594" i="9" s="1"/>
  <c r="FU594" i="9"/>
  <c r="FT594" i="9"/>
  <c r="FS594" i="9"/>
  <c r="FR594" i="9"/>
  <c r="FQ594" i="9"/>
  <c r="FN594" i="9"/>
  <c r="FO594" i="9" s="1"/>
  <c r="FL594" i="9"/>
  <c r="FK594" i="9"/>
  <c r="AW594" i="9"/>
  <c r="AX594" i="9" s="1"/>
  <c r="AZ594" i="9" s="1"/>
  <c r="HY594" i="9" s="1"/>
  <c r="AB594" i="9"/>
  <c r="HM593" i="9"/>
  <c r="HW593" i="9" s="1"/>
  <c r="HL593" i="9"/>
  <c r="HK593" i="9"/>
  <c r="HI593" i="9"/>
  <c r="HJ593" i="9" s="1"/>
  <c r="HG593" i="9"/>
  <c r="HF593" i="9"/>
  <c r="FU593" i="9"/>
  <c r="FT593" i="9"/>
  <c r="FS593" i="9"/>
  <c r="FQ593" i="9"/>
  <c r="FR593" i="9" s="1"/>
  <c r="FN593" i="9"/>
  <c r="FO593" i="9" s="1"/>
  <c r="FL593" i="9"/>
  <c r="FK593" i="9"/>
  <c r="AW593" i="9"/>
  <c r="AX593" i="9" s="1"/>
  <c r="AZ593" i="9" s="1"/>
  <c r="AB593" i="9"/>
  <c r="HM592" i="9"/>
  <c r="HW592" i="9" s="1"/>
  <c r="HL592" i="9"/>
  <c r="HK592" i="9"/>
  <c r="HI592" i="9"/>
  <c r="HJ592" i="9" s="1"/>
  <c r="HF592" i="9"/>
  <c r="HG592" i="9" s="1"/>
  <c r="FU592" i="9"/>
  <c r="FT592" i="9"/>
  <c r="FS592" i="9"/>
  <c r="FQ592" i="9"/>
  <c r="FR592" i="9" s="1"/>
  <c r="FN592" i="9"/>
  <c r="FO592" i="9" s="1"/>
  <c r="FL592" i="9"/>
  <c r="FK592" i="9"/>
  <c r="AW592" i="9"/>
  <c r="AX592" i="9" s="1"/>
  <c r="AZ592" i="9" s="1"/>
  <c r="AB592" i="9"/>
  <c r="HM591" i="9"/>
  <c r="HW591" i="9" s="1"/>
  <c r="HL591" i="9"/>
  <c r="HK591" i="9"/>
  <c r="HI591" i="9"/>
  <c r="HJ591" i="9" s="1"/>
  <c r="HF591" i="9"/>
  <c r="HG591" i="9" s="1"/>
  <c r="FU591" i="9"/>
  <c r="FT591" i="9"/>
  <c r="FS591" i="9"/>
  <c r="FQ591" i="9"/>
  <c r="FR591" i="9" s="1"/>
  <c r="FV591" i="9" s="1"/>
  <c r="FN591" i="9"/>
  <c r="FO591" i="9" s="1"/>
  <c r="FL591" i="9"/>
  <c r="FK591" i="9"/>
  <c r="AW591" i="9"/>
  <c r="AX591" i="9" s="1"/>
  <c r="AZ591" i="9" s="1"/>
  <c r="BA591" i="9" s="1"/>
  <c r="HZ591" i="9" s="1"/>
  <c r="AB591" i="9"/>
  <c r="HM590" i="9"/>
  <c r="HW590" i="9" s="1"/>
  <c r="HL590" i="9"/>
  <c r="HK590" i="9"/>
  <c r="HI590" i="9"/>
  <c r="HJ590" i="9" s="1"/>
  <c r="HF590" i="9"/>
  <c r="HG590" i="9" s="1"/>
  <c r="FU590" i="9"/>
  <c r="FT590" i="9"/>
  <c r="FS590" i="9"/>
  <c r="FQ590" i="9"/>
  <c r="FR590" i="9" s="1"/>
  <c r="FN590" i="9"/>
  <c r="FO590" i="9" s="1"/>
  <c r="FL590" i="9"/>
  <c r="FK590" i="9"/>
  <c r="AX590" i="9"/>
  <c r="AZ590" i="9" s="1"/>
  <c r="HY590" i="9" s="1"/>
  <c r="AB590" i="9"/>
  <c r="HM589" i="9"/>
  <c r="HW589" i="9" s="1"/>
  <c r="HL589" i="9"/>
  <c r="HK589" i="9"/>
  <c r="HI589" i="9"/>
  <c r="HJ589" i="9" s="1"/>
  <c r="HF589" i="9"/>
  <c r="HG589" i="9" s="1"/>
  <c r="FU589" i="9"/>
  <c r="FT589" i="9"/>
  <c r="FS589" i="9"/>
  <c r="FQ589" i="9"/>
  <c r="FR589" i="9" s="1"/>
  <c r="FN589" i="9"/>
  <c r="FO589" i="9" s="1"/>
  <c r="FL589" i="9"/>
  <c r="FK589" i="9"/>
  <c r="AX589" i="9"/>
  <c r="AZ589" i="9" s="1"/>
  <c r="AB589" i="9"/>
  <c r="HM588" i="9"/>
  <c r="HW588" i="9" s="1"/>
  <c r="HL588" i="9"/>
  <c r="HK588" i="9"/>
  <c r="HI588" i="9"/>
  <c r="HJ588" i="9" s="1"/>
  <c r="HF588" i="9"/>
  <c r="HG588" i="9" s="1"/>
  <c r="FU588" i="9"/>
  <c r="FT588" i="9"/>
  <c r="FS588" i="9"/>
  <c r="FQ588" i="9"/>
  <c r="FR588" i="9" s="1"/>
  <c r="FN588" i="9"/>
  <c r="FO588" i="9" s="1"/>
  <c r="FL588" i="9"/>
  <c r="FK588" i="9"/>
  <c r="AX588" i="9"/>
  <c r="AZ588" i="9" s="1"/>
  <c r="AB588" i="9"/>
  <c r="HM587" i="9"/>
  <c r="HW587" i="9" s="1"/>
  <c r="HL587" i="9"/>
  <c r="HK587" i="9"/>
  <c r="HI587" i="9"/>
  <c r="HJ587" i="9" s="1"/>
  <c r="HF587" i="9"/>
  <c r="HG587" i="9" s="1"/>
  <c r="FU587" i="9"/>
  <c r="FT587" i="9"/>
  <c r="FS587" i="9"/>
  <c r="FQ587" i="9"/>
  <c r="FR587" i="9" s="1"/>
  <c r="FN587" i="9"/>
  <c r="FO587" i="9" s="1"/>
  <c r="FL587" i="9"/>
  <c r="FK587" i="9"/>
  <c r="AX587" i="9"/>
  <c r="AZ587" i="9" s="1"/>
  <c r="AB587" i="9"/>
  <c r="HW586" i="9"/>
  <c r="HM586" i="9"/>
  <c r="HL586" i="9"/>
  <c r="HK586" i="9"/>
  <c r="HI586" i="9"/>
  <c r="HJ586" i="9" s="1"/>
  <c r="HF586" i="9"/>
  <c r="HG586" i="9" s="1"/>
  <c r="FU586" i="9"/>
  <c r="FR586" i="9"/>
  <c r="FO586" i="9"/>
  <c r="FL586" i="9"/>
  <c r="FK586" i="9"/>
  <c r="AW586" i="9"/>
  <c r="AX586" i="9" s="1"/>
  <c r="AZ586" i="9" s="1"/>
  <c r="AB586" i="9"/>
  <c r="HM585" i="9"/>
  <c r="HW585" i="9" s="1"/>
  <c r="HL585" i="9"/>
  <c r="HK585" i="9"/>
  <c r="HI585" i="9"/>
  <c r="HJ585" i="9" s="1"/>
  <c r="HF585" i="9"/>
  <c r="HG585" i="9" s="1"/>
  <c r="FU585" i="9"/>
  <c r="FR585" i="9"/>
  <c r="FO585" i="9"/>
  <c r="FL585" i="9"/>
  <c r="FK585" i="9"/>
  <c r="AW585" i="9"/>
  <c r="AX585" i="9" s="1"/>
  <c r="AZ585" i="9" s="1"/>
  <c r="AB585" i="9"/>
  <c r="HM584" i="9"/>
  <c r="HW584" i="9" s="1"/>
  <c r="HL584" i="9"/>
  <c r="HK584" i="9"/>
  <c r="HI584" i="9"/>
  <c r="HJ584" i="9" s="1"/>
  <c r="HG584" i="9"/>
  <c r="HF584" i="9"/>
  <c r="FU584" i="9"/>
  <c r="FR584" i="9"/>
  <c r="FO584" i="9"/>
  <c r="FL584" i="9"/>
  <c r="FK584" i="9"/>
  <c r="AW584" i="9"/>
  <c r="AX584" i="9" s="1"/>
  <c r="AZ584" i="9" s="1"/>
  <c r="AB584" i="9"/>
  <c r="HM583" i="9"/>
  <c r="HW583" i="9" s="1"/>
  <c r="HL583" i="9"/>
  <c r="HK583" i="9"/>
  <c r="HI583" i="9"/>
  <c r="HJ583" i="9" s="1"/>
  <c r="HF583" i="9"/>
  <c r="HG583" i="9" s="1"/>
  <c r="FU583" i="9"/>
  <c r="FR583" i="9"/>
  <c r="FO583" i="9"/>
  <c r="FL583" i="9"/>
  <c r="FK583" i="9"/>
  <c r="AW583" i="9"/>
  <c r="AX583" i="9" s="1"/>
  <c r="AZ583" i="9" s="1"/>
  <c r="HY583" i="9" s="1"/>
  <c r="AB583" i="9"/>
  <c r="HM582" i="9"/>
  <c r="HW582" i="9" s="1"/>
  <c r="HL582" i="9"/>
  <c r="HK582" i="9"/>
  <c r="HI582" i="9"/>
  <c r="HJ582" i="9" s="1"/>
  <c r="HN582" i="9" s="1"/>
  <c r="HF582" i="9"/>
  <c r="HG582" i="9" s="1"/>
  <c r="FU582" i="9"/>
  <c r="FT582" i="9"/>
  <c r="FS582" i="9"/>
  <c r="FQ582" i="9"/>
  <c r="FR582" i="9" s="1"/>
  <c r="FN582" i="9"/>
  <c r="FO582" i="9" s="1"/>
  <c r="FL582" i="9"/>
  <c r="FK582" i="9"/>
  <c r="AW582" i="9"/>
  <c r="AX582" i="9" s="1"/>
  <c r="AZ582" i="9" s="1"/>
  <c r="AB582" i="9"/>
  <c r="HM581" i="9"/>
  <c r="HW581" i="9" s="1"/>
  <c r="HL581" i="9"/>
  <c r="HK581" i="9"/>
  <c r="HI581" i="9"/>
  <c r="HJ581" i="9" s="1"/>
  <c r="HF581" i="9"/>
  <c r="HG581" i="9" s="1"/>
  <c r="FU581" i="9"/>
  <c r="FT581" i="9"/>
  <c r="FS581" i="9"/>
  <c r="FQ581" i="9"/>
  <c r="FR581" i="9" s="1"/>
  <c r="FN581" i="9"/>
  <c r="FO581" i="9" s="1"/>
  <c r="FL581" i="9"/>
  <c r="FK581" i="9"/>
  <c r="AW581" i="9"/>
  <c r="AX581" i="9" s="1"/>
  <c r="AZ581" i="9" s="1"/>
  <c r="AB581" i="9"/>
  <c r="HM580" i="9"/>
  <c r="HW580" i="9" s="1"/>
  <c r="HL580" i="9"/>
  <c r="HK580" i="9"/>
  <c r="HJ580" i="9"/>
  <c r="HI580" i="9"/>
  <c r="HF580" i="9"/>
  <c r="HG580" i="9" s="1"/>
  <c r="FU580" i="9"/>
  <c r="FT580" i="9"/>
  <c r="FS580" i="9"/>
  <c r="FQ580" i="9"/>
  <c r="FR580" i="9" s="1"/>
  <c r="FN580" i="9"/>
  <c r="FO580" i="9" s="1"/>
  <c r="FL580" i="9"/>
  <c r="FK580" i="9"/>
  <c r="AW580" i="9"/>
  <c r="AX580" i="9" s="1"/>
  <c r="AZ580" i="9" s="1"/>
  <c r="HY580" i="9" s="1"/>
  <c r="AB580" i="9"/>
  <c r="HM579" i="9"/>
  <c r="HW579" i="9" s="1"/>
  <c r="HL579" i="9"/>
  <c r="HK579" i="9"/>
  <c r="HI579" i="9"/>
  <c r="HJ579" i="9" s="1"/>
  <c r="HF579" i="9"/>
  <c r="HG579" i="9" s="1"/>
  <c r="FU579" i="9"/>
  <c r="FT579" i="9"/>
  <c r="FS579" i="9"/>
  <c r="FQ579" i="9"/>
  <c r="FR579" i="9" s="1"/>
  <c r="FN579" i="9"/>
  <c r="FO579" i="9" s="1"/>
  <c r="FL579" i="9"/>
  <c r="FK579" i="9"/>
  <c r="AW579" i="9"/>
  <c r="AX579" i="9" s="1"/>
  <c r="AZ579" i="9" s="1"/>
  <c r="AB579" i="9"/>
  <c r="HM578" i="9"/>
  <c r="HW578" i="9" s="1"/>
  <c r="HL578" i="9"/>
  <c r="HK578" i="9"/>
  <c r="HI578" i="9"/>
  <c r="HJ578" i="9" s="1"/>
  <c r="HF578" i="9"/>
  <c r="HG578" i="9" s="1"/>
  <c r="FU578" i="9"/>
  <c r="FT578" i="9"/>
  <c r="FS578" i="9"/>
  <c r="FQ578" i="9"/>
  <c r="FR578" i="9" s="1"/>
  <c r="FN578" i="9"/>
  <c r="FO578" i="9" s="1"/>
  <c r="FL578" i="9"/>
  <c r="FK578" i="9"/>
  <c r="AX578" i="9"/>
  <c r="AZ578" i="9" s="1"/>
  <c r="BA578" i="9" s="1"/>
  <c r="HZ578" i="9" s="1"/>
  <c r="AB578" i="9"/>
  <c r="HM577" i="9"/>
  <c r="HW577" i="9" s="1"/>
  <c r="HL577" i="9"/>
  <c r="HK577" i="9"/>
  <c r="HI577" i="9"/>
  <c r="HJ577" i="9" s="1"/>
  <c r="HF577" i="9"/>
  <c r="HG577" i="9" s="1"/>
  <c r="FU577" i="9"/>
  <c r="FT577" i="9"/>
  <c r="FS577" i="9"/>
  <c r="FQ577" i="9"/>
  <c r="FR577" i="9" s="1"/>
  <c r="FN577" i="9"/>
  <c r="FO577" i="9" s="1"/>
  <c r="FL577" i="9"/>
  <c r="FK577" i="9"/>
  <c r="AX577" i="9"/>
  <c r="AZ577" i="9" s="1"/>
  <c r="BA577" i="9" s="1"/>
  <c r="HZ577" i="9" s="1"/>
  <c r="AB577" i="9"/>
  <c r="HM576" i="9"/>
  <c r="HW576" i="9" s="1"/>
  <c r="HL576" i="9"/>
  <c r="HK576" i="9"/>
  <c r="HI576" i="9"/>
  <c r="HJ576" i="9" s="1"/>
  <c r="HF576" i="9"/>
  <c r="HG576" i="9" s="1"/>
  <c r="FU576" i="9"/>
  <c r="FT576" i="9"/>
  <c r="FS576" i="9"/>
  <c r="FQ576" i="9"/>
  <c r="FR576" i="9" s="1"/>
  <c r="FV576" i="9" s="1"/>
  <c r="FN576" i="9"/>
  <c r="FO576" i="9" s="1"/>
  <c r="FL576" i="9"/>
  <c r="FK576" i="9"/>
  <c r="AX576" i="9"/>
  <c r="AZ576" i="9" s="1"/>
  <c r="BB576" i="9" s="1"/>
  <c r="AB576" i="9"/>
  <c r="HM575" i="9"/>
  <c r="HW575" i="9" s="1"/>
  <c r="HL575" i="9"/>
  <c r="HK575" i="9"/>
  <c r="HI575" i="9"/>
  <c r="HJ575" i="9" s="1"/>
  <c r="HF575" i="9"/>
  <c r="HG575" i="9" s="1"/>
  <c r="FU575" i="9"/>
  <c r="FT575" i="9"/>
  <c r="FS575" i="9"/>
  <c r="FQ575" i="9"/>
  <c r="FR575" i="9" s="1"/>
  <c r="FV575" i="9" s="1"/>
  <c r="FN575" i="9"/>
  <c r="FO575" i="9" s="1"/>
  <c r="FL575" i="9"/>
  <c r="FK575" i="9"/>
  <c r="AX575" i="9"/>
  <c r="AZ575" i="9" s="1"/>
  <c r="AB575" i="9"/>
  <c r="HM574" i="9"/>
  <c r="HW574" i="9" s="1"/>
  <c r="HL574" i="9"/>
  <c r="HK574" i="9"/>
  <c r="HI574" i="9"/>
  <c r="HJ574" i="9" s="1"/>
  <c r="HF574" i="9"/>
  <c r="HG574" i="9" s="1"/>
  <c r="FU574" i="9"/>
  <c r="FT574" i="9"/>
  <c r="FS574" i="9"/>
  <c r="FQ574" i="9"/>
  <c r="FR574" i="9" s="1"/>
  <c r="FN574" i="9"/>
  <c r="FO574" i="9" s="1"/>
  <c r="FL574" i="9"/>
  <c r="FK574" i="9"/>
  <c r="AW574" i="9"/>
  <c r="AX574" i="9" s="1"/>
  <c r="AZ574" i="9" s="1"/>
  <c r="AB574" i="9"/>
  <c r="HM573" i="9"/>
  <c r="HW573" i="9" s="1"/>
  <c r="HL573" i="9"/>
  <c r="HK573" i="9"/>
  <c r="HI573" i="9"/>
  <c r="HJ573" i="9" s="1"/>
  <c r="HF573" i="9"/>
  <c r="HG573" i="9" s="1"/>
  <c r="FU573" i="9"/>
  <c r="FT573" i="9"/>
  <c r="FS573" i="9"/>
  <c r="FR573" i="9"/>
  <c r="FV573" i="9" s="1"/>
  <c r="FQ573" i="9"/>
  <c r="FN573" i="9"/>
  <c r="FO573" i="9" s="1"/>
  <c r="FL573" i="9"/>
  <c r="FK573" i="9"/>
  <c r="AW573" i="9"/>
  <c r="AX573" i="9" s="1"/>
  <c r="AZ573" i="9" s="1"/>
  <c r="AB573" i="9"/>
  <c r="HM572" i="9"/>
  <c r="HW572" i="9" s="1"/>
  <c r="HL572" i="9"/>
  <c r="HK572" i="9"/>
  <c r="HI572" i="9"/>
  <c r="HJ572" i="9" s="1"/>
  <c r="HF572" i="9"/>
  <c r="HG572" i="9" s="1"/>
  <c r="FU572" i="9"/>
  <c r="FT572" i="9"/>
  <c r="FS572" i="9"/>
  <c r="FQ572" i="9"/>
  <c r="FR572" i="9" s="1"/>
  <c r="FN572" i="9"/>
  <c r="FO572" i="9" s="1"/>
  <c r="FL572" i="9"/>
  <c r="FK572" i="9"/>
  <c r="AW572" i="9"/>
  <c r="AX572" i="9" s="1"/>
  <c r="AZ572" i="9" s="1"/>
  <c r="BB572" i="9" s="1"/>
  <c r="AB572" i="9"/>
  <c r="HM571" i="9"/>
  <c r="HW571" i="9" s="1"/>
  <c r="HL571" i="9"/>
  <c r="HK571" i="9"/>
  <c r="HI571" i="9"/>
  <c r="HJ571" i="9" s="1"/>
  <c r="HF571" i="9"/>
  <c r="HG571" i="9" s="1"/>
  <c r="FU571" i="9"/>
  <c r="FT571" i="9"/>
  <c r="FS571" i="9"/>
  <c r="FQ571" i="9"/>
  <c r="FR571" i="9" s="1"/>
  <c r="FV571" i="9" s="1"/>
  <c r="FN571" i="9"/>
  <c r="FO571" i="9" s="1"/>
  <c r="FL571" i="9"/>
  <c r="FK571" i="9"/>
  <c r="AW571" i="9"/>
  <c r="AX571" i="9" s="1"/>
  <c r="AZ571" i="9" s="1"/>
  <c r="AB571" i="9"/>
  <c r="HM570" i="9"/>
  <c r="HW570" i="9" s="1"/>
  <c r="HL570" i="9"/>
  <c r="HK570" i="9"/>
  <c r="HI570" i="9"/>
  <c r="HJ570" i="9" s="1"/>
  <c r="HF570" i="9"/>
  <c r="HG570" i="9" s="1"/>
  <c r="FU570" i="9"/>
  <c r="FT570" i="9"/>
  <c r="FS570" i="9"/>
  <c r="FQ570" i="9"/>
  <c r="FR570" i="9" s="1"/>
  <c r="FN570" i="9"/>
  <c r="FO570" i="9" s="1"/>
  <c r="FL570" i="9"/>
  <c r="FK570" i="9"/>
  <c r="AX570" i="9"/>
  <c r="AZ570" i="9" s="1"/>
  <c r="HY570" i="9" s="1"/>
  <c r="AB570" i="9"/>
  <c r="HM569" i="9"/>
  <c r="HW569" i="9" s="1"/>
  <c r="HL569" i="9"/>
  <c r="HK569" i="9"/>
  <c r="HI569" i="9"/>
  <c r="HJ569" i="9" s="1"/>
  <c r="HF569" i="9"/>
  <c r="HG569" i="9" s="1"/>
  <c r="FU569" i="9"/>
  <c r="FT569" i="9"/>
  <c r="FS569" i="9"/>
  <c r="FQ569" i="9"/>
  <c r="FR569" i="9" s="1"/>
  <c r="FN569" i="9"/>
  <c r="FO569" i="9" s="1"/>
  <c r="FL569" i="9"/>
  <c r="FK569" i="9"/>
  <c r="AX569" i="9"/>
  <c r="AZ569" i="9" s="1"/>
  <c r="AB569" i="9"/>
  <c r="HM568" i="9"/>
  <c r="HW568" i="9" s="1"/>
  <c r="HL568" i="9"/>
  <c r="HK568" i="9"/>
  <c r="HI568" i="9"/>
  <c r="HJ568" i="9" s="1"/>
  <c r="HF568" i="9"/>
  <c r="HG568" i="9" s="1"/>
  <c r="FU568" i="9"/>
  <c r="FT568" i="9"/>
  <c r="FS568" i="9"/>
  <c r="FQ568" i="9"/>
  <c r="FR568" i="9" s="1"/>
  <c r="FN568" i="9"/>
  <c r="FO568" i="9" s="1"/>
  <c r="FL568" i="9"/>
  <c r="FK568" i="9"/>
  <c r="AZ568" i="9"/>
  <c r="BA568" i="9" s="1"/>
  <c r="HZ568" i="9" s="1"/>
  <c r="AX568" i="9"/>
  <c r="AB568" i="9"/>
  <c r="HM567" i="9"/>
  <c r="HW567" i="9" s="1"/>
  <c r="HL567" i="9"/>
  <c r="HK567" i="9"/>
  <c r="HI567" i="9"/>
  <c r="HJ567" i="9" s="1"/>
  <c r="HF567" i="9"/>
  <c r="HG567" i="9" s="1"/>
  <c r="FU567" i="9"/>
  <c r="FT567" i="9"/>
  <c r="FS567" i="9"/>
  <c r="FQ567" i="9"/>
  <c r="FR567" i="9" s="1"/>
  <c r="FN567" i="9"/>
  <c r="FO567" i="9" s="1"/>
  <c r="FL567" i="9"/>
  <c r="FK567" i="9"/>
  <c r="AX567" i="9"/>
  <c r="AZ567" i="9" s="1"/>
  <c r="AB567" i="9"/>
  <c r="HM566" i="9"/>
  <c r="HW566" i="9" s="1"/>
  <c r="HL566" i="9"/>
  <c r="HK566" i="9"/>
  <c r="HI566" i="9"/>
  <c r="HJ566" i="9" s="1"/>
  <c r="HF566" i="9"/>
  <c r="HG566" i="9" s="1"/>
  <c r="FU566" i="9"/>
  <c r="FT566" i="9"/>
  <c r="FS566" i="9"/>
  <c r="FQ566" i="9"/>
  <c r="FR566" i="9" s="1"/>
  <c r="FN566" i="9"/>
  <c r="FO566" i="9" s="1"/>
  <c r="FL566" i="9"/>
  <c r="FK566" i="9"/>
  <c r="AW566" i="9"/>
  <c r="AX566" i="9" s="1"/>
  <c r="AZ566" i="9" s="1"/>
  <c r="BB566" i="9" s="1"/>
  <c r="AB566" i="9"/>
  <c r="HM565" i="9"/>
  <c r="HW565" i="9" s="1"/>
  <c r="HL565" i="9"/>
  <c r="HK565" i="9"/>
  <c r="HI565" i="9"/>
  <c r="HJ565" i="9" s="1"/>
  <c r="HF565" i="9"/>
  <c r="HG565" i="9" s="1"/>
  <c r="FU565" i="9"/>
  <c r="FT565" i="9"/>
  <c r="FS565" i="9"/>
  <c r="FQ565" i="9"/>
  <c r="FR565" i="9" s="1"/>
  <c r="FN565" i="9"/>
  <c r="FO565" i="9" s="1"/>
  <c r="FL565" i="9"/>
  <c r="FK565" i="9"/>
  <c r="AW565" i="9"/>
  <c r="AX565" i="9" s="1"/>
  <c r="AZ565" i="9" s="1"/>
  <c r="AB565" i="9"/>
  <c r="HM564" i="9"/>
  <c r="HW564" i="9" s="1"/>
  <c r="HL564" i="9"/>
  <c r="HK564" i="9"/>
  <c r="HI564" i="9"/>
  <c r="HJ564" i="9" s="1"/>
  <c r="HF564" i="9"/>
  <c r="HG564" i="9" s="1"/>
  <c r="FU564" i="9"/>
  <c r="FT564" i="9"/>
  <c r="FS564" i="9"/>
  <c r="FQ564" i="9"/>
  <c r="FR564" i="9" s="1"/>
  <c r="FN564" i="9"/>
  <c r="FO564" i="9" s="1"/>
  <c r="FL564" i="9"/>
  <c r="FK564" i="9"/>
  <c r="AW564" i="9"/>
  <c r="AX564" i="9" s="1"/>
  <c r="AZ564" i="9" s="1"/>
  <c r="AB564" i="9"/>
  <c r="HM563" i="9"/>
  <c r="HW563" i="9" s="1"/>
  <c r="HL563" i="9"/>
  <c r="HK563" i="9"/>
  <c r="HJ563" i="9"/>
  <c r="HI563" i="9"/>
  <c r="HF563" i="9"/>
  <c r="HG563" i="9" s="1"/>
  <c r="FU563" i="9"/>
  <c r="FT563" i="9"/>
  <c r="FS563" i="9"/>
  <c r="FQ563" i="9"/>
  <c r="FR563" i="9" s="1"/>
  <c r="FN563" i="9"/>
  <c r="FO563" i="9" s="1"/>
  <c r="FL563" i="9"/>
  <c r="FK563" i="9"/>
  <c r="AW563" i="9"/>
  <c r="AX563" i="9" s="1"/>
  <c r="AZ563" i="9" s="1"/>
  <c r="AB563" i="9"/>
  <c r="HM562" i="9"/>
  <c r="HW562" i="9" s="1"/>
  <c r="HL562" i="9"/>
  <c r="HK562" i="9"/>
  <c r="HI562" i="9"/>
  <c r="HJ562" i="9" s="1"/>
  <c r="HN562" i="9" s="1"/>
  <c r="HF562" i="9"/>
  <c r="HG562" i="9" s="1"/>
  <c r="FU562" i="9"/>
  <c r="FT562" i="9"/>
  <c r="FS562" i="9"/>
  <c r="FQ562" i="9"/>
  <c r="FR562" i="9" s="1"/>
  <c r="FN562" i="9"/>
  <c r="FO562" i="9" s="1"/>
  <c r="FL562" i="9"/>
  <c r="FK562" i="9"/>
  <c r="AX562" i="9"/>
  <c r="AZ562" i="9" s="1"/>
  <c r="AB562" i="9"/>
  <c r="HM561" i="9"/>
  <c r="HW561" i="9" s="1"/>
  <c r="HL561" i="9"/>
  <c r="HK561" i="9"/>
  <c r="HI561" i="9"/>
  <c r="HJ561" i="9" s="1"/>
  <c r="HF561" i="9"/>
  <c r="HG561" i="9" s="1"/>
  <c r="FU561" i="9"/>
  <c r="FT561" i="9"/>
  <c r="FS561" i="9"/>
  <c r="FQ561" i="9"/>
  <c r="FR561" i="9" s="1"/>
  <c r="FN561" i="9"/>
  <c r="FO561" i="9" s="1"/>
  <c r="FL561" i="9"/>
  <c r="FK561" i="9"/>
  <c r="AX561" i="9"/>
  <c r="AZ561" i="9" s="1"/>
  <c r="BA561" i="9" s="1"/>
  <c r="HZ561" i="9" s="1"/>
  <c r="AB561" i="9"/>
  <c r="HM560" i="9"/>
  <c r="HW560" i="9" s="1"/>
  <c r="HL560" i="9"/>
  <c r="HK560" i="9"/>
  <c r="HI560" i="9"/>
  <c r="HJ560" i="9" s="1"/>
  <c r="HF560" i="9"/>
  <c r="HG560" i="9" s="1"/>
  <c r="FU560" i="9"/>
  <c r="FT560" i="9"/>
  <c r="FS560" i="9"/>
  <c r="FQ560" i="9"/>
  <c r="FR560" i="9" s="1"/>
  <c r="FN560" i="9"/>
  <c r="FO560" i="9" s="1"/>
  <c r="FL560" i="9"/>
  <c r="FK560" i="9"/>
  <c r="AX560" i="9"/>
  <c r="AZ560" i="9" s="1"/>
  <c r="BB560" i="9" s="1"/>
  <c r="AB560" i="9"/>
  <c r="HM559" i="9"/>
  <c r="HW559" i="9" s="1"/>
  <c r="HL559" i="9"/>
  <c r="HK559" i="9"/>
  <c r="HI559" i="9"/>
  <c r="HJ559" i="9" s="1"/>
  <c r="HF559" i="9"/>
  <c r="HG559" i="9" s="1"/>
  <c r="FU559" i="9"/>
  <c r="FT559" i="9"/>
  <c r="FS559" i="9"/>
  <c r="FQ559" i="9"/>
  <c r="FR559" i="9" s="1"/>
  <c r="FN559" i="9"/>
  <c r="FO559" i="9" s="1"/>
  <c r="FL559" i="9"/>
  <c r="FK559" i="9"/>
  <c r="AX559" i="9"/>
  <c r="AZ559" i="9" s="1"/>
  <c r="BA559" i="9" s="1"/>
  <c r="HZ559" i="9" s="1"/>
  <c r="AB559" i="9"/>
  <c r="HM558" i="9"/>
  <c r="HW558" i="9" s="1"/>
  <c r="HL558" i="9"/>
  <c r="HK558" i="9"/>
  <c r="HI558" i="9"/>
  <c r="HJ558" i="9" s="1"/>
  <c r="HF558" i="9"/>
  <c r="HG558" i="9" s="1"/>
  <c r="FU558" i="9"/>
  <c r="FT558" i="9"/>
  <c r="FS558" i="9"/>
  <c r="FQ558" i="9"/>
  <c r="FR558" i="9" s="1"/>
  <c r="FN558" i="9"/>
  <c r="FO558" i="9" s="1"/>
  <c r="FL558" i="9"/>
  <c r="FK558" i="9"/>
  <c r="AX558" i="9"/>
  <c r="AZ558" i="9" s="1"/>
  <c r="AB558" i="9"/>
  <c r="HM557" i="9"/>
  <c r="HW557" i="9" s="1"/>
  <c r="HL557" i="9"/>
  <c r="HK557" i="9"/>
  <c r="HI557" i="9"/>
  <c r="HJ557" i="9" s="1"/>
  <c r="HF557" i="9"/>
  <c r="HG557" i="9" s="1"/>
  <c r="FU557" i="9"/>
  <c r="FT557" i="9"/>
  <c r="FS557" i="9"/>
  <c r="FQ557" i="9"/>
  <c r="FR557" i="9" s="1"/>
  <c r="FN557" i="9"/>
  <c r="FO557" i="9" s="1"/>
  <c r="FL557" i="9"/>
  <c r="FK557" i="9"/>
  <c r="AX557" i="9"/>
  <c r="AZ557" i="9" s="1"/>
  <c r="AB557" i="9"/>
  <c r="HM556" i="9"/>
  <c r="HW556" i="9" s="1"/>
  <c r="HL556" i="9"/>
  <c r="HK556" i="9"/>
  <c r="HI556" i="9"/>
  <c r="HJ556" i="9" s="1"/>
  <c r="HF556" i="9"/>
  <c r="HG556" i="9" s="1"/>
  <c r="FU556" i="9"/>
  <c r="FT556" i="9"/>
  <c r="FS556" i="9"/>
  <c r="FQ556" i="9"/>
  <c r="FR556" i="9" s="1"/>
  <c r="FN556" i="9"/>
  <c r="FO556" i="9" s="1"/>
  <c r="FL556" i="9"/>
  <c r="FK556" i="9"/>
  <c r="AX556" i="9"/>
  <c r="AZ556" i="9" s="1"/>
  <c r="BA556" i="9" s="1"/>
  <c r="HZ556" i="9" s="1"/>
  <c r="AB556" i="9"/>
  <c r="HM555" i="9"/>
  <c r="HW555" i="9" s="1"/>
  <c r="HL555" i="9"/>
  <c r="HK555" i="9"/>
  <c r="HI555" i="9"/>
  <c r="HJ555" i="9" s="1"/>
  <c r="HF555" i="9"/>
  <c r="HG555" i="9" s="1"/>
  <c r="FU555" i="9"/>
  <c r="FT555" i="9"/>
  <c r="FS555" i="9"/>
  <c r="FQ555" i="9"/>
  <c r="FR555" i="9" s="1"/>
  <c r="FN555" i="9"/>
  <c r="FO555" i="9" s="1"/>
  <c r="FL555" i="9"/>
  <c r="FK555" i="9"/>
  <c r="AX555" i="9"/>
  <c r="AZ555" i="9" s="1"/>
  <c r="AB555" i="9"/>
  <c r="HH554" i="9"/>
  <c r="HE554" i="9"/>
  <c r="HF554" i="9" s="1"/>
  <c r="HG554" i="9" s="1"/>
  <c r="GF554" i="9"/>
  <c r="GE554" i="9"/>
  <c r="GD554" i="9"/>
  <c r="GC554" i="9"/>
  <c r="GB554" i="9"/>
  <c r="FY554" i="9"/>
  <c r="FZ554" i="9" s="1"/>
  <c r="FU554" i="9"/>
  <c r="FT554" i="9"/>
  <c r="FS554" i="9"/>
  <c r="FQ554" i="9"/>
  <c r="FR554" i="9" s="1"/>
  <c r="FN554" i="9"/>
  <c r="FO554" i="9" s="1"/>
  <c r="FL554" i="9"/>
  <c r="FK554" i="9"/>
  <c r="AX554" i="9"/>
  <c r="AZ554" i="9" s="1"/>
  <c r="HY554" i="9" s="1"/>
  <c r="AB554" i="9"/>
  <c r="HK553" i="9"/>
  <c r="HH553" i="9"/>
  <c r="HL553" i="9" s="1"/>
  <c r="HE553" i="9"/>
  <c r="HF553" i="9" s="1"/>
  <c r="HG553" i="9" s="1"/>
  <c r="GF553" i="9"/>
  <c r="GE553" i="9"/>
  <c r="GD553" i="9"/>
  <c r="GB553" i="9"/>
  <c r="GC553" i="9" s="1"/>
  <c r="FY553" i="9"/>
  <c r="FZ553" i="9" s="1"/>
  <c r="FU553" i="9"/>
  <c r="FT553" i="9"/>
  <c r="FS553" i="9"/>
  <c r="FQ553" i="9"/>
  <c r="FR553" i="9" s="1"/>
  <c r="FN553" i="9"/>
  <c r="FO553" i="9" s="1"/>
  <c r="FL553" i="9"/>
  <c r="FK553" i="9"/>
  <c r="AX553" i="9"/>
  <c r="AZ553" i="9" s="1"/>
  <c r="BA553" i="9" s="1"/>
  <c r="HZ553" i="9" s="1"/>
  <c r="AB553" i="9"/>
  <c r="HH552" i="9"/>
  <c r="HE552" i="9"/>
  <c r="HF552" i="9" s="1"/>
  <c r="HG552" i="9" s="1"/>
  <c r="GF552" i="9"/>
  <c r="GE552" i="9"/>
  <c r="GD552" i="9"/>
  <c r="GB552" i="9"/>
  <c r="GC552" i="9" s="1"/>
  <c r="FY552" i="9"/>
  <c r="FZ552" i="9" s="1"/>
  <c r="FU552" i="9"/>
  <c r="FT552" i="9"/>
  <c r="FS552" i="9"/>
  <c r="FR552" i="9"/>
  <c r="FQ552" i="9"/>
  <c r="FN552" i="9"/>
  <c r="FO552" i="9" s="1"/>
  <c r="FL552" i="9"/>
  <c r="FK552" i="9"/>
  <c r="AX552" i="9"/>
  <c r="AZ552" i="9" s="1"/>
  <c r="AB552" i="9"/>
  <c r="HM551" i="9"/>
  <c r="HW551" i="9" s="1"/>
  <c r="HL551" i="9"/>
  <c r="HK551" i="9"/>
  <c r="HJ551" i="9"/>
  <c r="HG551" i="9"/>
  <c r="FU551" i="9"/>
  <c r="FT551" i="9"/>
  <c r="FS551" i="9"/>
  <c r="FR551" i="9"/>
  <c r="FO551" i="9"/>
  <c r="FL551" i="9"/>
  <c r="FK551" i="9"/>
  <c r="FH551" i="9"/>
  <c r="FG551" i="9"/>
  <c r="FF551" i="9"/>
  <c r="FE551" i="9"/>
  <c r="FB551" i="9"/>
  <c r="CF551" i="9"/>
  <c r="CY551" i="9" s="1"/>
  <c r="CZ551" i="9" s="1"/>
  <c r="HZ551" i="9" s="1"/>
  <c r="AB551" i="9"/>
  <c r="HM550" i="9"/>
  <c r="HW550" i="9" s="1"/>
  <c r="HL550" i="9"/>
  <c r="HK550" i="9"/>
  <c r="HJ550" i="9"/>
  <c r="HN550" i="9" s="1"/>
  <c r="HG550" i="9"/>
  <c r="FU550" i="9"/>
  <c r="FT550" i="9"/>
  <c r="FS550" i="9"/>
  <c r="FR550" i="9"/>
  <c r="FV550" i="9" s="1"/>
  <c r="FO550" i="9"/>
  <c r="FL550" i="9"/>
  <c r="FK550" i="9"/>
  <c r="FH550" i="9"/>
  <c r="FG550" i="9"/>
  <c r="FF550" i="9"/>
  <c r="FE550" i="9"/>
  <c r="FB550" i="9"/>
  <c r="CF550" i="9"/>
  <c r="CY550" i="9" s="1"/>
  <c r="AB550" i="9"/>
  <c r="HM549" i="9"/>
  <c r="HW549" i="9" s="1"/>
  <c r="HL549" i="9"/>
  <c r="HK549" i="9"/>
  <c r="HJ549" i="9"/>
  <c r="HG549" i="9"/>
  <c r="FU549" i="9"/>
  <c r="FT549" i="9"/>
  <c r="FS549" i="9"/>
  <c r="FR549" i="9"/>
  <c r="FO549" i="9"/>
  <c r="FL549" i="9"/>
  <c r="FK549" i="9"/>
  <c r="FH549" i="9"/>
  <c r="FG549" i="9"/>
  <c r="FF549" i="9"/>
  <c r="FE549" i="9"/>
  <c r="FI549" i="9" s="1"/>
  <c r="FB549" i="9"/>
  <c r="CF549" i="9"/>
  <c r="CY549" i="9" s="1"/>
  <c r="AB549" i="9"/>
  <c r="HM548" i="9"/>
  <c r="HW548" i="9" s="1"/>
  <c r="HL548" i="9"/>
  <c r="HK548" i="9"/>
  <c r="HJ548" i="9"/>
  <c r="HG548" i="9"/>
  <c r="FU548" i="9"/>
  <c r="FT548" i="9"/>
  <c r="FS548" i="9"/>
  <c r="FR548" i="9"/>
  <c r="FO548" i="9"/>
  <c r="FL548" i="9"/>
  <c r="FK548" i="9"/>
  <c r="FH548" i="9"/>
  <c r="FG548" i="9"/>
  <c r="FF548" i="9"/>
  <c r="FE548" i="9"/>
  <c r="FB548" i="9"/>
  <c r="CF548" i="9"/>
  <c r="CY548" i="9" s="1"/>
  <c r="CZ548" i="9" s="1"/>
  <c r="HZ548" i="9" s="1"/>
  <c r="AB548" i="9"/>
  <c r="HM547" i="9"/>
  <c r="HW547" i="9" s="1"/>
  <c r="HL547" i="9"/>
  <c r="HK547" i="9"/>
  <c r="HJ547" i="9"/>
  <c r="HG547" i="9"/>
  <c r="FU547" i="9"/>
  <c r="FT547" i="9"/>
  <c r="FS547" i="9"/>
  <c r="FR547" i="9"/>
  <c r="FO547" i="9"/>
  <c r="FL547" i="9"/>
  <c r="FK547" i="9"/>
  <c r="FH547" i="9"/>
  <c r="FG547" i="9"/>
  <c r="FF547" i="9"/>
  <c r="FE547" i="9"/>
  <c r="FB547" i="9"/>
  <c r="CF547" i="9"/>
  <c r="CY547" i="9" s="1"/>
  <c r="CZ547" i="9" s="1"/>
  <c r="HZ547" i="9" s="1"/>
  <c r="AB547" i="9"/>
  <c r="HM546" i="9"/>
  <c r="HW546" i="9" s="1"/>
  <c r="HL546" i="9"/>
  <c r="HK546" i="9"/>
  <c r="HJ546" i="9"/>
  <c r="HG546" i="9"/>
  <c r="FU546" i="9"/>
  <c r="FT546" i="9"/>
  <c r="FS546" i="9"/>
  <c r="FR546" i="9"/>
  <c r="FO546" i="9"/>
  <c r="FL546" i="9"/>
  <c r="FK546" i="9"/>
  <c r="FH546" i="9"/>
  <c r="FG546" i="9"/>
  <c r="FF546" i="9"/>
  <c r="FE546" i="9"/>
  <c r="FB546" i="9"/>
  <c r="FI546" i="9" s="1"/>
  <c r="CF546" i="9"/>
  <c r="CY546" i="9" s="1"/>
  <c r="HY546" i="9" s="1"/>
  <c r="AB546" i="9"/>
  <c r="HM545" i="9"/>
  <c r="HW545" i="9" s="1"/>
  <c r="HL545" i="9"/>
  <c r="HK545" i="9"/>
  <c r="HI545" i="9"/>
  <c r="HJ545" i="9" s="1"/>
  <c r="HN545" i="9" s="1"/>
  <c r="HF545" i="9"/>
  <c r="HG545" i="9" s="1"/>
  <c r="DM545" i="9"/>
  <c r="DL545" i="9"/>
  <c r="DK545" i="9"/>
  <c r="DE545" i="9"/>
  <c r="DS545" i="9" s="1"/>
  <c r="AB545" i="9"/>
  <c r="HM544" i="9"/>
  <c r="HW544" i="9" s="1"/>
  <c r="HL544" i="9"/>
  <c r="HK544" i="9"/>
  <c r="HI544" i="9"/>
  <c r="HJ544" i="9" s="1"/>
  <c r="HF544" i="9"/>
  <c r="HG544" i="9" s="1"/>
  <c r="DM544" i="9"/>
  <c r="DL544" i="9"/>
  <c r="DK544" i="9"/>
  <c r="DE544" i="9"/>
  <c r="DS544" i="9" s="1"/>
  <c r="DT544" i="9" s="1"/>
  <c r="HZ544" i="9" s="1"/>
  <c r="AB544" i="9"/>
  <c r="HM543" i="9"/>
  <c r="HW543" i="9" s="1"/>
  <c r="HL543" i="9"/>
  <c r="HK543" i="9"/>
  <c r="HI543" i="9"/>
  <c r="HJ543" i="9" s="1"/>
  <c r="HF543" i="9"/>
  <c r="HG543" i="9" s="1"/>
  <c r="DM543" i="9"/>
  <c r="DL543" i="9"/>
  <c r="DK543" i="9"/>
  <c r="DE543" i="9"/>
  <c r="DS543" i="9" s="1"/>
  <c r="AB543" i="9"/>
  <c r="HM542" i="9"/>
  <c r="HW542" i="9" s="1"/>
  <c r="HL542" i="9"/>
  <c r="HK542" i="9"/>
  <c r="HI542" i="9"/>
  <c r="HJ542" i="9" s="1"/>
  <c r="HF542" i="9"/>
  <c r="HG542" i="9" s="1"/>
  <c r="DM542" i="9"/>
  <c r="DL542" i="9"/>
  <c r="DK542" i="9"/>
  <c r="DE542" i="9"/>
  <c r="DS542" i="9" s="1"/>
  <c r="DT542" i="9" s="1"/>
  <c r="HZ542" i="9" s="1"/>
  <c r="AB542" i="9"/>
  <c r="HM541" i="9"/>
  <c r="HW541" i="9" s="1"/>
  <c r="HL541" i="9"/>
  <c r="HK541" i="9"/>
  <c r="HI541" i="9"/>
  <c r="HJ541" i="9" s="1"/>
  <c r="HF541" i="9"/>
  <c r="HG541" i="9" s="1"/>
  <c r="DM541" i="9"/>
  <c r="DL541" i="9"/>
  <c r="DK541" i="9"/>
  <c r="DE541" i="9"/>
  <c r="DS541" i="9" s="1"/>
  <c r="DT541" i="9" s="1"/>
  <c r="HZ541" i="9" s="1"/>
  <c r="AB541" i="9"/>
  <c r="HM540" i="9"/>
  <c r="HW540" i="9" s="1"/>
  <c r="HL540" i="9"/>
  <c r="HK540" i="9"/>
  <c r="HI540" i="9"/>
  <c r="HJ540" i="9" s="1"/>
  <c r="HF540" i="9"/>
  <c r="HG540" i="9" s="1"/>
  <c r="DM540" i="9"/>
  <c r="DL540" i="9"/>
  <c r="DK540" i="9"/>
  <c r="DE540" i="9"/>
  <c r="DS540" i="9" s="1"/>
  <c r="DT540" i="9" s="1"/>
  <c r="HZ540" i="9" s="1"/>
  <c r="AB540" i="9"/>
  <c r="HM539" i="9"/>
  <c r="HW539" i="9" s="1"/>
  <c r="HL539" i="9"/>
  <c r="HK539" i="9"/>
  <c r="HI539" i="9"/>
  <c r="HJ539" i="9" s="1"/>
  <c r="HF539" i="9"/>
  <c r="HG539" i="9" s="1"/>
  <c r="DM539" i="9"/>
  <c r="DL539" i="9"/>
  <c r="DK539" i="9"/>
  <c r="DE539" i="9"/>
  <c r="DS539" i="9" s="1"/>
  <c r="AB539" i="9"/>
  <c r="HM538" i="9"/>
  <c r="HW538" i="9" s="1"/>
  <c r="HL538" i="9"/>
  <c r="HK538" i="9"/>
  <c r="HI538" i="9"/>
  <c r="HJ538" i="9" s="1"/>
  <c r="HF538" i="9"/>
  <c r="HG538" i="9" s="1"/>
  <c r="DM538" i="9"/>
  <c r="DL538" i="9"/>
  <c r="DK538" i="9"/>
  <c r="DE538" i="9"/>
  <c r="DS538" i="9" s="1"/>
  <c r="AB538" i="9"/>
  <c r="HM537" i="9"/>
  <c r="HW537" i="9" s="1"/>
  <c r="HL537" i="9"/>
  <c r="HK537" i="9"/>
  <c r="HI537" i="9"/>
  <c r="HJ537" i="9" s="1"/>
  <c r="HF537" i="9"/>
  <c r="HG537" i="9" s="1"/>
  <c r="DM537" i="9"/>
  <c r="DL537" i="9"/>
  <c r="DK537" i="9"/>
  <c r="DE537" i="9"/>
  <c r="DS537" i="9" s="1"/>
  <c r="DT537" i="9" s="1"/>
  <c r="HZ537" i="9" s="1"/>
  <c r="AB537" i="9"/>
  <c r="HM536" i="9"/>
  <c r="HW536" i="9" s="1"/>
  <c r="HL536" i="9"/>
  <c r="HK536" i="9"/>
  <c r="HJ536" i="9"/>
  <c r="HG536" i="9"/>
  <c r="DM536" i="9"/>
  <c r="DL536" i="9"/>
  <c r="DK536" i="9"/>
  <c r="DD536" i="9"/>
  <c r="DE536" i="9" s="1"/>
  <c r="DS536" i="9" s="1"/>
  <c r="DT536" i="9" s="1"/>
  <c r="BT536" i="9"/>
  <c r="BY536" i="9" s="1"/>
  <c r="AB536" i="9"/>
  <c r="HM535" i="9"/>
  <c r="HW535" i="9" s="1"/>
  <c r="HL535" i="9"/>
  <c r="HK535" i="9"/>
  <c r="HJ535" i="9"/>
  <c r="HG535" i="9"/>
  <c r="DM535" i="9"/>
  <c r="DL535" i="9"/>
  <c r="DK535" i="9"/>
  <c r="DD535" i="9"/>
  <c r="DE535" i="9" s="1"/>
  <c r="DS535" i="9" s="1"/>
  <c r="AB535" i="9"/>
  <c r="HM534" i="9"/>
  <c r="HW534" i="9" s="1"/>
  <c r="HL534" i="9"/>
  <c r="HK534" i="9"/>
  <c r="HJ534" i="9"/>
  <c r="HG534" i="9"/>
  <c r="DM534" i="9"/>
  <c r="DL534" i="9"/>
  <c r="DD534" i="9"/>
  <c r="DE534" i="9" s="1"/>
  <c r="DS534" i="9" s="1"/>
  <c r="DU534" i="9" s="1"/>
  <c r="BT534" i="9"/>
  <c r="BY534" i="9" s="1"/>
  <c r="BZ534" i="9" s="1"/>
  <c r="AB534" i="9"/>
  <c r="HM533" i="9"/>
  <c r="HW533" i="9" s="1"/>
  <c r="HL533" i="9"/>
  <c r="HK533" i="9"/>
  <c r="HJ533" i="9"/>
  <c r="HG533" i="9"/>
  <c r="DM533" i="9"/>
  <c r="DL533" i="9"/>
  <c r="DD533" i="9"/>
  <c r="DE533" i="9" s="1"/>
  <c r="DS533" i="9" s="1"/>
  <c r="AB533" i="9"/>
  <c r="HM532" i="9"/>
  <c r="HW532" i="9" s="1"/>
  <c r="HL532" i="9"/>
  <c r="HK532" i="9"/>
  <c r="HI532" i="9"/>
  <c r="HJ532" i="9" s="1"/>
  <c r="HF532" i="9"/>
  <c r="HG532" i="9" s="1"/>
  <c r="GF532" i="9"/>
  <c r="GE532" i="9"/>
  <c r="GD532" i="9"/>
  <c r="GB532" i="9"/>
  <c r="GC532" i="9" s="1"/>
  <c r="FY532" i="9"/>
  <c r="FZ532" i="9" s="1"/>
  <c r="FU532" i="9"/>
  <c r="FT532" i="9"/>
  <c r="FS532" i="9"/>
  <c r="FQ532" i="9"/>
  <c r="FR532" i="9" s="1"/>
  <c r="FN532" i="9"/>
  <c r="FO532" i="9" s="1"/>
  <c r="FL532" i="9"/>
  <c r="FK532" i="9"/>
  <c r="DM532" i="9"/>
  <c r="DL532" i="9"/>
  <c r="DE532" i="9"/>
  <c r="DS532" i="9" s="1"/>
  <c r="DT532" i="9" s="1"/>
  <c r="HZ532" i="9" s="1"/>
  <c r="AB532" i="9"/>
  <c r="HW531" i="9"/>
  <c r="HM531" i="9"/>
  <c r="HL531" i="9"/>
  <c r="HK531" i="9"/>
  <c r="HI531" i="9"/>
  <c r="HJ531" i="9" s="1"/>
  <c r="HF531" i="9"/>
  <c r="HG531" i="9" s="1"/>
  <c r="GF531" i="9"/>
  <c r="GE531" i="9"/>
  <c r="GD531" i="9"/>
  <c r="GB531" i="9"/>
  <c r="GC531" i="9" s="1"/>
  <c r="GG531" i="9" s="1"/>
  <c r="FY531" i="9"/>
  <c r="FZ531" i="9" s="1"/>
  <c r="FU531" i="9"/>
  <c r="FT531" i="9"/>
  <c r="FS531" i="9"/>
  <c r="FQ531" i="9"/>
  <c r="FR531" i="9" s="1"/>
  <c r="FN531" i="9"/>
  <c r="FO531" i="9" s="1"/>
  <c r="FL531" i="9"/>
  <c r="FK531" i="9"/>
  <c r="DM531" i="9"/>
  <c r="DL531" i="9"/>
  <c r="DE531" i="9"/>
  <c r="DS531" i="9" s="1"/>
  <c r="DT531" i="9" s="1"/>
  <c r="HZ531" i="9" s="1"/>
  <c r="AB531" i="9"/>
  <c r="HM530" i="9"/>
  <c r="HW530" i="9" s="1"/>
  <c r="HL530" i="9"/>
  <c r="HK530" i="9"/>
  <c r="HI530" i="9"/>
  <c r="HJ530" i="9" s="1"/>
  <c r="HF530" i="9"/>
  <c r="HG530" i="9" s="1"/>
  <c r="GF530" i="9"/>
  <c r="GE530" i="9"/>
  <c r="GD530" i="9"/>
  <c r="GB530" i="9"/>
  <c r="GC530" i="9" s="1"/>
  <c r="FY530" i="9"/>
  <c r="FZ530" i="9" s="1"/>
  <c r="FU530" i="9"/>
  <c r="FT530" i="9"/>
  <c r="FS530" i="9"/>
  <c r="FQ530" i="9"/>
  <c r="FR530" i="9" s="1"/>
  <c r="FN530" i="9"/>
  <c r="FO530" i="9" s="1"/>
  <c r="FL530" i="9"/>
  <c r="FK530" i="9"/>
  <c r="DM530" i="9"/>
  <c r="DL530" i="9"/>
  <c r="DE530" i="9"/>
  <c r="DS530" i="9" s="1"/>
  <c r="AB530" i="9"/>
  <c r="HM529" i="9"/>
  <c r="HW529" i="9" s="1"/>
  <c r="HL529" i="9"/>
  <c r="HK529" i="9"/>
  <c r="HI529" i="9"/>
  <c r="HJ529" i="9" s="1"/>
  <c r="HF529" i="9"/>
  <c r="HG529" i="9" s="1"/>
  <c r="GF529" i="9"/>
  <c r="GE529" i="9"/>
  <c r="GD529" i="9"/>
  <c r="GB529" i="9"/>
  <c r="GC529" i="9" s="1"/>
  <c r="FY529" i="9"/>
  <c r="FZ529" i="9" s="1"/>
  <c r="FU529" i="9"/>
  <c r="FT529" i="9"/>
  <c r="FS529" i="9"/>
  <c r="FR529" i="9"/>
  <c r="FQ529" i="9"/>
  <c r="FN529" i="9"/>
  <c r="FO529" i="9" s="1"/>
  <c r="FL529" i="9"/>
  <c r="FK529" i="9"/>
  <c r="DM529" i="9"/>
  <c r="DL529" i="9"/>
  <c r="DE529" i="9"/>
  <c r="DS529" i="9" s="1"/>
  <c r="AB529" i="9"/>
  <c r="HM528" i="9"/>
  <c r="HW528" i="9" s="1"/>
  <c r="HL528" i="9"/>
  <c r="HK528" i="9"/>
  <c r="HI528" i="9"/>
  <c r="HJ528" i="9" s="1"/>
  <c r="HF528" i="9"/>
  <c r="HG528" i="9" s="1"/>
  <c r="GF528" i="9"/>
  <c r="GE528" i="9"/>
  <c r="GD528" i="9"/>
  <c r="GB528" i="9"/>
  <c r="GC528" i="9" s="1"/>
  <c r="FY528" i="9"/>
  <c r="FZ528" i="9" s="1"/>
  <c r="FU528" i="9"/>
  <c r="FT528" i="9"/>
  <c r="FS528" i="9"/>
  <c r="FQ528" i="9"/>
  <c r="FR528" i="9" s="1"/>
  <c r="FN528" i="9"/>
  <c r="FO528" i="9" s="1"/>
  <c r="FL528" i="9"/>
  <c r="FK528" i="9"/>
  <c r="DM528" i="9"/>
  <c r="DL528" i="9"/>
  <c r="DE528" i="9"/>
  <c r="DS528" i="9" s="1"/>
  <c r="DU528" i="9" s="1"/>
  <c r="IA528" i="9" s="1"/>
  <c r="AB528" i="9"/>
  <c r="HM527" i="9"/>
  <c r="HW527" i="9" s="1"/>
  <c r="HL527" i="9"/>
  <c r="HK527" i="9"/>
  <c r="HI527" i="9"/>
  <c r="HJ527" i="9" s="1"/>
  <c r="HF527" i="9"/>
  <c r="HG527" i="9" s="1"/>
  <c r="GF527" i="9"/>
  <c r="GE527" i="9"/>
  <c r="GD527" i="9"/>
  <c r="GB527" i="9"/>
  <c r="GC527" i="9" s="1"/>
  <c r="FY527" i="9"/>
  <c r="FZ527" i="9" s="1"/>
  <c r="FU527" i="9"/>
  <c r="FT527" i="9"/>
  <c r="FS527" i="9"/>
  <c r="FQ527" i="9"/>
  <c r="FR527" i="9" s="1"/>
  <c r="FN527" i="9"/>
  <c r="FO527" i="9" s="1"/>
  <c r="FL527" i="9"/>
  <c r="FK527" i="9"/>
  <c r="DM527" i="9"/>
  <c r="DL527" i="9"/>
  <c r="DE527" i="9"/>
  <c r="DS527" i="9" s="1"/>
  <c r="AB527" i="9"/>
  <c r="HM526" i="9"/>
  <c r="HW526" i="9" s="1"/>
  <c r="HL526" i="9"/>
  <c r="HK526" i="9"/>
  <c r="HI526" i="9"/>
  <c r="HJ526" i="9" s="1"/>
  <c r="HF526" i="9"/>
  <c r="HG526" i="9" s="1"/>
  <c r="GF526" i="9"/>
  <c r="GE526" i="9"/>
  <c r="GD526" i="9"/>
  <c r="GB526" i="9"/>
  <c r="GC526" i="9" s="1"/>
  <c r="FY526" i="9"/>
  <c r="FZ526" i="9" s="1"/>
  <c r="FU526" i="9"/>
  <c r="FT526" i="9"/>
  <c r="FS526" i="9"/>
  <c r="FQ526" i="9"/>
  <c r="FR526" i="9" s="1"/>
  <c r="FN526" i="9"/>
  <c r="FO526" i="9" s="1"/>
  <c r="FV526" i="9" s="1"/>
  <c r="FL526" i="9"/>
  <c r="FK526" i="9"/>
  <c r="DM526" i="9"/>
  <c r="DL526" i="9"/>
  <c r="DE526" i="9"/>
  <c r="DS526" i="9" s="1"/>
  <c r="AB526" i="9"/>
  <c r="HM525" i="9"/>
  <c r="HW525" i="9" s="1"/>
  <c r="HL525" i="9"/>
  <c r="HK525" i="9"/>
  <c r="HJ525" i="9"/>
  <c r="HI525" i="9"/>
  <c r="HF525" i="9"/>
  <c r="HG525" i="9" s="1"/>
  <c r="GF525" i="9"/>
  <c r="GE525" i="9"/>
  <c r="GD525" i="9"/>
  <c r="GB525" i="9"/>
  <c r="GC525" i="9" s="1"/>
  <c r="FY525" i="9"/>
  <c r="FZ525" i="9" s="1"/>
  <c r="FU525" i="9"/>
  <c r="FT525" i="9"/>
  <c r="FS525" i="9"/>
  <c r="FQ525" i="9"/>
  <c r="FR525" i="9" s="1"/>
  <c r="FN525" i="9"/>
  <c r="FO525" i="9" s="1"/>
  <c r="FL525" i="9"/>
  <c r="FK525" i="9"/>
  <c r="DM525" i="9"/>
  <c r="DL525" i="9"/>
  <c r="DE525" i="9"/>
  <c r="DS525" i="9" s="1"/>
  <c r="AB525" i="9"/>
  <c r="FU524" i="9"/>
  <c r="FT524" i="9"/>
  <c r="FS524" i="9"/>
  <c r="FQ524" i="9"/>
  <c r="FR524" i="9" s="1"/>
  <c r="FN524" i="9"/>
  <c r="FO524" i="9" s="1"/>
  <c r="FL524" i="9"/>
  <c r="FK524" i="9"/>
  <c r="CF524" i="9"/>
  <c r="CY524" i="9" s="1"/>
  <c r="AB524" i="9"/>
  <c r="FU523" i="9"/>
  <c r="FT523" i="9"/>
  <c r="FS523" i="9"/>
  <c r="FQ523" i="9"/>
  <c r="FR523" i="9" s="1"/>
  <c r="FN523" i="9"/>
  <c r="FO523" i="9" s="1"/>
  <c r="FL523" i="9"/>
  <c r="FK523" i="9"/>
  <c r="CF523" i="9"/>
  <c r="CY523" i="9" s="1"/>
  <c r="AB523" i="9"/>
  <c r="FU522" i="9"/>
  <c r="FT522" i="9"/>
  <c r="FS522" i="9"/>
  <c r="FQ522" i="9"/>
  <c r="FR522" i="9" s="1"/>
  <c r="FN522" i="9"/>
  <c r="FO522" i="9" s="1"/>
  <c r="FL522" i="9"/>
  <c r="FK522" i="9"/>
  <c r="CF522" i="9"/>
  <c r="CY522" i="9" s="1"/>
  <c r="AB522" i="9"/>
  <c r="FU521" i="9"/>
  <c r="FT521" i="9"/>
  <c r="FS521" i="9"/>
  <c r="FQ521" i="9"/>
  <c r="FR521" i="9" s="1"/>
  <c r="FN521" i="9"/>
  <c r="FO521" i="9" s="1"/>
  <c r="FL521" i="9"/>
  <c r="FK521" i="9"/>
  <c r="CF521" i="9"/>
  <c r="CY521" i="9" s="1"/>
  <c r="DA521" i="9" s="1"/>
  <c r="IA521" i="9" s="1"/>
  <c r="AB521" i="9"/>
  <c r="HM520" i="9"/>
  <c r="HW520" i="9" s="1"/>
  <c r="HL520" i="9"/>
  <c r="HK520" i="9"/>
  <c r="HJ520" i="9"/>
  <c r="HG520" i="9"/>
  <c r="FU520" i="9"/>
  <c r="FT520" i="9"/>
  <c r="FS520" i="9"/>
  <c r="FQ520" i="9"/>
  <c r="FR520" i="9" s="1"/>
  <c r="FN520" i="9"/>
  <c r="FO520" i="9" s="1"/>
  <c r="FL520" i="9"/>
  <c r="FK520" i="9"/>
  <c r="AX520" i="9"/>
  <c r="AZ520" i="9" s="1"/>
  <c r="AB520" i="9"/>
  <c r="HM519" i="9"/>
  <c r="HW519" i="9" s="1"/>
  <c r="HL519" i="9"/>
  <c r="HK519" i="9"/>
  <c r="HJ519" i="9"/>
  <c r="HG519" i="9"/>
  <c r="FU519" i="9"/>
  <c r="FT519" i="9"/>
  <c r="FS519" i="9"/>
  <c r="FQ519" i="9"/>
  <c r="FR519" i="9" s="1"/>
  <c r="FN519" i="9"/>
  <c r="FO519" i="9" s="1"/>
  <c r="FL519" i="9"/>
  <c r="FK519" i="9"/>
  <c r="AX519" i="9"/>
  <c r="AZ519" i="9" s="1"/>
  <c r="BB519" i="9" s="1"/>
  <c r="AB519" i="9"/>
  <c r="HM518" i="9"/>
  <c r="HW518" i="9" s="1"/>
  <c r="HL518" i="9"/>
  <c r="HK518" i="9"/>
  <c r="HJ518" i="9"/>
  <c r="HG518" i="9"/>
  <c r="FU518" i="9"/>
  <c r="FT518" i="9"/>
  <c r="FS518" i="9"/>
  <c r="FQ518" i="9"/>
  <c r="FR518" i="9" s="1"/>
  <c r="FN518" i="9"/>
  <c r="FO518" i="9" s="1"/>
  <c r="FL518" i="9"/>
  <c r="FK518" i="9"/>
  <c r="AX518" i="9"/>
  <c r="AZ518" i="9" s="1"/>
  <c r="HY518" i="9" s="1"/>
  <c r="AB518" i="9"/>
  <c r="HM517" i="9"/>
  <c r="HW517" i="9" s="1"/>
  <c r="HL517" i="9"/>
  <c r="HK517" i="9"/>
  <c r="HJ517" i="9"/>
  <c r="HG517" i="9"/>
  <c r="FU517" i="9"/>
  <c r="FT517" i="9"/>
  <c r="FS517" i="9"/>
  <c r="FQ517" i="9"/>
  <c r="FR517" i="9" s="1"/>
  <c r="FN517" i="9"/>
  <c r="FO517" i="9" s="1"/>
  <c r="FL517" i="9"/>
  <c r="FK517" i="9"/>
  <c r="AX517" i="9"/>
  <c r="AZ517" i="9" s="1"/>
  <c r="AB517" i="9"/>
  <c r="HM516" i="9"/>
  <c r="HW516" i="9" s="1"/>
  <c r="HL516" i="9"/>
  <c r="HK516" i="9"/>
  <c r="HJ516" i="9"/>
  <c r="HG516" i="9"/>
  <c r="FU516" i="9"/>
  <c r="FT516" i="9"/>
  <c r="FS516" i="9"/>
  <c r="FQ516" i="9"/>
  <c r="FR516" i="9" s="1"/>
  <c r="FV516" i="9" s="1"/>
  <c r="FN516" i="9"/>
  <c r="FO516" i="9" s="1"/>
  <c r="FL516" i="9"/>
  <c r="FK516" i="9"/>
  <c r="AX516" i="9"/>
  <c r="AZ516" i="9" s="1"/>
  <c r="AB516" i="9"/>
  <c r="HM515" i="9"/>
  <c r="HW515" i="9" s="1"/>
  <c r="HL515" i="9"/>
  <c r="HK515" i="9"/>
  <c r="HJ515" i="9"/>
  <c r="HG515" i="9"/>
  <c r="HN515" i="9" s="1"/>
  <c r="FU515" i="9"/>
  <c r="FT515" i="9"/>
  <c r="FS515" i="9"/>
  <c r="FQ515" i="9"/>
  <c r="FR515" i="9" s="1"/>
  <c r="FN515" i="9"/>
  <c r="FO515" i="9" s="1"/>
  <c r="FL515" i="9"/>
  <c r="FK515" i="9"/>
  <c r="AX515" i="9"/>
  <c r="AZ515" i="9" s="1"/>
  <c r="AB515" i="9"/>
  <c r="HM514" i="9"/>
  <c r="HW514" i="9" s="1"/>
  <c r="HL514" i="9"/>
  <c r="HK514" i="9"/>
  <c r="HJ514" i="9"/>
  <c r="HG514" i="9"/>
  <c r="FU514" i="9"/>
  <c r="FT514" i="9"/>
  <c r="FS514" i="9"/>
  <c r="FQ514" i="9"/>
  <c r="FR514" i="9" s="1"/>
  <c r="FN514" i="9"/>
  <c r="FO514" i="9" s="1"/>
  <c r="FL514" i="9"/>
  <c r="FK514" i="9"/>
  <c r="AX514" i="9"/>
  <c r="AZ514" i="9" s="1"/>
  <c r="HY514" i="9" s="1"/>
  <c r="AB514" i="9"/>
  <c r="HM513" i="9"/>
  <c r="HW513" i="9" s="1"/>
  <c r="HL513" i="9"/>
  <c r="HK513" i="9"/>
  <c r="HJ513" i="9"/>
  <c r="HG513" i="9"/>
  <c r="FU513" i="9"/>
  <c r="FT513" i="9"/>
  <c r="FS513" i="9"/>
  <c r="FQ513" i="9"/>
  <c r="FR513" i="9" s="1"/>
  <c r="FN513" i="9"/>
  <c r="FO513" i="9" s="1"/>
  <c r="FL513" i="9"/>
  <c r="FK513" i="9"/>
  <c r="AX513" i="9"/>
  <c r="AZ513" i="9" s="1"/>
  <c r="BB513" i="9" s="1"/>
  <c r="IA513" i="9" s="1"/>
  <c r="AB513" i="9"/>
  <c r="HM512" i="9"/>
  <c r="HW512" i="9" s="1"/>
  <c r="HL512" i="9"/>
  <c r="HK512" i="9"/>
  <c r="HJ512" i="9"/>
  <c r="HG512" i="9"/>
  <c r="FU512" i="9"/>
  <c r="FT512" i="9"/>
  <c r="FS512" i="9"/>
  <c r="FQ512" i="9"/>
  <c r="FR512" i="9" s="1"/>
  <c r="FN512" i="9"/>
  <c r="FO512" i="9" s="1"/>
  <c r="FL512" i="9"/>
  <c r="FK512" i="9"/>
  <c r="AX512" i="9"/>
  <c r="AZ512" i="9" s="1"/>
  <c r="AB512" i="9"/>
  <c r="HM511" i="9"/>
  <c r="HW511" i="9" s="1"/>
  <c r="HL511" i="9"/>
  <c r="HK511" i="9"/>
  <c r="HJ511" i="9"/>
  <c r="HN511" i="9" s="1"/>
  <c r="HG511" i="9"/>
  <c r="FU511" i="9"/>
  <c r="FT511" i="9"/>
  <c r="FS511" i="9"/>
  <c r="FQ511" i="9"/>
  <c r="FR511" i="9" s="1"/>
  <c r="FN511" i="9"/>
  <c r="FO511" i="9" s="1"/>
  <c r="FL511" i="9"/>
  <c r="FK511" i="9"/>
  <c r="AX511" i="9"/>
  <c r="AZ511" i="9" s="1"/>
  <c r="AB511" i="9"/>
  <c r="HM510" i="9"/>
  <c r="HW510" i="9" s="1"/>
  <c r="HL510" i="9"/>
  <c r="HK510" i="9"/>
  <c r="HJ510" i="9"/>
  <c r="HG510" i="9"/>
  <c r="FU510" i="9"/>
  <c r="FT510" i="9"/>
  <c r="FS510" i="9"/>
  <c r="FQ510" i="9"/>
  <c r="FR510" i="9" s="1"/>
  <c r="FN510" i="9"/>
  <c r="FO510" i="9" s="1"/>
  <c r="FL510" i="9"/>
  <c r="FK510" i="9"/>
  <c r="AX510" i="9"/>
  <c r="AZ510" i="9" s="1"/>
  <c r="AB510" i="9"/>
  <c r="HM509" i="9"/>
  <c r="HW509" i="9" s="1"/>
  <c r="HL509" i="9"/>
  <c r="HK509" i="9"/>
  <c r="HJ509" i="9"/>
  <c r="HG509" i="9"/>
  <c r="FU509" i="9"/>
  <c r="FT509" i="9"/>
  <c r="FS509" i="9"/>
  <c r="FQ509" i="9"/>
  <c r="FR509" i="9" s="1"/>
  <c r="FN509" i="9"/>
  <c r="FO509" i="9" s="1"/>
  <c r="FL509" i="9"/>
  <c r="FK509" i="9"/>
  <c r="AX509" i="9"/>
  <c r="AZ509" i="9" s="1"/>
  <c r="BA509" i="9" s="1"/>
  <c r="HZ509" i="9" s="1"/>
  <c r="AB509" i="9"/>
  <c r="HW508" i="9"/>
  <c r="HM508" i="9"/>
  <c r="HL508" i="9"/>
  <c r="HK508" i="9"/>
  <c r="HJ508" i="9"/>
  <c r="HG508" i="9"/>
  <c r="FU508" i="9"/>
  <c r="FT508" i="9"/>
  <c r="FS508" i="9"/>
  <c r="FQ508" i="9"/>
  <c r="FR508" i="9" s="1"/>
  <c r="FN508" i="9"/>
  <c r="FO508" i="9" s="1"/>
  <c r="FL508" i="9"/>
  <c r="FK508" i="9"/>
  <c r="AX508" i="9"/>
  <c r="AZ508" i="9" s="1"/>
  <c r="AB508" i="9"/>
  <c r="HM507" i="9"/>
  <c r="HW507" i="9" s="1"/>
  <c r="HL507" i="9"/>
  <c r="HK507" i="9"/>
  <c r="HJ507" i="9"/>
  <c r="HG507" i="9"/>
  <c r="GQ507" i="9"/>
  <c r="GP507" i="9"/>
  <c r="GO507" i="9"/>
  <c r="GM507" i="9"/>
  <c r="GN507" i="9" s="1"/>
  <c r="GJ507" i="9"/>
  <c r="GK507" i="9" s="1"/>
  <c r="FU507" i="9"/>
  <c r="FT507" i="9"/>
  <c r="FS507" i="9"/>
  <c r="FQ507" i="9"/>
  <c r="FR507" i="9" s="1"/>
  <c r="FN507" i="9"/>
  <c r="FO507" i="9" s="1"/>
  <c r="FL507" i="9"/>
  <c r="FK507" i="9"/>
  <c r="AX507" i="9"/>
  <c r="AZ507" i="9" s="1"/>
  <c r="AB507" i="9"/>
  <c r="HM506" i="9"/>
  <c r="HW506" i="9" s="1"/>
  <c r="HL506" i="9"/>
  <c r="HK506" i="9"/>
  <c r="HJ506" i="9"/>
  <c r="HN506" i="9" s="1"/>
  <c r="HG506" i="9"/>
  <c r="GQ506" i="9"/>
  <c r="GP506" i="9"/>
  <c r="GO506" i="9"/>
  <c r="GM506" i="9"/>
  <c r="GN506" i="9" s="1"/>
  <c r="GJ506" i="9"/>
  <c r="GK506" i="9" s="1"/>
  <c r="FU506" i="9"/>
  <c r="FT506" i="9"/>
  <c r="FS506" i="9"/>
  <c r="FQ506" i="9"/>
  <c r="FR506" i="9" s="1"/>
  <c r="FN506" i="9"/>
  <c r="FO506" i="9" s="1"/>
  <c r="FL506" i="9"/>
  <c r="FK506" i="9"/>
  <c r="AX506" i="9"/>
  <c r="AZ506" i="9" s="1"/>
  <c r="AB506" i="9"/>
  <c r="HM505" i="9"/>
  <c r="HW505" i="9" s="1"/>
  <c r="HL505" i="9"/>
  <c r="HK505" i="9"/>
  <c r="HJ505" i="9"/>
  <c r="HG505" i="9"/>
  <c r="GQ505" i="9"/>
  <c r="GP505" i="9"/>
  <c r="GO505" i="9"/>
  <c r="GN505" i="9"/>
  <c r="GM505" i="9"/>
  <c r="GJ505" i="9"/>
  <c r="GK505" i="9" s="1"/>
  <c r="FU505" i="9"/>
  <c r="FT505" i="9"/>
  <c r="FS505" i="9"/>
  <c r="FQ505" i="9"/>
  <c r="FR505" i="9" s="1"/>
  <c r="FN505" i="9"/>
  <c r="FO505" i="9" s="1"/>
  <c r="FL505" i="9"/>
  <c r="FK505" i="9"/>
  <c r="AX505" i="9"/>
  <c r="AZ505" i="9" s="1"/>
  <c r="BB505" i="9" s="1"/>
  <c r="IA505" i="9" s="1"/>
  <c r="AB505" i="9"/>
  <c r="HM504" i="9"/>
  <c r="HW504" i="9" s="1"/>
  <c r="HL504" i="9"/>
  <c r="HK504" i="9"/>
  <c r="HJ504" i="9"/>
  <c r="HG504" i="9"/>
  <c r="GQ504" i="9"/>
  <c r="GP504" i="9"/>
  <c r="GO504" i="9"/>
  <c r="GN504" i="9"/>
  <c r="GM504" i="9"/>
  <c r="GK504" i="9"/>
  <c r="GJ504" i="9"/>
  <c r="FU504" i="9"/>
  <c r="FT504" i="9"/>
  <c r="FS504" i="9"/>
  <c r="FQ504" i="9"/>
  <c r="FR504" i="9" s="1"/>
  <c r="FN504" i="9"/>
  <c r="FO504" i="9" s="1"/>
  <c r="FL504" i="9"/>
  <c r="FK504" i="9"/>
  <c r="AX504" i="9"/>
  <c r="AZ504" i="9" s="1"/>
  <c r="AB504" i="9"/>
  <c r="HM503" i="9"/>
  <c r="HW503" i="9" s="1"/>
  <c r="HL503" i="9"/>
  <c r="HK503" i="9"/>
  <c r="HJ503" i="9"/>
  <c r="HN503" i="9" s="1"/>
  <c r="HG503" i="9"/>
  <c r="FU503" i="9"/>
  <c r="FT503" i="9"/>
  <c r="FS503" i="9"/>
  <c r="FQ503" i="9"/>
  <c r="FR503" i="9" s="1"/>
  <c r="FO503" i="9"/>
  <c r="FN503" i="9"/>
  <c r="FL503" i="9"/>
  <c r="FK503" i="9"/>
  <c r="AX503" i="9"/>
  <c r="AZ503" i="9" s="1"/>
  <c r="AB503" i="9"/>
  <c r="HM502" i="9"/>
  <c r="HW502" i="9" s="1"/>
  <c r="HL502" i="9"/>
  <c r="HK502" i="9"/>
  <c r="HJ502" i="9"/>
  <c r="HG502" i="9"/>
  <c r="FU502" i="9"/>
  <c r="FT502" i="9"/>
  <c r="FS502" i="9"/>
  <c r="FQ502" i="9"/>
  <c r="FR502" i="9" s="1"/>
  <c r="FN502" i="9"/>
  <c r="FO502" i="9" s="1"/>
  <c r="FL502" i="9"/>
  <c r="FK502" i="9"/>
  <c r="AX502" i="9"/>
  <c r="AZ502" i="9" s="1"/>
  <c r="HY502" i="9" s="1"/>
  <c r="AB502" i="9"/>
  <c r="HM501" i="9"/>
  <c r="HW501" i="9" s="1"/>
  <c r="HL501" i="9"/>
  <c r="HK501" i="9"/>
  <c r="HJ501" i="9"/>
  <c r="HG501" i="9"/>
  <c r="FU501" i="9"/>
  <c r="FT501" i="9"/>
  <c r="FS501" i="9"/>
  <c r="FQ501" i="9"/>
  <c r="FR501" i="9" s="1"/>
  <c r="FO501" i="9"/>
  <c r="FN501" i="9"/>
  <c r="FL501" i="9"/>
  <c r="FK501" i="9"/>
  <c r="AX501" i="9"/>
  <c r="AZ501" i="9" s="1"/>
  <c r="AB501" i="9"/>
  <c r="HM500" i="9"/>
  <c r="HW500" i="9" s="1"/>
  <c r="HL500" i="9"/>
  <c r="HK500" i="9"/>
  <c r="HJ500" i="9"/>
  <c r="HG500" i="9"/>
  <c r="FU500" i="9"/>
  <c r="FT500" i="9"/>
  <c r="FS500" i="9"/>
  <c r="FQ500" i="9"/>
  <c r="FR500" i="9" s="1"/>
  <c r="FN500" i="9"/>
  <c r="FO500" i="9" s="1"/>
  <c r="FL500" i="9"/>
  <c r="FK500" i="9"/>
  <c r="AX500" i="9"/>
  <c r="AZ500" i="9" s="1"/>
  <c r="AB500" i="9"/>
  <c r="HM499" i="9"/>
  <c r="HW499" i="9" s="1"/>
  <c r="HL499" i="9"/>
  <c r="HK499" i="9"/>
  <c r="HI499" i="9"/>
  <c r="HJ499" i="9" s="1"/>
  <c r="HF499" i="9"/>
  <c r="HG499" i="9" s="1"/>
  <c r="FU499" i="9"/>
  <c r="FT499" i="9"/>
  <c r="FS499" i="9"/>
  <c r="FQ499" i="9"/>
  <c r="FR499" i="9" s="1"/>
  <c r="FO499" i="9"/>
  <c r="FN499" i="9"/>
  <c r="FL499" i="9"/>
  <c r="FK499" i="9"/>
  <c r="AX499" i="9"/>
  <c r="AZ499" i="9" s="1"/>
  <c r="HY499" i="9" s="1"/>
  <c r="AB499" i="9"/>
  <c r="HM498" i="9"/>
  <c r="HW498" i="9" s="1"/>
  <c r="HL498" i="9"/>
  <c r="HK498" i="9"/>
  <c r="HI498" i="9"/>
  <c r="HJ498" i="9" s="1"/>
  <c r="HF498" i="9"/>
  <c r="HG498" i="9" s="1"/>
  <c r="FU498" i="9"/>
  <c r="FT498" i="9"/>
  <c r="FS498" i="9"/>
  <c r="FQ498" i="9"/>
  <c r="FR498" i="9" s="1"/>
  <c r="FN498" i="9"/>
  <c r="FO498" i="9" s="1"/>
  <c r="FL498" i="9"/>
  <c r="FK498" i="9"/>
  <c r="AX498" i="9"/>
  <c r="AZ498" i="9" s="1"/>
  <c r="AB498" i="9"/>
  <c r="HM497" i="9"/>
  <c r="HW497" i="9" s="1"/>
  <c r="HL497" i="9"/>
  <c r="HK497" i="9"/>
  <c r="HI497" i="9"/>
  <c r="HJ497" i="9" s="1"/>
  <c r="HF497" i="9"/>
  <c r="HG497" i="9" s="1"/>
  <c r="FU497" i="9"/>
  <c r="FT497" i="9"/>
  <c r="FS497" i="9"/>
  <c r="FQ497" i="9"/>
  <c r="FR497" i="9" s="1"/>
  <c r="FV497" i="9" s="1"/>
  <c r="FN497" i="9"/>
  <c r="FO497" i="9" s="1"/>
  <c r="FL497" i="9"/>
  <c r="FK497" i="9"/>
  <c r="AX497" i="9"/>
  <c r="AZ497" i="9" s="1"/>
  <c r="AB497" i="9"/>
  <c r="HM496" i="9"/>
  <c r="HW496" i="9" s="1"/>
  <c r="HL496" i="9"/>
  <c r="HK496" i="9"/>
  <c r="HI496" i="9"/>
  <c r="HJ496" i="9" s="1"/>
  <c r="HF496" i="9"/>
  <c r="HG496" i="9" s="1"/>
  <c r="FU496" i="9"/>
  <c r="FT496" i="9"/>
  <c r="FS496" i="9"/>
  <c r="FQ496" i="9"/>
  <c r="FR496" i="9" s="1"/>
  <c r="FN496" i="9"/>
  <c r="FO496" i="9" s="1"/>
  <c r="FL496" i="9"/>
  <c r="FK496" i="9"/>
  <c r="AX496" i="9"/>
  <c r="AZ496" i="9" s="1"/>
  <c r="AB496" i="9"/>
  <c r="HM495" i="9"/>
  <c r="HW495" i="9" s="1"/>
  <c r="HL495" i="9"/>
  <c r="HK495" i="9"/>
  <c r="HJ495" i="9"/>
  <c r="HG495" i="9"/>
  <c r="FU495" i="9"/>
  <c r="FT495" i="9"/>
  <c r="FS495" i="9"/>
  <c r="FQ495" i="9"/>
  <c r="FR495" i="9" s="1"/>
  <c r="FN495" i="9"/>
  <c r="FO495" i="9" s="1"/>
  <c r="FL495" i="9"/>
  <c r="FK495" i="9"/>
  <c r="AZ495" i="9"/>
  <c r="BB495" i="9" s="1"/>
  <c r="AX495" i="9"/>
  <c r="AB495" i="9"/>
  <c r="HM494" i="9"/>
  <c r="HW494" i="9" s="1"/>
  <c r="HL494" i="9"/>
  <c r="HK494" i="9"/>
  <c r="HJ494" i="9"/>
  <c r="HG494" i="9"/>
  <c r="FU494" i="9"/>
  <c r="FT494" i="9"/>
  <c r="FS494" i="9"/>
  <c r="FQ494" i="9"/>
  <c r="FR494" i="9" s="1"/>
  <c r="FN494" i="9"/>
  <c r="FO494" i="9" s="1"/>
  <c r="FL494" i="9"/>
  <c r="FK494" i="9"/>
  <c r="AX494" i="9"/>
  <c r="AZ494" i="9" s="1"/>
  <c r="HY494" i="9" s="1"/>
  <c r="AB494" i="9"/>
  <c r="HM493" i="9"/>
  <c r="HW493" i="9" s="1"/>
  <c r="HL493" i="9"/>
  <c r="HK493" i="9"/>
  <c r="HJ493" i="9"/>
  <c r="HN493" i="9" s="1"/>
  <c r="HG493" i="9"/>
  <c r="FU493" i="9"/>
  <c r="FT493" i="9"/>
  <c r="FS493" i="9"/>
  <c r="FQ493" i="9"/>
  <c r="FR493" i="9" s="1"/>
  <c r="FN493" i="9"/>
  <c r="FO493" i="9" s="1"/>
  <c r="FL493" i="9"/>
  <c r="FK493" i="9"/>
  <c r="AX493" i="9"/>
  <c r="AZ493" i="9" s="1"/>
  <c r="HY493" i="9" s="1"/>
  <c r="AB493" i="9"/>
  <c r="HM492" i="9"/>
  <c r="HW492" i="9" s="1"/>
  <c r="HL492" i="9"/>
  <c r="HK492" i="9"/>
  <c r="HJ492" i="9"/>
  <c r="HG492" i="9"/>
  <c r="FU492" i="9"/>
  <c r="FT492" i="9"/>
  <c r="FS492" i="9"/>
  <c r="FQ492" i="9"/>
  <c r="FR492" i="9" s="1"/>
  <c r="FN492" i="9"/>
  <c r="FO492" i="9" s="1"/>
  <c r="FL492" i="9"/>
  <c r="FK492" i="9"/>
  <c r="AX492" i="9"/>
  <c r="AZ492" i="9" s="1"/>
  <c r="AB492" i="9"/>
  <c r="HM491" i="9"/>
  <c r="HW491" i="9" s="1"/>
  <c r="HL491" i="9"/>
  <c r="HK491" i="9"/>
  <c r="HI491" i="9"/>
  <c r="HJ491" i="9" s="1"/>
  <c r="HG491" i="9"/>
  <c r="HF491" i="9"/>
  <c r="FU491" i="9"/>
  <c r="FT491" i="9"/>
  <c r="FS491" i="9"/>
  <c r="FQ491" i="9"/>
  <c r="FR491" i="9" s="1"/>
  <c r="FO491" i="9"/>
  <c r="FN491" i="9"/>
  <c r="FL491" i="9"/>
  <c r="FK491" i="9"/>
  <c r="AX491" i="9"/>
  <c r="AZ491" i="9" s="1"/>
  <c r="AB491" i="9"/>
  <c r="HM490" i="9"/>
  <c r="HW490" i="9" s="1"/>
  <c r="HL490" i="9"/>
  <c r="HK490" i="9"/>
  <c r="HI490" i="9"/>
  <c r="HJ490" i="9" s="1"/>
  <c r="HF490" i="9"/>
  <c r="HG490" i="9" s="1"/>
  <c r="FU490" i="9"/>
  <c r="FT490" i="9"/>
  <c r="FS490" i="9"/>
  <c r="FQ490" i="9"/>
  <c r="FR490" i="9" s="1"/>
  <c r="FN490" i="9"/>
  <c r="FO490" i="9" s="1"/>
  <c r="FL490" i="9"/>
  <c r="FK490" i="9"/>
  <c r="AX490" i="9"/>
  <c r="AZ490" i="9" s="1"/>
  <c r="AB490" i="9"/>
  <c r="HM489" i="9"/>
  <c r="HW489" i="9" s="1"/>
  <c r="HL489" i="9"/>
  <c r="HK489" i="9"/>
  <c r="HI489" i="9"/>
  <c r="HJ489" i="9" s="1"/>
  <c r="HF489" i="9"/>
  <c r="HG489" i="9" s="1"/>
  <c r="FU489" i="9"/>
  <c r="FT489" i="9"/>
  <c r="FS489" i="9"/>
  <c r="FQ489" i="9"/>
  <c r="FR489" i="9" s="1"/>
  <c r="FN489" i="9"/>
  <c r="FO489" i="9" s="1"/>
  <c r="FL489" i="9"/>
  <c r="FK489" i="9"/>
  <c r="AX489" i="9"/>
  <c r="AZ489" i="9" s="1"/>
  <c r="AB489" i="9"/>
  <c r="HW488" i="9"/>
  <c r="HM488" i="9"/>
  <c r="HL488" i="9"/>
  <c r="HK488" i="9"/>
  <c r="HI488" i="9"/>
  <c r="HJ488" i="9" s="1"/>
  <c r="HF488" i="9"/>
  <c r="HG488" i="9" s="1"/>
  <c r="FU488" i="9"/>
  <c r="FT488" i="9"/>
  <c r="FS488" i="9"/>
  <c r="FQ488" i="9"/>
  <c r="FR488" i="9" s="1"/>
  <c r="FN488" i="9"/>
  <c r="FO488" i="9" s="1"/>
  <c r="FL488" i="9"/>
  <c r="FK488" i="9"/>
  <c r="AZ488" i="9"/>
  <c r="BB488" i="9" s="1"/>
  <c r="AX488" i="9"/>
  <c r="AB488" i="9"/>
  <c r="HM487" i="9"/>
  <c r="HW487" i="9" s="1"/>
  <c r="HL487" i="9"/>
  <c r="HK487" i="9"/>
  <c r="HI487" i="9"/>
  <c r="HJ487" i="9" s="1"/>
  <c r="HF487" i="9"/>
  <c r="HG487" i="9" s="1"/>
  <c r="FU487" i="9"/>
  <c r="FT487" i="9"/>
  <c r="FS487" i="9"/>
  <c r="FQ487" i="9"/>
  <c r="FR487" i="9" s="1"/>
  <c r="FN487" i="9"/>
  <c r="FO487" i="9" s="1"/>
  <c r="FL487" i="9"/>
  <c r="FK487" i="9"/>
  <c r="AX487" i="9"/>
  <c r="AZ487" i="9" s="1"/>
  <c r="BB487" i="9" s="1"/>
  <c r="AB487" i="9"/>
  <c r="HM486" i="9"/>
  <c r="HW486" i="9" s="1"/>
  <c r="HL486" i="9"/>
  <c r="HK486" i="9"/>
  <c r="HJ486" i="9"/>
  <c r="HI486" i="9"/>
  <c r="HF486" i="9"/>
  <c r="HG486" i="9" s="1"/>
  <c r="FU486" i="9"/>
  <c r="FT486" i="9"/>
  <c r="FS486" i="9"/>
  <c r="FQ486" i="9"/>
  <c r="FR486" i="9" s="1"/>
  <c r="FN486" i="9"/>
  <c r="FO486" i="9" s="1"/>
  <c r="FL486" i="9"/>
  <c r="FK486" i="9"/>
  <c r="AX486" i="9"/>
  <c r="AZ486" i="9" s="1"/>
  <c r="BA486" i="9" s="1"/>
  <c r="HZ486" i="9" s="1"/>
  <c r="AB486" i="9"/>
  <c r="HM485" i="9"/>
  <c r="HW485" i="9" s="1"/>
  <c r="HL485" i="9"/>
  <c r="HK485" i="9"/>
  <c r="HJ485" i="9"/>
  <c r="HG485" i="9"/>
  <c r="GQ485" i="9"/>
  <c r="GP485" i="9"/>
  <c r="GO485" i="9"/>
  <c r="GN485" i="9"/>
  <c r="GK485" i="9"/>
  <c r="GF485" i="9"/>
  <c r="GE485" i="9"/>
  <c r="GD485" i="9"/>
  <c r="GC485" i="9"/>
  <c r="FZ485" i="9"/>
  <c r="GG485" i="9" s="1"/>
  <c r="FU485" i="9"/>
  <c r="FT485" i="9"/>
  <c r="FS485" i="9"/>
  <c r="FR485" i="9"/>
  <c r="FO485" i="9"/>
  <c r="FL485" i="9"/>
  <c r="FK485" i="9"/>
  <c r="FH485" i="9"/>
  <c r="FG485" i="9"/>
  <c r="FF485" i="9"/>
  <c r="FE485" i="9"/>
  <c r="FB485" i="9"/>
  <c r="CF485" i="9"/>
  <c r="CY485" i="9" s="1"/>
  <c r="BT485" i="9"/>
  <c r="BY485" i="9" s="1"/>
  <c r="AD485" i="9"/>
  <c r="AB485" i="9"/>
  <c r="HM484" i="9"/>
  <c r="HW484" i="9" s="1"/>
  <c r="HL484" i="9"/>
  <c r="HK484" i="9"/>
  <c r="HJ484" i="9"/>
  <c r="HG484" i="9"/>
  <c r="GQ484" i="9"/>
  <c r="GP484" i="9"/>
  <c r="GO484" i="9"/>
  <c r="GN484" i="9"/>
  <c r="GR484" i="9" s="1"/>
  <c r="GK484" i="9"/>
  <c r="GF484" i="9"/>
  <c r="GE484" i="9"/>
  <c r="GD484" i="9"/>
  <c r="GC484" i="9"/>
  <c r="FZ484" i="9"/>
  <c r="FU484" i="9"/>
  <c r="FT484" i="9"/>
  <c r="FS484" i="9"/>
  <c r="FR484" i="9"/>
  <c r="FO484" i="9"/>
  <c r="FL484" i="9"/>
  <c r="FK484" i="9"/>
  <c r="FH484" i="9"/>
  <c r="FG484" i="9"/>
  <c r="FF484" i="9"/>
  <c r="FE484" i="9"/>
  <c r="FB484" i="9"/>
  <c r="CF484" i="9"/>
  <c r="CY484" i="9" s="1"/>
  <c r="DA484" i="9" s="1"/>
  <c r="BT484" i="9"/>
  <c r="EW484" i="9" s="1"/>
  <c r="HY484" i="9" s="1"/>
  <c r="AD484" i="9"/>
  <c r="AB484" i="9"/>
  <c r="GQ483" i="9"/>
  <c r="GP483" i="9"/>
  <c r="GO483" i="9"/>
  <c r="GN483" i="9"/>
  <c r="GK483" i="9"/>
  <c r="GF483" i="9"/>
  <c r="GE483" i="9"/>
  <c r="GD483" i="9"/>
  <c r="GC483" i="9"/>
  <c r="FZ483" i="9"/>
  <c r="FU483" i="9"/>
  <c r="FT483" i="9"/>
  <c r="FS483" i="9"/>
  <c r="FR483" i="9"/>
  <c r="FV483" i="9" s="1"/>
  <c r="FO483" i="9"/>
  <c r="FL483" i="9"/>
  <c r="FK483" i="9"/>
  <c r="FH483" i="9"/>
  <c r="FG483" i="9"/>
  <c r="FF483" i="9"/>
  <c r="FE483" i="9"/>
  <c r="FB483" i="9"/>
  <c r="CF483" i="9"/>
  <c r="CY483" i="9" s="1"/>
  <c r="DA483" i="9" s="1"/>
  <c r="BT483" i="9"/>
  <c r="BY483" i="9" s="1"/>
  <c r="BZ483" i="9" s="1"/>
  <c r="AD483" i="9"/>
  <c r="AB483" i="9"/>
  <c r="GQ482" i="9"/>
  <c r="GP482" i="9"/>
  <c r="GO482" i="9"/>
  <c r="GN482" i="9"/>
  <c r="GK482" i="9"/>
  <c r="GF482" i="9"/>
  <c r="GE482" i="9"/>
  <c r="GD482" i="9"/>
  <c r="GC482" i="9"/>
  <c r="FZ482" i="9"/>
  <c r="FU482" i="9"/>
  <c r="FT482" i="9"/>
  <c r="FS482" i="9"/>
  <c r="FR482" i="9"/>
  <c r="FO482" i="9"/>
  <c r="FL482" i="9"/>
  <c r="FK482" i="9"/>
  <c r="FH482" i="9"/>
  <c r="FG482" i="9"/>
  <c r="FF482" i="9"/>
  <c r="FE482" i="9"/>
  <c r="FB482" i="9"/>
  <c r="CF482" i="9"/>
  <c r="CY482" i="9" s="1"/>
  <c r="BT482" i="9"/>
  <c r="BY482" i="9" s="1"/>
  <c r="CA482" i="9" s="1"/>
  <c r="AD482" i="9"/>
  <c r="AB482" i="9"/>
  <c r="HM481" i="9"/>
  <c r="HW481" i="9" s="1"/>
  <c r="HL481" i="9"/>
  <c r="HK481" i="9"/>
  <c r="HJ481" i="9"/>
  <c r="HG481" i="9"/>
  <c r="GQ481" i="9"/>
  <c r="GP481" i="9"/>
  <c r="GO481" i="9"/>
  <c r="GN481" i="9"/>
  <c r="GK481" i="9"/>
  <c r="GF481" i="9"/>
  <c r="GE481" i="9"/>
  <c r="GD481" i="9"/>
  <c r="GC481" i="9"/>
  <c r="FZ481" i="9"/>
  <c r="FU481" i="9"/>
  <c r="FT481" i="9"/>
  <c r="FS481" i="9"/>
  <c r="FR481" i="9"/>
  <c r="FO481" i="9"/>
  <c r="FL481" i="9"/>
  <c r="FK481" i="9"/>
  <c r="FH481" i="9"/>
  <c r="FG481" i="9"/>
  <c r="FF481" i="9"/>
  <c r="FE481" i="9"/>
  <c r="FB481" i="9"/>
  <c r="BT481" i="9"/>
  <c r="BY481" i="9" s="1"/>
  <c r="AD481" i="9"/>
  <c r="AB481" i="9"/>
  <c r="HW480" i="9"/>
  <c r="HM480" i="9"/>
  <c r="HL480" i="9"/>
  <c r="HK480" i="9"/>
  <c r="HJ480" i="9"/>
  <c r="HG480" i="9"/>
  <c r="GQ480" i="9"/>
  <c r="GP480" i="9"/>
  <c r="GO480" i="9"/>
  <c r="GN480" i="9"/>
  <c r="GK480" i="9"/>
  <c r="GF480" i="9"/>
  <c r="GE480" i="9"/>
  <c r="GD480" i="9"/>
  <c r="GC480" i="9"/>
  <c r="FZ480" i="9"/>
  <c r="FU480" i="9"/>
  <c r="FT480" i="9"/>
  <c r="FS480" i="9"/>
  <c r="FR480" i="9"/>
  <c r="FO480" i="9"/>
  <c r="FL480" i="9"/>
  <c r="FK480" i="9"/>
  <c r="FH480" i="9"/>
  <c r="FG480" i="9"/>
  <c r="FF480" i="9"/>
  <c r="FE480" i="9"/>
  <c r="FB480" i="9"/>
  <c r="BT480" i="9"/>
  <c r="BY480" i="9" s="1"/>
  <c r="AD480" i="9"/>
  <c r="AB480" i="9"/>
  <c r="GQ479" i="9"/>
  <c r="GP479" i="9"/>
  <c r="GO479" i="9"/>
  <c r="GN479" i="9"/>
  <c r="GK479" i="9"/>
  <c r="GF479" i="9"/>
  <c r="GE479" i="9"/>
  <c r="GD479" i="9"/>
  <c r="GC479" i="9"/>
  <c r="FZ479" i="9"/>
  <c r="FU479" i="9"/>
  <c r="FT479" i="9"/>
  <c r="FS479" i="9"/>
  <c r="FR479" i="9"/>
  <c r="FO479" i="9"/>
  <c r="FL479" i="9"/>
  <c r="FK479" i="9"/>
  <c r="FH479" i="9"/>
  <c r="FG479" i="9"/>
  <c r="FF479" i="9"/>
  <c r="FE479" i="9"/>
  <c r="FB479" i="9"/>
  <c r="BT479" i="9"/>
  <c r="BY479" i="9" s="1"/>
  <c r="AD479" i="9"/>
  <c r="AB479" i="9"/>
  <c r="GQ478" i="9"/>
  <c r="GP478" i="9"/>
  <c r="GO478" i="9"/>
  <c r="GN478" i="9"/>
  <c r="GK478" i="9"/>
  <c r="GR478" i="9" s="1"/>
  <c r="GF478" i="9"/>
  <c r="GE478" i="9"/>
  <c r="GD478" i="9"/>
  <c r="GC478" i="9"/>
  <c r="FZ478" i="9"/>
  <c r="FU478" i="9"/>
  <c r="FT478" i="9"/>
  <c r="FS478" i="9"/>
  <c r="FR478" i="9"/>
  <c r="FO478" i="9"/>
  <c r="FL478" i="9"/>
  <c r="FK478" i="9"/>
  <c r="FH478" i="9"/>
  <c r="FG478" i="9"/>
  <c r="FF478" i="9"/>
  <c r="FE478" i="9"/>
  <c r="FB478" i="9"/>
  <c r="BT478" i="9"/>
  <c r="BY478" i="9" s="1"/>
  <c r="AD478" i="9"/>
  <c r="AB478" i="9"/>
  <c r="HM477" i="9"/>
  <c r="HW477" i="9" s="1"/>
  <c r="HL477" i="9"/>
  <c r="HK477" i="9"/>
  <c r="HJ477" i="9"/>
  <c r="HG477" i="9"/>
  <c r="GQ477" i="9"/>
  <c r="GP477" i="9"/>
  <c r="GO477" i="9"/>
  <c r="GN477" i="9"/>
  <c r="GK477" i="9"/>
  <c r="GF477" i="9"/>
  <c r="GE477" i="9"/>
  <c r="GD477" i="9"/>
  <c r="GC477" i="9"/>
  <c r="FZ477" i="9"/>
  <c r="FU477" i="9"/>
  <c r="FT477" i="9"/>
  <c r="FS477" i="9"/>
  <c r="FR477" i="9"/>
  <c r="FO477" i="9"/>
  <c r="FV477" i="9" s="1"/>
  <c r="FL477" i="9"/>
  <c r="FK477" i="9"/>
  <c r="FH477" i="9"/>
  <c r="FG477" i="9"/>
  <c r="FF477" i="9"/>
  <c r="FE477" i="9"/>
  <c r="FB477" i="9"/>
  <c r="CF477" i="9"/>
  <c r="CY477" i="9" s="1"/>
  <c r="AD477" i="9"/>
  <c r="AB477" i="9"/>
  <c r="HM476" i="9"/>
  <c r="HW476" i="9" s="1"/>
  <c r="HL476" i="9"/>
  <c r="HK476" i="9"/>
  <c r="HJ476" i="9"/>
  <c r="HG476" i="9"/>
  <c r="GQ476" i="9"/>
  <c r="GP476" i="9"/>
  <c r="GO476" i="9"/>
  <c r="GN476" i="9"/>
  <c r="GK476" i="9"/>
  <c r="GF476" i="9"/>
  <c r="GE476" i="9"/>
  <c r="GD476" i="9"/>
  <c r="GC476" i="9"/>
  <c r="FZ476" i="9"/>
  <c r="FU476" i="9"/>
  <c r="FT476" i="9"/>
  <c r="FS476" i="9"/>
  <c r="FR476" i="9"/>
  <c r="FO476" i="9"/>
  <c r="FL476" i="9"/>
  <c r="FK476" i="9"/>
  <c r="FH476" i="9"/>
  <c r="FG476" i="9"/>
  <c r="FF476" i="9"/>
  <c r="FE476" i="9"/>
  <c r="FB476" i="9"/>
  <c r="CF476" i="9"/>
  <c r="CY476" i="9" s="1"/>
  <c r="HY476" i="9" s="1"/>
  <c r="AD476" i="9"/>
  <c r="AB476" i="9"/>
  <c r="GQ475" i="9"/>
  <c r="GP475" i="9"/>
  <c r="GO475" i="9"/>
  <c r="GN475" i="9"/>
  <c r="GK475" i="9"/>
  <c r="GR475" i="9" s="1"/>
  <c r="GF475" i="9"/>
  <c r="GE475" i="9"/>
  <c r="GD475" i="9"/>
  <c r="GC475" i="9"/>
  <c r="FZ475" i="9"/>
  <c r="FU475" i="9"/>
  <c r="FT475" i="9"/>
  <c r="FS475" i="9"/>
  <c r="FR475" i="9"/>
  <c r="FO475" i="9"/>
  <c r="FL475" i="9"/>
  <c r="FK475" i="9"/>
  <c r="FH475" i="9"/>
  <c r="FG475" i="9"/>
  <c r="FF475" i="9"/>
  <c r="FE475" i="9"/>
  <c r="FB475" i="9"/>
  <c r="CF475" i="9"/>
  <c r="CY475" i="9" s="1"/>
  <c r="CZ475" i="9" s="1"/>
  <c r="HZ475" i="9" s="1"/>
  <c r="AD475" i="9"/>
  <c r="AB475" i="9"/>
  <c r="GQ474" i="9"/>
  <c r="GP474" i="9"/>
  <c r="GO474" i="9"/>
  <c r="GN474" i="9"/>
  <c r="GK474" i="9"/>
  <c r="GF474" i="9"/>
  <c r="GE474" i="9"/>
  <c r="GD474" i="9"/>
  <c r="GC474" i="9"/>
  <c r="FZ474" i="9"/>
  <c r="FU474" i="9"/>
  <c r="FT474" i="9"/>
  <c r="FS474" i="9"/>
  <c r="FR474" i="9"/>
  <c r="FO474" i="9"/>
  <c r="FV474" i="9" s="1"/>
  <c r="FL474" i="9"/>
  <c r="FK474" i="9"/>
  <c r="FH474" i="9"/>
  <c r="FG474" i="9"/>
  <c r="FF474" i="9"/>
  <c r="FE474" i="9"/>
  <c r="FB474" i="9"/>
  <c r="CF474" i="9"/>
  <c r="CY474" i="9" s="1"/>
  <c r="AD474" i="9"/>
  <c r="AB474" i="9"/>
  <c r="HM473" i="9"/>
  <c r="HW473" i="9" s="1"/>
  <c r="HL473" i="9"/>
  <c r="HK473" i="9"/>
  <c r="HI473" i="9"/>
  <c r="HJ473" i="9" s="1"/>
  <c r="HF473" i="9"/>
  <c r="HG473" i="9" s="1"/>
  <c r="HB473" i="9"/>
  <c r="HA473" i="9"/>
  <c r="GZ473" i="9"/>
  <c r="GX473" i="9"/>
  <c r="GY473" i="9" s="1"/>
  <c r="GU473" i="9"/>
  <c r="GV473" i="9" s="1"/>
  <c r="GQ473" i="9"/>
  <c r="GP473" i="9"/>
  <c r="GO473" i="9"/>
  <c r="GM473" i="9"/>
  <c r="GN473" i="9" s="1"/>
  <c r="GJ473" i="9"/>
  <c r="GK473" i="9" s="1"/>
  <c r="GA473" i="9"/>
  <c r="FX473" i="9"/>
  <c r="FY473" i="9" s="1"/>
  <c r="FZ473" i="9" s="1"/>
  <c r="FU473" i="9"/>
  <c r="FT473" i="9"/>
  <c r="FS473" i="9"/>
  <c r="FQ473" i="9"/>
  <c r="FR473" i="9" s="1"/>
  <c r="FN473" i="9"/>
  <c r="FO473" i="9" s="1"/>
  <c r="FL473" i="9"/>
  <c r="FK473" i="9"/>
  <c r="FH473" i="9"/>
  <c r="FG473" i="9"/>
  <c r="FF473" i="9"/>
  <c r="FD473" i="9"/>
  <c r="FE473" i="9" s="1"/>
  <c r="FA473" i="9"/>
  <c r="FB473" i="9" s="1"/>
  <c r="CF473" i="9"/>
  <c r="CY473" i="9" s="1"/>
  <c r="BT473" i="9"/>
  <c r="AD473" i="9"/>
  <c r="AB473" i="9"/>
  <c r="HM472" i="9"/>
  <c r="HW472" i="9" s="1"/>
  <c r="HL472" i="9"/>
  <c r="HK472" i="9"/>
  <c r="HI472" i="9"/>
  <c r="HJ472" i="9" s="1"/>
  <c r="HF472" i="9"/>
  <c r="HG472" i="9" s="1"/>
  <c r="HB472" i="9"/>
  <c r="HA472" i="9"/>
  <c r="GZ472" i="9"/>
  <c r="GX472" i="9"/>
  <c r="GY472" i="9" s="1"/>
  <c r="GU472" i="9"/>
  <c r="GV472" i="9" s="1"/>
  <c r="GQ472" i="9"/>
  <c r="GP472" i="9"/>
  <c r="GO472" i="9"/>
  <c r="GM472" i="9"/>
  <c r="GN472" i="9" s="1"/>
  <c r="GR472" i="9" s="1"/>
  <c r="GJ472" i="9"/>
  <c r="GK472" i="9" s="1"/>
  <c r="GA472" i="9"/>
  <c r="GE472" i="9" s="1"/>
  <c r="FX472" i="9"/>
  <c r="FU472" i="9"/>
  <c r="FT472" i="9"/>
  <c r="FS472" i="9"/>
  <c r="FQ472" i="9"/>
  <c r="FR472" i="9" s="1"/>
  <c r="FO472" i="9"/>
  <c r="FN472" i="9"/>
  <c r="FL472" i="9"/>
  <c r="FK472" i="9"/>
  <c r="FH472" i="9"/>
  <c r="FG472" i="9"/>
  <c r="FF472" i="9"/>
  <c r="FD472" i="9"/>
  <c r="FE472" i="9" s="1"/>
  <c r="FA472" i="9"/>
  <c r="FB472" i="9" s="1"/>
  <c r="BT472" i="9"/>
  <c r="BY472" i="9" s="1"/>
  <c r="AD472" i="9"/>
  <c r="AB472" i="9"/>
  <c r="HM471" i="9"/>
  <c r="HW471" i="9" s="1"/>
  <c r="HL471" i="9"/>
  <c r="HK471" i="9"/>
  <c r="HI471" i="9"/>
  <c r="HJ471" i="9" s="1"/>
  <c r="HF471" i="9"/>
  <c r="HG471" i="9" s="1"/>
  <c r="HB471" i="9"/>
  <c r="HA471" i="9"/>
  <c r="GZ471" i="9"/>
  <c r="GX471" i="9"/>
  <c r="GY471" i="9" s="1"/>
  <c r="GU471" i="9"/>
  <c r="GV471" i="9" s="1"/>
  <c r="GQ471" i="9"/>
  <c r="GP471" i="9"/>
  <c r="GO471" i="9"/>
  <c r="GM471" i="9"/>
  <c r="GN471" i="9" s="1"/>
  <c r="GJ471" i="9"/>
  <c r="GK471" i="9" s="1"/>
  <c r="GR471" i="9" s="1"/>
  <c r="GA471" i="9"/>
  <c r="GB471" i="9" s="1"/>
  <c r="GC471" i="9" s="1"/>
  <c r="FX471" i="9"/>
  <c r="FU471" i="9"/>
  <c r="FT471" i="9"/>
  <c r="FS471" i="9"/>
  <c r="FQ471" i="9"/>
  <c r="FR471" i="9" s="1"/>
  <c r="FN471" i="9"/>
  <c r="FO471" i="9" s="1"/>
  <c r="FL471" i="9"/>
  <c r="FK471" i="9"/>
  <c r="FH471" i="9"/>
  <c r="FG471" i="9"/>
  <c r="FF471" i="9"/>
  <c r="FE471" i="9"/>
  <c r="FD471" i="9"/>
  <c r="FA471" i="9"/>
  <c r="FB471" i="9" s="1"/>
  <c r="CF471" i="9"/>
  <c r="CY471" i="9" s="1"/>
  <c r="AD471" i="9"/>
  <c r="AB471" i="9"/>
  <c r="HM470" i="9"/>
  <c r="HW470" i="9" s="1"/>
  <c r="HL470" i="9"/>
  <c r="HK470" i="9"/>
  <c r="HJ470" i="9"/>
  <c r="HG470" i="9"/>
  <c r="HN470" i="9" s="1"/>
  <c r="GQ470" i="9"/>
  <c r="GP470" i="9"/>
  <c r="GO470" i="9"/>
  <c r="GN470" i="9"/>
  <c r="GR470" i="9" s="1"/>
  <c r="GK470" i="9"/>
  <c r="GF470" i="9"/>
  <c r="GC470" i="9"/>
  <c r="FZ470" i="9"/>
  <c r="GG470" i="9" s="1"/>
  <c r="FU470" i="9"/>
  <c r="FT470" i="9"/>
  <c r="FS470" i="9"/>
  <c r="FR470" i="9"/>
  <c r="FV470" i="9" s="1"/>
  <c r="FO470" i="9"/>
  <c r="FL470" i="9"/>
  <c r="FK470" i="9"/>
  <c r="CF470" i="9"/>
  <c r="CY470" i="9" s="1"/>
  <c r="DA470" i="9" s="1"/>
  <c r="AD470" i="9"/>
  <c r="AB470" i="9"/>
  <c r="HM469" i="9"/>
  <c r="HW469" i="9" s="1"/>
  <c r="HL469" i="9"/>
  <c r="HK469" i="9"/>
  <c r="HJ469" i="9"/>
  <c r="HG469" i="9"/>
  <c r="GQ469" i="9"/>
  <c r="GP469" i="9"/>
  <c r="GO469" i="9"/>
  <c r="GN469" i="9"/>
  <c r="GK469" i="9"/>
  <c r="GR469" i="9" s="1"/>
  <c r="GF469" i="9"/>
  <c r="GC469" i="9"/>
  <c r="FZ469" i="9"/>
  <c r="FU469" i="9"/>
  <c r="FT469" i="9"/>
  <c r="FS469" i="9"/>
  <c r="FR469" i="9"/>
  <c r="FO469" i="9"/>
  <c r="FL469" i="9"/>
  <c r="FK469" i="9"/>
  <c r="CF469" i="9"/>
  <c r="CY469" i="9" s="1"/>
  <c r="DA469" i="9" s="1"/>
  <c r="AD469" i="9"/>
  <c r="AB469" i="9"/>
  <c r="HM468" i="9"/>
  <c r="HW468" i="9" s="1"/>
  <c r="HL468" i="9"/>
  <c r="HK468" i="9"/>
  <c r="HJ468" i="9"/>
  <c r="HG468" i="9"/>
  <c r="GQ468" i="9"/>
  <c r="GP468" i="9"/>
  <c r="GO468" i="9"/>
  <c r="GN468" i="9"/>
  <c r="GK468" i="9"/>
  <c r="GF468" i="9"/>
  <c r="GC468" i="9"/>
  <c r="FZ468" i="9"/>
  <c r="FU468" i="9"/>
  <c r="FT468" i="9"/>
  <c r="FS468" i="9"/>
  <c r="FR468" i="9"/>
  <c r="FO468" i="9"/>
  <c r="FV468" i="9" s="1"/>
  <c r="FL468" i="9"/>
  <c r="FK468" i="9"/>
  <c r="CF468" i="9"/>
  <c r="CY468" i="9" s="1"/>
  <c r="AD468" i="9"/>
  <c r="AB468" i="9"/>
  <c r="HM467" i="9"/>
  <c r="HW467" i="9" s="1"/>
  <c r="HL467" i="9"/>
  <c r="HK467" i="9"/>
  <c r="HJ467" i="9"/>
  <c r="HG467" i="9"/>
  <c r="GQ467" i="9"/>
  <c r="GP467" i="9"/>
  <c r="GO467" i="9"/>
  <c r="GN467" i="9"/>
  <c r="GK467" i="9"/>
  <c r="GF467" i="9"/>
  <c r="GC467" i="9"/>
  <c r="FZ467" i="9"/>
  <c r="FU467" i="9"/>
  <c r="FT467" i="9"/>
  <c r="FS467" i="9"/>
  <c r="FR467" i="9"/>
  <c r="FO467" i="9"/>
  <c r="FL467" i="9"/>
  <c r="FK467" i="9"/>
  <c r="DE467" i="9"/>
  <c r="DS467" i="9" s="1"/>
  <c r="DU467" i="9" s="1"/>
  <c r="AD467" i="9"/>
  <c r="AB467" i="9"/>
  <c r="GF466" i="9"/>
  <c r="GC466" i="9"/>
  <c r="FZ466" i="9"/>
  <c r="FU466" i="9"/>
  <c r="FT466" i="9"/>
  <c r="FS466" i="9"/>
  <c r="FR466" i="9"/>
  <c r="FO466" i="9"/>
  <c r="FL466" i="9"/>
  <c r="FK466" i="9"/>
  <c r="DE466" i="9"/>
  <c r="DS466" i="9" s="1"/>
  <c r="AD466" i="9"/>
  <c r="AB466" i="9"/>
  <c r="GF465" i="9"/>
  <c r="GC465" i="9"/>
  <c r="FZ465" i="9"/>
  <c r="FU465" i="9"/>
  <c r="FT465" i="9"/>
  <c r="FS465" i="9"/>
  <c r="FR465" i="9"/>
  <c r="FO465" i="9"/>
  <c r="FL465" i="9"/>
  <c r="FK465" i="9"/>
  <c r="DE465" i="9"/>
  <c r="DS465" i="9" s="1"/>
  <c r="DT465" i="9" s="1"/>
  <c r="HZ465" i="9" s="1"/>
  <c r="AD465" i="9"/>
  <c r="AB465" i="9"/>
  <c r="HM464" i="9"/>
  <c r="HW464" i="9" s="1"/>
  <c r="HL464" i="9"/>
  <c r="HK464" i="9"/>
  <c r="HJ464" i="9"/>
  <c r="HG464" i="9"/>
  <c r="GF464" i="9"/>
  <c r="GE464" i="9"/>
  <c r="GD464" i="9"/>
  <c r="GC464" i="9"/>
  <c r="FZ464" i="9"/>
  <c r="GG464" i="9" s="1"/>
  <c r="FU464" i="9"/>
  <c r="FT464" i="9"/>
  <c r="FS464" i="9"/>
  <c r="FR464" i="9"/>
  <c r="FO464" i="9"/>
  <c r="FL464" i="9"/>
  <c r="FK464" i="9"/>
  <c r="DE464" i="9"/>
  <c r="DS464" i="9" s="1"/>
  <c r="AB464" i="9"/>
  <c r="HM463" i="9"/>
  <c r="HW463" i="9" s="1"/>
  <c r="HL463" i="9"/>
  <c r="HK463" i="9"/>
  <c r="HJ463" i="9"/>
  <c r="HG463" i="9"/>
  <c r="GF463" i="9"/>
  <c r="GE463" i="9"/>
  <c r="GD463" i="9"/>
  <c r="GC463" i="9"/>
  <c r="GG463" i="9" s="1"/>
  <c r="FZ463" i="9"/>
  <c r="FU463" i="9"/>
  <c r="FT463" i="9"/>
  <c r="FS463" i="9"/>
  <c r="FR463" i="9"/>
  <c r="FO463" i="9"/>
  <c r="FL463" i="9"/>
  <c r="FK463" i="9"/>
  <c r="DE463" i="9"/>
  <c r="DS463" i="9" s="1"/>
  <c r="DT463" i="9" s="1"/>
  <c r="HZ463" i="9" s="1"/>
  <c r="AB463" i="9"/>
  <c r="HM462" i="9"/>
  <c r="HW462" i="9" s="1"/>
  <c r="HL462" i="9"/>
  <c r="HK462" i="9"/>
  <c r="HJ462" i="9"/>
  <c r="HG462" i="9"/>
  <c r="GF462" i="9"/>
  <c r="GE462" i="9"/>
  <c r="GD462" i="9"/>
  <c r="GC462" i="9"/>
  <c r="FZ462" i="9"/>
  <c r="FU462" i="9"/>
  <c r="FT462" i="9"/>
  <c r="FS462" i="9"/>
  <c r="FR462" i="9"/>
  <c r="FO462" i="9"/>
  <c r="FL462" i="9"/>
  <c r="FK462" i="9"/>
  <c r="DE462" i="9"/>
  <c r="DS462" i="9" s="1"/>
  <c r="DT462" i="9" s="1"/>
  <c r="HZ462" i="9" s="1"/>
  <c r="AB462" i="9"/>
  <c r="HM461" i="9"/>
  <c r="HW461" i="9" s="1"/>
  <c r="HL461" i="9"/>
  <c r="HK461" i="9"/>
  <c r="HJ461" i="9"/>
  <c r="HG461" i="9"/>
  <c r="GF461" i="9"/>
  <c r="GE461" i="9"/>
  <c r="GD461" i="9"/>
  <c r="GC461" i="9"/>
  <c r="FZ461" i="9"/>
  <c r="FU461" i="9"/>
  <c r="FT461" i="9"/>
  <c r="FS461" i="9"/>
  <c r="FR461" i="9"/>
  <c r="FO461" i="9"/>
  <c r="FL461" i="9"/>
  <c r="FK461" i="9"/>
  <c r="DS461" i="9"/>
  <c r="DE461" i="9"/>
  <c r="AB461" i="9"/>
  <c r="HM460" i="9"/>
  <c r="HW460" i="9" s="1"/>
  <c r="HL460" i="9"/>
  <c r="HK460" i="9"/>
  <c r="HJ460" i="9"/>
  <c r="HG460" i="9"/>
  <c r="GQ460" i="9"/>
  <c r="GP460" i="9"/>
  <c r="GO460" i="9"/>
  <c r="GM460" i="9"/>
  <c r="GN460" i="9" s="1"/>
  <c r="GJ460" i="9"/>
  <c r="GK460" i="9" s="1"/>
  <c r="GF460" i="9"/>
  <c r="GE460" i="9"/>
  <c r="GD460" i="9"/>
  <c r="GB460" i="9"/>
  <c r="GC460" i="9" s="1"/>
  <c r="GG460" i="9" s="1"/>
  <c r="FY460" i="9"/>
  <c r="FZ460" i="9" s="1"/>
  <c r="FU460" i="9"/>
  <c r="FT460" i="9"/>
  <c r="FS460" i="9"/>
  <c r="FQ460" i="9"/>
  <c r="FR460" i="9" s="1"/>
  <c r="FN460" i="9"/>
  <c r="FO460" i="9" s="1"/>
  <c r="FL460" i="9"/>
  <c r="FK460" i="9"/>
  <c r="CF460" i="9"/>
  <c r="CY460" i="9" s="1"/>
  <c r="AD460" i="9"/>
  <c r="AB460" i="9"/>
  <c r="HM459" i="9"/>
  <c r="HW459" i="9" s="1"/>
  <c r="HL459" i="9"/>
  <c r="HK459" i="9"/>
  <c r="HJ459" i="9"/>
  <c r="HG459" i="9"/>
  <c r="GQ459" i="9"/>
  <c r="GP459" i="9"/>
  <c r="GO459" i="9"/>
  <c r="GM459" i="9"/>
  <c r="GN459" i="9" s="1"/>
  <c r="GJ459" i="9"/>
  <c r="GK459" i="9" s="1"/>
  <c r="GF459" i="9"/>
  <c r="GE459" i="9"/>
  <c r="GD459" i="9"/>
  <c r="GB459" i="9"/>
  <c r="GC459" i="9" s="1"/>
  <c r="FY459" i="9"/>
  <c r="FZ459" i="9" s="1"/>
  <c r="FU459" i="9"/>
  <c r="FT459" i="9"/>
  <c r="FS459" i="9"/>
  <c r="FQ459" i="9"/>
  <c r="FR459" i="9" s="1"/>
  <c r="FO459" i="9"/>
  <c r="FN459" i="9"/>
  <c r="FL459" i="9"/>
  <c r="FK459" i="9"/>
  <c r="CF459" i="9"/>
  <c r="CY459" i="9" s="1"/>
  <c r="AD459" i="9"/>
  <c r="AB459" i="9"/>
  <c r="HM458" i="9"/>
  <c r="HW458" i="9" s="1"/>
  <c r="HL458" i="9"/>
  <c r="HK458" i="9"/>
  <c r="HJ458" i="9"/>
  <c r="HG458" i="9"/>
  <c r="GQ458" i="9"/>
  <c r="GP458" i="9"/>
  <c r="GO458" i="9"/>
  <c r="GM458" i="9"/>
  <c r="GN458" i="9" s="1"/>
  <c r="GJ458" i="9"/>
  <c r="GK458" i="9" s="1"/>
  <c r="GF458" i="9"/>
  <c r="GE458" i="9"/>
  <c r="GD458" i="9"/>
  <c r="GB458" i="9"/>
  <c r="GC458" i="9" s="1"/>
  <c r="FY458" i="9"/>
  <c r="FZ458" i="9" s="1"/>
  <c r="FU458" i="9"/>
  <c r="FT458" i="9"/>
  <c r="FS458" i="9"/>
  <c r="FQ458" i="9"/>
  <c r="FR458" i="9" s="1"/>
  <c r="FN458" i="9"/>
  <c r="FO458" i="9" s="1"/>
  <c r="FL458" i="9"/>
  <c r="FK458" i="9"/>
  <c r="CF458" i="9"/>
  <c r="CY458" i="9" s="1"/>
  <c r="AD458" i="9"/>
  <c r="AB458" i="9"/>
  <c r="HM457" i="9"/>
  <c r="HW457" i="9" s="1"/>
  <c r="HL457" i="9"/>
  <c r="HK457" i="9"/>
  <c r="HJ457" i="9"/>
  <c r="HG457" i="9"/>
  <c r="GQ457" i="9"/>
  <c r="GP457" i="9"/>
  <c r="GO457" i="9"/>
  <c r="GM457" i="9"/>
  <c r="GN457" i="9" s="1"/>
  <c r="GJ457" i="9"/>
  <c r="GK457" i="9" s="1"/>
  <c r="GF457" i="9"/>
  <c r="GE457" i="9"/>
  <c r="GD457" i="9"/>
  <c r="GB457" i="9"/>
  <c r="GC457" i="9" s="1"/>
  <c r="FY457" i="9"/>
  <c r="FZ457" i="9" s="1"/>
  <c r="FU457" i="9"/>
  <c r="FT457" i="9"/>
  <c r="FS457" i="9"/>
  <c r="FQ457" i="9"/>
  <c r="FR457" i="9" s="1"/>
  <c r="FN457" i="9"/>
  <c r="FO457" i="9" s="1"/>
  <c r="FL457" i="9"/>
  <c r="FK457" i="9"/>
  <c r="CF457" i="9"/>
  <c r="CY457" i="9" s="1"/>
  <c r="AD457" i="9"/>
  <c r="AB457" i="9"/>
  <c r="HM456" i="9"/>
  <c r="HW456" i="9" s="1"/>
  <c r="HL456" i="9"/>
  <c r="HK456" i="9"/>
  <c r="HJ456" i="9"/>
  <c r="HG456" i="9"/>
  <c r="GQ456" i="9"/>
  <c r="GP456" i="9"/>
  <c r="GO456" i="9"/>
  <c r="GM456" i="9"/>
  <c r="GN456" i="9" s="1"/>
  <c r="GJ456" i="9"/>
  <c r="GK456" i="9" s="1"/>
  <c r="GF456" i="9"/>
  <c r="GE456" i="9"/>
  <c r="GD456" i="9"/>
  <c r="GB456" i="9"/>
  <c r="GC456" i="9" s="1"/>
  <c r="FY456" i="9"/>
  <c r="FZ456" i="9" s="1"/>
  <c r="FU456" i="9"/>
  <c r="FT456" i="9"/>
  <c r="FS456" i="9"/>
  <c r="FQ456" i="9"/>
  <c r="FR456" i="9" s="1"/>
  <c r="FN456" i="9"/>
  <c r="FO456" i="9" s="1"/>
  <c r="FL456" i="9"/>
  <c r="FK456" i="9"/>
  <c r="CF456" i="9"/>
  <c r="CY456" i="9" s="1"/>
  <c r="AD456" i="9"/>
  <c r="AB456" i="9"/>
  <c r="HM455" i="9"/>
  <c r="HW455" i="9" s="1"/>
  <c r="HL455" i="9"/>
  <c r="HK455" i="9"/>
  <c r="HJ455" i="9"/>
  <c r="HG455" i="9"/>
  <c r="GQ455" i="9"/>
  <c r="GP455" i="9"/>
  <c r="GO455" i="9"/>
  <c r="GM455" i="9"/>
  <c r="GN455" i="9" s="1"/>
  <c r="GJ455" i="9"/>
  <c r="GK455" i="9" s="1"/>
  <c r="GF455" i="9"/>
  <c r="GE455" i="9"/>
  <c r="GD455" i="9"/>
  <c r="GB455" i="9"/>
  <c r="GC455" i="9" s="1"/>
  <c r="FY455" i="9"/>
  <c r="FZ455" i="9" s="1"/>
  <c r="FU455" i="9"/>
  <c r="FT455" i="9"/>
  <c r="FS455" i="9"/>
  <c r="FQ455" i="9"/>
  <c r="FR455" i="9" s="1"/>
  <c r="FN455" i="9"/>
  <c r="FO455" i="9" s="1"/>
  <c r="FL455" i="9"/>
  <c r="FK455" i="9"/>
  <c r="CF455" i="9"/>
  <c r="CY455" i="9" s="1"/>
  <c r="AD455" i="9"/>
  <c r="AB455" i="9"/>
  <c r="HM454" i="9"/>
  <c r="HW454" i="9" s="1"/>
  <c r="HL454" i="9"/>
  <c r="HK454" i="9"/>
  <c r="HJ454" i="9"/>
  <c r="HG454" i="9"/>
  <c r="HB454" i="9"/>
  <c r="HA454" i="9"/>
  <c r="GZ454" i="9"/>
  <c r="GY454" i="9"/>
  <c r="GV454" i="9"/>
  <c r="GQ454" i="9"/>
  <c r="GP454" i="9"/>
  <c r="GO454" i="9"/>
  <c r="GN454" i="9"/>
  <c r="GK454" i="9"/>
  <c r="GF454" i="9"/>
  <c r="GE454" i="9"/>
  <c r="GD454" i="9"/>
  <c r="GC454" i="9"/>
  <c r="FZ454" i="9"/>
  <c r="FU454" i="9"/>
  <c r="FT454" i="9"/>
  <c r="FS454" i="9"/>
  <c r="FR454" i="9"/>
  <c r="FO454" i="9"/>
  <c r="FL454" i="9"/>
  <c r="FK454" i="9"/>
  <c r="AX454" i="9"/>
  <c r="AZ454" i="9" s="1"/>
  <c r="AD454" i="9"/>
  <c r="AB454" i="9"/>
  <c r="HM453" i="9"/>
  <c r="HW453" i="9" s="1"/>
  <c r="HL453" i="9"/>
  <c r="HK453" i="9"/>
  <c r="HJ453" i="9"/>
  <c r="HG453" i="9"/>
  <c r="HB453" i="9"/>
  <c r="HA453" i="9"/>
  <c r="GZ453" i="9"/>
  <c r="GY453" i="9"/>
  <c r="GV453" i="9"/>
  <c r="GR453" i="9"/>
  <c r="GQ453" i="9"/>
  <c r="GP453" i="9"/>
  <c r="GO453" i="9"/>
  <c r="GN453" i="9"/>
  <c r="GK453" i="9"/>
  <c r="GF453" i="9"/>
  <c r="GE453" i="9"/>
  <c r="GD453" i="9"/>
  <c r="GC453" i="9"/>
  <c r="FZ453" i="9"/>
  <c r="FU453" i="9"/>
  <c r="FT453" i="9"/>
  <c r="FS453" i="9"/>
  <c r="FR453" i="9"/>
  <c r="FO453" i="9"/>
  <c r="FL453" i="9"/>
  <c r="FK453" i="9"/>
  <c r="AX453" i="9"/>
  <c r="AZ453" i="9" s="1"/>
  <c r="AD453" i="9"/>
  <c r="AB453" i="9"/>
  <c r="HM452" i="9"/>
  <c r="HW452" i="9" s="1"/>
  <c r="HL452" i="9"/>
  <c r="HK452" i="9"/>
  <c r="HJ452" i="9"/>
  <c r="HN452" i="9" s="1"/>
  <c r="HG452" i="9"/>
  <c r="HB452" i="9"/>
  <c r="HA452" i="9"/>
  <c r="GZ452" i="9"/>
  <c r="GY452" i="9"/>
  <c r="GV452" i="9"/>
  <c r="GQ452" i="9"/>
  <c r="GP452" i="9"/>
  <c r="GO452" i="9"/>
  <c r="GN452" i="9"/>
  <c r="GK452" i="9"/>
  <c r="GF452" i="9"/>
  <c r="GE452" i="9"/>
  <c r="GD452" i="9"/>
  <c r="GC452" i="9"/>
  <c r="FZ452" i="9"/>
  <c r="FU452" i="9"/>
  <c r="FT452" i="9"/>
  <c r="FS452" i="9"/>
  <c r="FR452" i="9"/>
  <c r="FV452" i="9" s="1"/>
  <c r="FO452" i="9"/>
  <c r="FL452" i="9"/>
  <c r="FK452" i="9"/>
  <c r="AX452" i="9"/>
  <c r="AZ452" i="9" s="1"/>
  <c r="AD452" i="9"/>
  <c r="AB452" i="9"/>
  <c r="HM451" i="9"/>
  <c r="HW451" i="9" s="1"/>
  <c r="HL451" i="9"/>
  <c r="HK451" i="9"/>
  <c r="HJ451" i="9"/>
  <c r="HG451" i="9"/>
  <c r="HB451" i="9"/>
  <c r="HA451" i="9"/>
  <c r="GZ451" i="9"/>
  <c r="GY451" i="9"/>
  <c r="GV451" i="9"/>
  <c r="GQ451" i="9"/>
  <c r="GP451" i="9"/>
  <c r="GO451" i="9"/>
  <c r="GN451" i="9"/>
  <c r="GK451" i="9"/>
  <c r="GR451" i="9" s="1"/>
  <c r="GF451" i="9"/>
  <c r="GE451" i="9"/>
  <c r="GD451" i="9"/>
  <c r="GC451" i="9"/>
  <c r="FZ451" i="9"/>
  <c r="FU451" i="9"/>
  <c r="FT451" i="9"/>
  <c r="FS451" i="9"/>
  <c r="FR451" i="9"/>
  <c r="FO451" i="9"/>
  <c r="FL451" i="9"/>
  <c r="FK451" i="9"/>
  <c r="AX451" i="9"/>
  <c r="AZ451" i="9" s="1"/>
  <c r="AD451" i="9"/>
  <c r="AB451" i="9"/>
  <c r="HM450" i="9"/>
  <c r="HW450" i="9" s="1"/>
  <c r="HL450" i="9"/>
  <c r="HK450" i="9"/>
  <c r="HJ450" i="9"/>
  <c r="HG450" i="9"/>
  <c r="HB450" i="9"/>
  <c r="HA450" i="9"/>
  <c r="GZ450" i="9"/>
  <c r="GY450" i="9"/>
  <c r="GV450" i="9"/>
  <c r="GQ450" i="9"/>
  <c r="GP450" i="9"/>
  <c r="GO450" i="9"/>
  <c r="GN450" i="9"/>
  <c r="GK450" i="9"/>
  <c r="GF450" i="9"/>
  <c r="GE450" i="9"/>
  <c r="GD450" i="9"/>
  <c r="GC450" i="9"/>
  <c r="FZ450" i="9"/>
  <c r="FU450" i="9"/>
  <c r="FT450" i="9"/>
  <c r="FS450" i="9"/>
  <c r="FR450" i="9"/>
  <c r="FO450" i="9"/>
  <c r="FL450" i="9"/>
  <c r="FK450" i="9"/>
  <c r="CF450" i="9"/>
  <c r="CY450" i="9" s="1"/>
  <c r="AD450" i="9"/>
  <c r="AB450" i="9"/>
  <c r="HM449" i="9"/>
  <c r="HW449" i="9" s="1"/>
  <c r="HL449" i="9"/>
  <c r="HK449" i="9"/>
  <c r="HJ449" i="9"/>
  <c r="HG449" i="9"/>
  <c r="HB449" i="9"/>
  <c r="HA449" i="9"/>
  <c r="GZ449" i="9"/>
  <c r="GY449" i="9"/>
  <c r="GV449" i="9"/>
  <c r="GQ449" i="9"/>
  <c r="GP449" i="9"/>
  <c r="GO449" i="9"/>
  <c r="GN449" i="9"/>
  <c r="GK449" i="9"/>
  <c r="GF449" i="9"/>
  <c r="GE449" i="9"/>
  <c r="GD449" i="9"/>
  <c r="GC449" i="9"/>
  <c r="FZ449" i="9"/>
  <c r="FU449" i="9"/>
  <c r="FT449" i="9"/>
  <c r="FS449" i="9"/>
  <c r="FR449" i="9"/>
  <c r="FO449" i="9"/>
  <c r="FL449" i="9"/>
  <c r="FK449" i="9"/>
  <c r="CF449" i="9"/>
  <c r="CY449" i="9" s="1"/>
  <c r="AD449" i="9"/>
  <c r="AB449" i="9"/>
  <c r="HM448" i="9"/>
  <c r="HW448" i="9" s="1"/>
  <c r="HL448" i="9"/>
  <c r="HK448" i="9"/>
  <c r="HJ448" i="9"/>
  <c r="HG448" i="9"/>
  <c r="HB448" i="9"/>
  <c r="HA448" i="9"/>
  <c r="GZ448" i="9"/>
  <c r="GY448" i="9"/>
  <c r="GV448" i="9"/>
  <c r="GQ448" i="9"/>
  <c r="GP448" i="9"/>
  <c r="GO448" i="9"/>
  <c r="GN448" i="9"/>
  <c r="GK448" i="9"/>
  <c r="GF448" i="9"/>
  <c r="GE448" i="9"/>
  <c r="GD448" i="9"/>
  <c r="GC448" i="9"/>
  <c r="FZ448" i="9"/>
  <c r="FU448" i="9"/>
  <c r="FT448" i="9"/>
  <c r="FS448" i="9"/>
  <c r="FR448" i="9"/>
  <c r="FO448" i="9"/>
  <c r="FL448" i="9"/>
  <c r="FK448" i="9"/>
  <c r="CF448" i="9"/>
  <c r="CY448" i="9" s="1"/>
  <c r="AD448" i="9"/>
  <c r="AB448" i="9"/>
  <c r="HM447" i="9"/>
  <c r="HW447" i="9" s="1"/>
  <c r="HL447" i="9"/>
  <c r="HK447" i="9"/>
  <c r="HJ447" i="9"/>
  <c r="HG447" i="9"/>
  <c r="HB447" i="9"/>
  <c r="HA447" i="9"/>
  <c r="GZ447" i="9"/>
  <c r="GY447" i="9"/>
  <c r="GV447" i="9"/>
  <c r="GQ447" i="9"/>
  <c r="GP447" i="9"/>
  <c r="GO447" i="9"/>
  <c r="GN447" i="9"/>
  <c r="GK447" i="9"/>
  <c r="GR447" i="9" s="1"/>
  <c r="GF447" i="9"/>
  <c r="GE447" i="9"/>
  <c r="GD447" i="9"/>
  <c r="GC447" i="9"/>
  <c r="FZ447" i="9"/>
  <c r="FU447" i="9"/>
  <c r="FT447" i="9"/>
  <c r="FS447" i="9"/>
  <c r="FR447" i="9"/>
  <c r="FO447" i="9"/>
  <c r="FL447" i="9"/>
  <c r="FK447" i="9"/>
  <c r="CF447" i="9"/>
  <c r="CY447" i="9" s="1"/>
  <c r="AD447" i="9"/>
  <c r="AB447" i="9"/>
  <c r="GC446" i="9"/>
  <c r="GA446" i="9"/>
  <c r="FZ446" i="9"/>
  <c r="FX446" i="9"/>
  <c r="FU446" i="9"/>
  <c r="FT446" i="9"/>
  <c r="FS446" i="9"/>
  <c r="FR446" i="9"/>
  <c r="FO446" i="9"/>
  <c r="FL446" i="9"/>
  <c r="FK446" i="9"/>
  <c r="CF446" i="9"/>
  <c r="CY446" i="9" s="1"/>
  <c r="AB446" i="9"/>
  <c r="GC445" i="9"/>
  <c r="GA445" i="9"/>
  <c r="GD445" i="9" s="1"/>
  <c r="FZ445" i="9"/>
  <c r="FX445" i="9"/>
  <c r="FU445" i="9"/>
  <c r="FT445" i="9"/>
  <c r="FS445" i="9"/>
  <c r="FR445" i="9"/>
  <c r="FO445" i="9"/>
  <c r="FL445" i="9"/>
  <c r="FK445" i="9"/>
  <c r="CF445" i="9"/>
  <c r="CY445" i="9" s="1"/>
  <c r="AB445" i="9"/>
  <c r="GC444" i="9"/>
  <c r="GA444" i="9"/>
  <c r="FZ444" i="9"/>
  <c r="FX444" i="9"/>
  <c r="FU444" i="9"/>
  <c r="FT444" i="9"/>
  <c r="FS444" i="9"/>
  <c r="FR444" i="9"/>
  <c r="FO444" i="9"/>
  <c r="FL444" i="9"/>
  <c r="FK444" i="9"/>
  <c r="CF444" i="9"/>
  <c r="CY444" i="9" s="1"/>
  <c r="AB444" i="9"/>
  <c r="GC443" i="9"/>
  <c r="GA443" i="9"/>
  <c r="FZ443" i="9"/>
  <c r="FX443" i="9"/>
  <c r="FU443" i="9"/>
  <c r="FT443" i="9"/>
  <c r="FS443" i="9"/>
  <c r="FR443" i="9"/>
  <c r="FV443" i="9" s="1"/>
  <c r="FO443" i="9"/>
  <c r="FL443" i="9"/>
  <c r="FK443" i="9"/>
  <c r="CY443" i="9"/>
  <c r="CF443" i="9"/>
  <c r="AB443" i="9"/>
  <c r="GC442" i="9"/>
  <c r="GA442" i="9"/>
  <c r="GD442" i="9" s="1"/>
  <c r="FZ442" i="9"/>
  <c r="FX442" i="9"/>
  <c r="FU442" i="9"/>
  <c r="FT442" i="9"/>
  <c r="FS442" i="9"/>
  <c r="FR442" i="9"/>
  <c r="FO442" i="9"/>
  <c r="FL442" i="9"/>
  <c r="FK442" i="9"/>
  <c r="CF442" i="9"/>
  <c r="CY442" i="9" s="1"/>
  <c r="AB442" i="9"/>
  <c r="HM441" i="9"/>
  <c r="HW441" i="9" s="1"/>
  <c r="HL441" i="9"/>
  <c r="HK441" i="9"/>
  <c r="HI441" i="9"/>
  <c r="HJ441" i="9" s="1"/>
  <c r="HF441" i="9"/>
  <c r="HG441" i="9" s="1"/>
  <c r="GW441" i="9"/>
  <c r="GU441" i="9"/>
  <c r="GV441" i="9" s="1"/>
  <c r="GT441" i="9"/>
  <c r="GQ441" i="9"/>
  <c r="GP441" i="9"/>
  <c r="GO441" i="9"/>
  <c r="GM441" i="9"/>
  <c r="GN441" i="9" s="1"/>
  <c r="GJ441" i="9"/>
  <c r="GK441" i="9" s="1"/>
  <c r="FU441" i="9"/>
  <c r="FT441" i="9"/>
  <c r="FS441" i="9"/>
  <c r="FQ441" i="9"/>
  <c r="FR441" i="9" s="1"/>
  <c r="FN441" i="9"/>
  <c r="FO441" i="9" s="1"/>
  <c r="FL441" i="9"/>
  <c r="FK441" i="9"/>
  <c r="BT441" i="9"/>
  <c r="BY441" i="9" s="1"/>
  <c r="AZ441" i="9"/>
  <c r="BA441" i="9" s="1"/>
  <c r="AX441" i="9"/>
  <c r="EW441" i="9" s="1"/>
  <c r="HY441" i="9" s="1"/>
  <c r="AB441" i="9"/>
  <c r="HM440" i="9"/>
  <c r="HW440" i="9" s="1"/>
  <c r="HL440" i="9"/>
  <c r="HK440" i="9"/>
  <c r="HI440" i="9"/>
  <c r="HJ440" i="9" s="1"/>
  <c r="HF440" i="9"/>
  <c r="HG440" i="9" s="1"/>
  <c r="GX440" i="9"/>
  <c r="GY440" i="9" s="1"/>
  <c r="GW440" i="9"/>
  <c r="GT440" i="9"/>
  <c r="GQ440" i="9"/>
  <c r="GP440" i="9"/>
  <c r="GO440" i="9"/>
  <c r="GM440" i="9"/>
  <c r="GN440" i="9" s="1"/>
  <c r="GJ440" i="9"/>
  <c r="GK440" i="9" s="1"/>
  <c r="FU440" i="9"/>
  <c r="FT440" i="9"/>
  <c r="FS440" i="9"/>
  <c r="FQ440" i="9"/>
  <c r="FR440" i="9" s="1"/>
  <c r="FN440" i="9"/>
  <c r="FO440" i="9" s="1"/>
  <c r="FL440" i="9"/>
  <c r="FK440" i="9"/>
  <c r="BT440" i="9"/>
  <c r="BY440" i="9" s="1"/>
  <c r="AZ440" i="9"/>
  <c r="AX440" i="9"/>
  <c r="AB440" i="9"/>
  <c r="HM439" i="9"/>
  <c r="HW439" i="9" s="1"/>
  <c r="HL439" i="9"/>
  <c r="HK439" i="9"/>
  <c r="HI439" i="9"/>
  <c r="HJ439" i="9" s="1"/>
  <c r="HF439" i="9"/>
  <c r="HG439" i="9" s="1"/>
  <c r="GW439" i="9"/>
  <c r="GT439" i="9"/>
  <c r="GU439" i="9" s="1"/>
  <c r="GV439" i="9" s="1"/>
  <c r="GQ439" i="9"/>
  <c r="GP439" i="9"/>
  <c r="GO439" i="9"/>
  <c r="GM439" i="9"/>
  <c r="GN439" i="9" s="1"/>
  <c r="GJ439" i="9"/>
  <c r="GK439" i="9" s="1"/>
  <c r="FU439" i="9"/>
  <c r="FT439" i="9"/>
  <c r="FS439" i="9"/>
  <c r="FQ439" i="9"/>
  <c r="FR439" i="9" s="1"/>
  <c r="FN439" i="9"/>
  <c r="FO439" i="9" s="1"/>
  <c r="FL439" i="9"/>
  <c r="FK439" i="9"/>
  <c r="BY439" i="9"/>
  <c r="BT439" i="9"/>
  <c r="AX439" i="9"/>
  <c r="AZ439" i="9" s="1"/>
  <c r="AB439" i="9"/>
  <c r="HM438" i="9"/>
  <c r="HW438" i="9" s="1"/>
  <c r="HL438" i="9"/>
  <c r="HK438" i="9"/>
  <c r="HI438" i="9"/>
  <c r="HJ438" i="9" s="1"/>
  <c r="HF438" i="9"/>
  <c r="HG438" i="9" s="1"/>
  <c r="GW438" i="9"/>
  <c r="GX438" i="9" s="1"/>
  <c r="GY438" i="9" s="1"/>
  <c r="GT438" i="9"/>
  <c r="GU438" i="9" s="1"/>
  <c r="GV438" i="9" s="1"/>
  <c r="GQ438" i="9"/>
  <c r="GP438" i="9"/>
  <c r="GO438" i="9"/>
  <c r="GM438" i="9"/>
  <c r="GN438" i="9" s="1"/>
  <c r="GJ438" i="9"/>
  <c r="GK438" i="9" s="1"/>
  <c r="FU438" i="9"/>
  <c r="FT438" i="9"/>
  <c r="FS438" i="9"/>
  <c r="FQ438" i="9"/>
  <c r="FR438" i="9" s="1"/>
  <c r="FN438" i="9"/>
  <c r="FO438" i="9" s="1"/>
  <c r="FL438" i="9"/>
  <c r="FK438" i="9"/>
  <c r="BT438" i="9"/>
  <c r="BY438" i="9" s="1"/>
  <c r="AX438" i="9"/>
  <c r="AB438" i="9"/>
  <c r="HM437" i="9"/>
  <c r="HW437" i="9" s="1"/>
  <c r="HL437" i="9"/>
  <c r="HK437" i="9"/>
  <c r="HI437" i="9"/>
  <c r="HJ437" i="9" s="1"/>
  <c r="HF437" i="9"/>
  <c r="HG437" i="9" s="1"/>
  <c r="GZ437" i="9"/>
  <c r="GW437" i="9"/>
  <c r="GX437" i="9" s="1"/>
  <c r="GY437" i="9" s="1"/>
  <c r="GT437" i="9"/>
  <c r="GU437" i="9" s="1"/>
  <c r="GV437" i="9" s="1"/>
  <c r="GQ437" i="9"/>
  <c r="GP437" i="9"/>
  <c r="GO437" i="9"/>
  <c r="GM437" i="9"/>
  <c r="GN437" i="9" s="1"/>
  <c r="GK437" i="9"/>
  <c r="GJ437" i="9"/>
  <c r="FU437" i="9"/>
  <c r="FT437" i="9"/>
  <c r="FS437" i="9"/>
  <c r="FQ437" i="9"/>
  <c r="FR437" i="9" s="1"/>
  <c r="FN437" i="9"/>
  <c r="FO437" i="9" s="1"/>
  <c r="FL437" i="9"/>
  <c r="FK437" i="9"/>
  <c r="BT437" i="9"/>
  <c r="BY437" i="9" s="1"/>
  <c r="AB437" i="9"/>
  <c r="HY436" i="9"/>
  <c r="HM436" i="9"/>
  <c r="HW436" i="9" s="1"/>
  <c r="HL436" i="9"/>
  <c r="HK436" i="9"/>
  <c r="HI436" i="9"/>
  <c r="HJ436" i="9" s="1"/>
  <c r="HF436" i="9"/>
  <c r="HG436" i="9" s="1"/>
  <c r="GW436" i="9"/>
  <c r="GX436" i="9" s="1"/>
  <c r="GY436" i="9" s="1"/>
  <c r="GT436" i="9"/>
  <c r="GU436" i="9" s="1"/>
  <c r="GV436" i="9" s="1"/>
  <c r="GQ436" i="9"/>
  <c r="GP436" i="9"/>
  <c r="GO436" i="9"/>
  <c r="GM436" i="9"/>
  <c r="GN436" i="9" s="1"/>
  <c r="GJ436" i="9"/>
  <c r="GK436" i="9" s="1"/>
  <c r="FU436" i="9"/>
  <c r="FT436" i="9"/>
  <c r="FS436" i="9"/>
  <c r="FQ436" i="9"/>
  <c r="FR436" i="9" s="1"/>
  <c r="FO436" i="9"/>
  <c r="FN436" i="9"/>
  <c r="FL436" i="9"/>
  <c r="FK436" i="9"/>
  <c r="CA436" i="9"/>
  <c r="BT436" i="9"/>
  <c r="BY436" i="9" s="1"/>
  <c r="BZ436" i="9" s="1"/>
  <c r="HZ436" i="9" s="1"/>
  <c r="AB436" i="9"/>
  <c r="HM435" i="9"/>
  <c r="HW435" i="9" s="1"/>
  <c r="HL435" i="9"/>
  <c r="HK435" i="9"/>
  <c r="HI435" i="9"/>
  <c r="HJ435" i="9" s="1"/>
  <c r="HF435" i="9"/>
  <c r="HG435" i="9" s="1"/>
  <c r="GX435" i="9"/>
  <c r="GY435" i="9" s="1"/>
  <c r="GW435" i="9"/>
  <c r="GT435" i="9"/>
  <c r="GQ435" i="9"/>
  <c r="GP435" i="9"/>
  <c r="GO435" i="9"/>
  <c r="GM435" i="9"/>
  <c r="GN435" i="9" s="1"/>
  <c r="GJ435" i="9"/>
  <c r="GK435" i="9" s="1"/>
  <c r="FU435" i="9"/>
  <c r="FT435" i="9"/>
  <c r="FS435" i="9"/>
  <c r="FQ435" i="9"/>
  <c r="FR435" i="9" s="1"/>
  <c r="FN435" i="9"/>
  <c r="FO435" i="9" s="1"/>
  <c r="FL435" i="9"/>
  <c r="FK435" i="9"/>
  <c r="AX435" i="9"/>
  <c r="AZ435" i="9" s="1"/>
  <c r="AB435" i="9"/>
  <c r="HM434" i="9"/>
  <c r="HW434" i="9" s="1"/>
  <c r="HL434" i="9"/>
  <c r="HK434" i="9"/>
  <c r="HI434" i="9"/>
  <c r="HJ434" i="9" s="1"/>
  <c r="HF434" i="9"/>
  <c r="HG434" i="9" s="1"/>
  <c r="GW434" i="9"/>
  <c r="GT434" i="9"/>
  <c r="GU434" i="9" s="1"/>
  <c r="GV434" i="9" s="1"/>
  <c r="GQ434" i="9"/>
  <c r="GP434" i="9"/>
  <c r="GO434" i="9"/>
  <c r="GM434" i="9"/>
  <c r="GN434" i="9" s="1"/>
  <c r="GJ434" i="9"/>
  <c r="GK434" i="9" s="1"/>
  <c r="FU434" i="9"/>
  <c r="FT434" i="9"/>
  <c r="FS434" i="9"/>
  <c r="FQ434" i="9"/>
  <c r="FR434" i="9" s="1"/>
  <c r="FN434" i="9"/>
  <c r="FO434" i="9" s="1"/>
  <c r="FL434" i="9"/>
  <c r="FK434" i="9"/>
  <c r="AX434" i="9"/>
  <c r="AZ434" i="9" s="1"/>
  <c r="AB434" i="9"/>
  <c r="HM433" i="9"/>
  <c r="HW433" i="9" s="1"/>
  <c r="HL433" i="9"/>
  <c r="HK433" i="9"/>
  <c r="HI433" i="9"/>
  <c r="HJ433" i="9" s="1"/>
  <c r="HF433" i="9"/>
  <c r="HG433" i="9" s="1"/>
  <c r="GW433" i="9"/>
  <c r="HA433" i="9" s="1"/>
  <c r="GV433" i="9"/>
  <c r="GT433" i="9"/>
  <c r="GU433" i="9" s="1"/>
  <c r="GQ433" i="9"/>
  <c r="GP433" i="9"/>
  <c r="GO433" i="9"/>
  <c r="GM433" i="9"/>
  <c r="GN433" i="9" s="1"/>
  <c r="GJ433" i="9"/>
  <c r="GK433" i="9" s="1"/>
  <c r="FU433" i="9"/>
  <c r="FT433" i="9"/>
  <c r="FS433" i="9"/>
  <c r="FQ433" i="9"/>
  <c r="FR433" i="9" s="1"/>
  <c r="FN433" i="9"/>
  <c r="FO433" i="9" s="1"/>
  <c r="FL433" i="9"/>
  <c r="FK433" i="9"/>
  <c r="AX433" i="9"/>
  <c r="AZ433" i="9" s="1"/>
  <c r="AB433" i="9"/>
  <c r="HM432" i="9"/>
  <c r="HW432" i="9" s="1"/>
  <c r="HL432" i="9"/>
  <c r="HK432" i="9"/>
  <c r="HI432" i="9"/>
  <c r="HJ432" i="9" s="1"/>
  <c r="HF432" i="9"/>
  <c r="HG432" i="9" s="1"/>
  <c r="GW432" i="9"/>
  <c r="HA432" i="9" s="1"/>
  <c r="GT432" i="9"/>
  <c r="GU432" i="9" s="1"/>
  <c r="GV432" i="9" s="1"/>
  <c r="GQ432" i="9"/>
  <c r="GP432" i="9"/>
  <c r="GO432" i="9"/>
  <c r="GM432" i="9"/>
  <c r="GN432" i="9" s="1"/>
  <c r="GJ432" i="9"/>
  <c r="GK432" i="9" s="1"/>
  <c r="FU432" i="9"/>
  <c r="FT432" i="9"/>
  <c r="FS432" i="9"/>
  <c r="FR432" i="9"/>
  <c r="FQ432" i="9"/>
  <c r="FN432" i="9"/>
  <c r="FO432" i="9" s="1"/>
  <c r="FL432" i="9"/>
  <c r="FK432" i="9"/>
  <c r="AX432" i="9"/>
  <c r="AZ432" i="9" s="1"/>
  <c r="AB432" i="9"/>
  <c r="HM431" i="9"/>
  <c r="HW431" i="9" s="1"/>
  <c r="HL431" i="9"/>
  <c r="HK431" i="9"/>
  <c r="HI431" i="9"/>
  <c r="HJ431" i="9" s="1"/>
  <c r="HF431" i="9"/>
  <c r="HG431" i="9" s="1"/>
  <c r="GW431" i="9"/>
  <c r="GX431" i="9" s="1"/>
  <c r="GY431" i="9" s="1"/>
  <c r="GT431" i="9"/>
  <c r="GQ431" i="9"/>
  <c r="GP431" i="9"/>
  <c r="GO431" i="9"/>
  <c r="GM431" i="9"/>
  <c r="GN431" i="9" s="1"/>
  <c r="GJ431" i="9"/>
  <c r="GK431" i="9" s="1"/>
  <c r="FU431" i="9"/>
  <c r="FT431" i="9"/>
  <c r="FS431" i="9"/>
  <c r="FR431" i="9"/>
  <c r="FQ431" i="9"/>
  <c r="FN431" i="9"/>
  <c r="FO431" i="9" s="1"/>
  <c r="FL431" i="9"/>
  <c r="FK431" i="9"/>
  <c r="AX431" i="9"/>
  <c r="AZ431" i="9" s="1"/>
  <c r="HY431" i="9" s="1"/>
  <c r="AB431" i="9"/>
  <c r="HM430" i="9"/>
  <c r="HW430" i="9" s="1"/>
  <c r="HL430" i="9"/>
  <c r="HK430" i="9"/>
  <c r="HI430" i="9"/>
  <c r="HJ430" i="9" s="1"/>
  <c r="HF430" i="9"/>
  <c r="HG430" i="9" s="1"/>
  <c r="GW430" i="9"/>
  <c r="GT430" i="9"/>
  <c r="GU430" i="9" s="1"/>
  <c r="GV430" i="9" s="1"/>
  <c r="GQ430" i="9"/>
  <c r="GP430" i="9"/>
  <c r="GO430" i="9"/>
  <c r="GM430" i="9"/>
  <c r="GN430" i="9" s="1"/>
  <c r="GJ430" i="9"/>
  <c r="GK430" i="9" s="1"/>
  <c r="FU430" i="9"/>
  <c r="FT430" i="9"/>
  <c r="FS430" i="9"/>
  <c r="FR430" i="9"/>
  <c r="FQ430" i="9"/>
  <c r="FN430" i="9"/>
  <c r="FO430" i="9" s="1"/>
  <c r="FL430" i="9"/>
  <c r="FK430" i="9"/>
  <c r="AX430" i="9"/>
  <c r="AZ430" i="9" s="1"/>
  <c r="AB430" i="9"/>
  <c r="HM429" i="9"/>
  <c r="HW429" i="9" s="1"/>
  <c r="HL429" i="9"/>
  <c r="HK429" i="9"/>
  <c r="HI429" i="9"/>
  <c r="HJ429" i="9" s="1"/>
  <c r="HN429" i="9" s="1"/>
  <c r="HF429" i="9"/>
  <c r="HG429" i="9" s="1"/>
  <c r="GW429" i="9"/>
  <c r="GX429" i="9" s="1"/>
  <c r="GY429" i="9" s="1"/>
  <c r="GT429" i="9"/>
  <c r="GQ429" i="9"/>
  <c r="GP429" i="9"/>
  <c r="GO429" i="9"/>
  <c r="GM429" i="9"/>
  <c r="GN429" i="9" s="1"/>
  <c r="GK429" i="9"/>
  <c r="GJ429" i="9"/>
  <c r="FU429" i="9"/>
  <c r="FT429" i="9"/>
  <c r="FS429" i="9"/>
  <c r="FQ429" i="9"/>
  <c r="FR429" i="9" s="1"/>
  <c r="FN429" i="9"/>
  <c r="FO429" i="9" s="1"/>
  <c r="FL429" i="9"/>
  <c r="FK429" i="9"/>
  <c r="AX429" i="9"/>
  <c r="AZ429" i="9" s="1"/>
  <c r="AB429" i="9"/>
  <c r="HM428" i="9"/>
  <c r="HW428" i="9" s="1"/>
  <c r="HL428" i="9"/>
  <c r="HK428" i="9"/>
  <c r="HJ428" i="9"/>
  <c r="HI428" i="9"/>
  <c r="HF428" i="9"/>
  <c r="HG428" i="9" s="1"/>
  <c r="GW428" i="9"/>
  <c r="GX428" i="9" s="1"/>
  <c r="GY428" i="9" s="1"/>
  <c r="GT428" i="9"/>
  <c r="GQ428" i="9"/>
  <c r="GP428" i="9"/>
  <c r="GO428" i="9"/>
  <c r="GM428" i="9"/>
  <c r="GN428" i="9" s="1"/>
  <c r="GJ428" i="9"/>
  <c r="GK428" i="9" s="1"/>
  <c r="FU428" i="9"/>
  <c r="FT428" i="9"/>
  <c r="FS428" i="9"/>
  <c r="FQ428" i="9"/>
  <c r="FR428" i="9" s="1"/>
  <c r="FN428" i="9"/>
  <c r="FO428" i="9" s="1"/>
  <c r="FL428" i="9"/>
  <c r="FK428" i="9"/>
  <c r="AX428" i="9"/>
  <c r="AZ428" i="9" s="1"/>
  <c r="BA428" i="9" s="1"/>
  <c r="HZ428" i="9" s="1"/>
  <c r="AB428" i="9"/>
  <c r="HM427" i="9"/>
  <c r="HW427" i="9" s="1"/>
  <c r="HL427" i="9"/>
  <c r="HK427" i="9"/>
  <c r="HI427" i="9"/>
  <c r="HJ427" i="9" s="1"/>
  <c r="HF427" i="9"/>
  <c r="HG427" i="9" s="1"/>
  <c r="FU427" i="9"/>
  <c r="FT427" i="9"/>
  <c r="FS427" i="9"/>
  <c r="FQ427" i="9"/>
  <c r="FR427" i="9" s="1"/>
  <c r="FN427" i="9"/>
  <c r="FO427" i="9" s="1"/>
  <c r="FL427" i="9"/>
  <c r="FK427" i="9"/>
  <c r="AX427" i="9"/>
  <c r="AZ427" i="9" s="1"/>
  <c r="AB427" i="9"/>
  <c r="HM426" i="9"/>
  <c r="HW426" i="9" s="1"/>
  <c r="HL426" i="9"/>
  <c r="HK426" i="9"/>
  <c r="HI426" i="9"/>
  <c r="HJ426" i="9" s="1"/>
  <c r="HF426" i="9"/>
  <c r="HG426" i="9" s="1"/>
  <c r="FU426" i="9"/>
  <c r="FT426" i="9"/>
  <c r="FS426" i="9"/>
  <c r="FQ426" i="9"/>
  <c r="FR426" i="9" s="1"/>
  <c r="FN426" i="9"/>
  <c r="FO426" i="9" s="1"/>
  <c r="FL426" i="9"/>
  <c r="FK426" i="9"/>
  <c r="AX426" i="9"/>
  <c r="AZ426" i="9" s="1"/>
  <c r="AB426" i="9"/>
  <c r="HM425" i="9"/>
  <c r="HW425" i="9" s="1"/>
  <c r="HL425" i="9"/>
  <c r="HK425" i="9"/>
  <c r="HI425" i="9"/>
  <c r="HJ425" i="9" s="1"/>
  <c r="HF425" i="9"/>
  <c r="HG425" i="9" s="1"/>
  <c r="FU425" i="9"/>
  <c r="FT425" i="9"/>
  <c r="FS425" i="9"/>
  <c r="FQ425" i="9"/>
  <c r="FR425" i="9" s="1"/>
  <c r="FN425" i="9"/>
  <c r="FO425" i="9" s="1"/>
  <c r="FL425" i="9"/>
  <c r="FK425" i="9"/>
  <c r="AX425" i="9"/>
  <c r="AZ425" i="9" s="1"/>
  <c r="BA425" i="9" s="1"/>
  <c r="HZ425" i="9" s="1"/>
  <c r="AB425" i="9"/>
  <c r="HM424" i="9"/>
  <c r="HW424" i="9" s="1"/>
  <c r="HL424" i="9"/>
  <c r="HK424" i="9"/>
  <c r="HI424" i="9"/>
  <c r="HJ424" i="9" s="1"/>
  <c r="HF424" i="9"/>
  <c r="HG424" i="9" s="1"/>
  <c r="FU424" i="9"/>
  <c r="FT424" i="9"/>
  <c r="FS424" i="9"/>
  <c r="FQ424" i="9"/>
  <c r="FR424" i="9" s="1"/>
  <c r="FN424" i="9"/>
  <c r="FO424" i="9" s="1"/>
  <c r="FL424" i="9"/>
  <c r="FK424" i="9"/>
  <c r="AX424" i="9"/>
  <c r="AZ424" i="9" s="1"/>
  <c r="AB424" i="9"/>
  <c r="HM423" i="9"/>
  <c r="HW423" i="9" s="1"/>
  <c r="HL423" i="9"/>
  <c r="HK423" i="9"/>
  <c r="HI423" i="9"/>
  <c r="HJ423" i="9" s="1"/>
  <c r="HF423" i="9"/>
  <c r="HG423" i="9" s="1"/>
  <c r="FU423" i="9"/>
  <c r="FT423" i="9"/>
  <c r="FS423" i="9"/>
  <c r="FQ423" i="9"/>
  <c r="FR423" i="9" s="1"/>
  <c r="FO423" i="9"/>
  <c r="FN423" i="9"/>
  <c r="FL423" i="9"/>
  <c r="FK423" i="9"/>
  <c r="AX423" i="9"/>
  <c r="AZ423" i="9" s="1"/>
  <c r="AB423" i="9"/>
  <c r="HM422" i="9"/>
  <c r="HW422" i="9" s="1"/>
  <c r="HL422" i="9"/>
  <c r="HK422" i="9"/>
  <c r="HI422" i="9"/>
  <c r="HJ422" i="9" s="1"/>
  <c r="HF422" i="9"/>
  <c r="HG422" i="9" s="1"/>
  <c r="FU422" i="9"/>
  <c r="FT422" i="9"/>
  <c r="FS422" i="9"/>
  <c r="FQ422" i="9"/>
  <c r="FR422" i="9" s="1"/>
  <c r="FN422" i="9"/>
  <c r="FO422" i="9" s="1"/>
  <c r="FL422" i="9"/>
  <c r="FK422" i="9"/>
  <c r="AX422" i="9"/>
  <c r="AZ422" i="9" s="1"/>
  <c r="AB422" i="9"/>
  <c r="HM421" i="9"/>
  <c r="HW421" i="9" s="1"/>
  <c r="HL421" i="9"/>
  <c r="HK421" i="9"/>
  <c r="HI421" i="9"/>
  <c r="HJ421" i="9" s="1"/>
  <c r="HF421" i="9"/>
  <c r="HG421" i="9" s="1"/>
  <c r="AX421" i="9"/>
  <c r="AZ421" i="9" s="1"/>
  <c r="AB421" i="9"/>
  <c r="HM420" i="9"/>
  <c r="HW420" i="9" s="1"/>
  <c r="HL420" i="9"/>
  <c r="HK420" i="9"/>
  <c r="HJ420" i="9"/>
  <c r="HI420" i="9"/>
  <c r="HF420" i="9"/>
  <c r="HG420" i="9" s="1"/>
  <c r="AX420" i="9"/>
  <c r="AZ420" i="9" s="1"/>
  <c r="AB420" i="9"/>
  <c r="HM419" i="9"/>
  <c r="HW419" i="9" s="1"/>
  <c r="HL419" i="9"/>
  <c r="HK419" i="9"/>
  <c r="HI419" i="9"/>
  <c r="HJ419" i="9" s="1"/>
  <c r="HF419" i="9"/>
  <c r="HG419" i="9" s="1"/>
  <c r="BA419" i="9"/>
  <c r="HZ419" i="9" s="1"/>
  <c r="AX419" i="9"/>
  <c r="AZ419" i="9" s="1"/>
  <c r="AB419" i="9"/>
  <c r="HM418" i="9"/>
  <c r="HW418" i="9" s="1"/>
  <c r="HL418" i="9"/>
  <c r="HK418" i="9"/>
  <c r="HI418" i="9"/>
  <c r="HJ418" i="9" s="1"/>
  <c r="HF418" i="9"/>
  <c r="HG418" i="9" s="1"/>
  <c r="AX418" i="9"/>
  <c r="AZ418" i="9" s="1"/>
  <c r="AB418" i="9"/>
  <c r="FU417" i="9"/>
  <c r="FT417" i="9"/>
  <c r="FS417" i="9"/>
  <c r="FQ417" i="9"/>
  <c r="FR417" i="9" s="1"/>
  <c r="FN417" i="9"/>
  <c r="FO417" i="9" s="1"/>
  <c r="FL417" i="9"/>
  <c r="FK417" i="9"/>
  <c r="AX417" i="9"/>
  <c r="AZ417" i="9" s="1"/>
  <c r="AB417" i="9"/>
  <c r="HM416" i="9"/>
  <c r="HW416" i="9" s="1"/>
  <c r="HL416" i="9"/>
  <c r="HK416" i="9"/>
  <c r="HI416" i="9"/>
  <c r="HJ416" i="9" s="1"/>
  <c r="HF416" i="9"/>
  <c r="HG416" i="9" s="1"/>
  <c r="HB416" i="9"/>
  <c r="HA416" i="9"/>
  <c r="GZ416" i="9"/>
  <c r="GX416" i="9"/>
  <c r="GY416" i="9" s="1"/>
  <c r="GU416" i="9"/>
  <c r="GV416" i="9" s="1"/>
  <c r="GQ416" i="9"/>
  <c r="GP416" i="9"/>
  <c r="GO416" i="9"/>
  <c r="GM416" i="9"/>
  <c r="GN416" i="9" s="1"/>
  <c r="GJ416" i="9"/>
  <c r="GK416" i="9" s="1"/>
  <c r="FU416" i="9"/>
  <c r="FT416" i="9"/>
  <c r="FS416" i="9"/>
  <c r="FQ416" i="9"/>
  <c r="FR416" i="9" s="1"/>
  <c r="FN416" i="9"/>
  <c r="FO416" i="9" s="1"/>
  <c r="FL416" i="9"/>
  <c r="FK416" i="9"/>
  <c r="AX416" i="9"/>
  <c r="AZ416" i="9" s="1"/>
  <c r="AB416" i="9"/>
  <c r="HM415" i="9"/>
  <c r="HW415" i="9" s="1"/>
  <c r="HL415" i="9"/>
  <c r="HK415" i="9"/>
  <c r="HI415" i="9"/>
  <c r="HJ415" i="9" s="1"/>
  <c r="HF415" i="9"/>
  <c r="HG415" i="9" s="1"/>
  <c r="HB415" i="9"/>
  <c r="HA415" i="9"/>
  <c r="GZ415" i="9"/>
  <c r="GX415" i="9"/>
  <c r="GY415" i="9" s="1"/>
  <c r="GU415" i="9"/>
  <c r="GV415" i="9" s="1"/>
  <c r="GQ415" i="9"/>
  <c r="GP415" i="9"/>
  <c r="GO415" i="9"/>
  <c r="GM415" i="9"/>
  <c r="GN415" i="9" s="1"/>
  <c r="GJ415" i="9"/>
  <c r="GK415" i="9" s="1"/>
  <c r="FU415" i="9"/>
  <c r="FT415" i="9"/>
  <c r="FS415" i="9"/>
  <c r="FQ415" i="9"/>
  <c r="FR415" i="9" s="1"/>
  <c r="FN415" i="9"/>
  <c r="FO415" i="9" s="1"/>
  <c r="FL415" i="9"/>
  <c r="FK415" i="9"/>
  <c r="AX415" i="9"/>
  <c r="AZ415" i="9" s="1"/>
  <c r="AB415" i="9"/>
  <c r="HM414" i="9"/>
  <c r="HW414" i="9" s="1"/>
  <c r="HL414" i="9"/>
  <c r="HK414" i="9"/>
  <c r="HI414" i="9"/>
  <c r="HJ414" i="9" s="1"/>
  <c r="HF414" i="9"/>
  <c r="HG414" i="9" s="1"/>
  <c r="HB414" i="9"/>
  <c r="HA414" i="9"/>
  <c r="GZ414" i="9"/>
  <c r="GX414" i="9"/>
  <c r="GY414" i="9" s="1"/>
  <c r="GU414" i="9"/>
  <c r="GV414" i="9" s="1"/>
  <c r="GQ414" i="9"/>
  <c r="GP414" i="9"/>
  <c r="GO414" i="9"/>
  <c r="GM414" i="9"/>
  <c r="GN414" i="9" s="1"/>
  <c r="GJ414" i="9"/>
  <c r="GK414" i="9" s="1"/>
  <c r="FU414" i="9"/>
  <c r="FT414" i="9"/>
  <c r="FS414" i="9"/>
  <c r="FQ414" i="9"/>
  <c r="FR414" i="9" s="1"/>
  <c r="FV414" i="9" s="1"/>
  <c r="FN414" i="9"/>
  <c r="FO414" i="9" s="1"/>
  <c r="FL414" i="9"/>
  <c r="FK414" i="9"/>
  <c r="AX414" i="9"/>
  <c r="AZ414" i="9" s="1"/>
  <c r="BB414" i="9" s="1"/>
  <c r="AB414" i="9"/>
  <c r="HM413" i="9"/>
  <c r="HW413" i="9" s="1"/>
  <c r="HL413" i="9"/>
  <c r="HK413" i="9"/>
  <c r="HI413" i="9"/>
  <c r="HJ413" i="9" s="1"/>
  <c r="HF413" i="9"/>
  <c r="HG413" i="9" s="1"/>
  <c r="FU413" i="9"/>
  <c r="FT413" i="9"/>
  <c r="FS413" i="9"/>
  <c r="FR413" i="9"/>
  <c r="FO413" i="9"/>
  <c r="FL413" i="9"/>
  <c r="FK413" i="9"/>
  <c r="AX413" i="9"/>
  <c r="AZ413" i="9" s="1"/>
  <c r="AB413" i="9"/>
  <c r="HM412" i="9"/>
  <c r="HW412" i="9" s="1"/>
  <c r="HL412" i="9"/>
  <c r="HK412" i="9"/>
  <c r="HI412" i="9"/>
  <c r="HJ412" i="9" s="1"/>
  <c r="HF412" i="9"/>
  <c r="HG412" i="9" s="1"/>
  <c r="FU412" i="9"/>
  <c r="FT412" i="9"/>
  <c r="FS412" i="9"/>
  <c r="FR412" i="9"/>
  <c r="FO412" i="9"/>
  <c r="FL412" i="9"/>
  <c r="FK412" i="9"/>
  <c r="AX412" i="9"/>
  <c r="AZ412" i="9" s="1"/>
  <c r="AB412" i="9"/>
  <c r="HM411" i="9"/>
  <c r="HW411" i="9" s="1"/>
  <c r="HL411" i="9"/>
  <c r="HK411" i="9"/>
  <c r="HI411" i="9"/>
  <c r="HJ411" i="9" s="1"/>
  <c r="HF411" i="9"/>
  <c r="HG411" i="9" s="1"/>
  <c r="FU411" i="9"/>
  <c r="FT411" i="9"/>
  <c r="FS411" i="9"/>
  <c r="FR411" i="9"/>
  <c r="FO411" i="9"/>
  <c r="FL411" i="9"/>
  <c r="FK411" i="9"/>
  <c r="AX411" i="9"/>
  <c r="AZ411" i="9" s="1"/>
  <c r="AB411" i="9"/>
  <c r="FU410" i="9"/>
  <c r="FT410" i="9"/>
  <c r="FS410" i="9"/>
  <c r="FQ410" i="9"/>
  <c r="FR410" i="9" s="1"/>
  <c r="FN410" i="9"/>
  <c r="FO410" i="9" s="1"/>
  <c r="FL410" i="9"/>
  <c r="FK410" i="9"/>
  <c r="AX410" i="9"/>
  <c r="AZ410" i="9" s="1"/>
  <c r="AB410" i="9"/>
  <c r="FU409" i="9"/>
  <c r="FT409" i="9"/>
  <c r="FS409" i="9"/>
  <c r="FQ409" i="9"/>
  <c r="FR409" i="9" s="1"/>
  <c r="FN409" i="9"/>
  <c r="FO409" i="9" s="1"/>
  <c r="FL409" i="9"/>
  <c r="FK409" i="9"/>
  <c r="AZ409" i="9"/>
  <c r="BA409" i="9" s="1"/>
  <c r="HZ409" i="9" s="1"/>
  <c r="AX409" i="9"/>
  <c r="AB409" i="9"/>
  <c r="FU408" i="9"/>
  <c r="FT408" i="9"/>
  <c r="FS408" i="9"/>
  <c r="FQ408" i="9"/>
  <c r="FR408" i="9" s="1"/>
  <c r="FN408" i="9"/>
  <c r="FO408" i="9" s="1"/>
  <c r="FL408" i="9"/>
  <c r="FK408" i="9"/>
  <c r="AX408" i="9"/>
  <c r="AZ408" i="9" s="1"/>
  <c r="AB408" i="9"/>
  <c r="FU407" i="9"/>
  <c r="FT407" i="9"/>
  <c r="FS407" i="9"/>
  <c r="FQ407" i="9"/>
  <c r="FR407" i="9" s="1"/>
  <c r="FN407" i="9"/>
  <c r="FO407" i="9" s="1"/>
  <c r="FL407" i="9"/>
  <c r="FK407" i="9"/>
  <c r="AX407" i="9"/>
  <c r="AZ407" i="9" s="1"/>
  <c r="HY407" i="9" s="1"/>
  <c r="AB407" i="9"/>
  <c r="FU406" i="9"/>
  <c r="FT406" i="9"/>
  <c r="FS406" i="9"/>
  <c r="FQ406" i="9"/>
  <c r="FR406" i="9" s="1"/>
  <c r="FN406" i="9"/>
  <c r="FO406" i="9" s="1"/>
  <c r="FL406" i="9"/>
  <c r="FK406" i="9"/>
  <c r="AZ406" i="9"/>
  <c r="AX406" i="9"/>
  <c r="AB406" i="9"/>
  <c r="FU405" i="9"/>
  <c r="FT405" i="9"/>
  <c r="FS405" i="9"/>
  <c r="FQ405" i="9"/>
  <c r="FR405" i="9" s="1"/>
  <c r="FN405" i="9"/>
  <c r="FO405" i="9" s="1"/>
  <c r="FL405" i="9"/>
  <c r="FK405" i="9"/>
  <c r="AX405" i="9"/>
  <c r="AZ405" i="9" s="1"/>
  <c r="AB405" i="9"/>
  <c r="HH404" i="9"/>
  <c r="HI404" i="9" s="1"/>
  <c r="HJ404" i="9" s="1"/>
  <c r="HE404" i="9"/>
  <c r="FU404" i="9"/>
  <c r="FT404" i="9"/>
  <c r="FS404" i="9"/>
  <c r="FQ404" i="9"/>
  <c r="FR404" i="9" s="1"/>
  <c r="FN404" i="9"/>
  <c r="FO404" i="9" s="1"/>
  <c r="FL404" i="9"/>
  <c r="FK404" i="9"/>
  <c r="AX404" i="9"/>
  <c r="AZ404" i="9" s="1"/>
  <c r="AB404" i="9"/>
  <c r="HH403" i="9"/>
  <c r="HL403" i="9" s="1"/>
  <c r="HF403" i="9"/>
  <c r="HG403" i="9" s="1"/>
  <c r="HE403" i="9"/>
  <c r="FU403" i="9"/>
  <c r="FT403" i="9"/>
  <c r="FS403" i="9"/>
  <c r="FQ403" i="9"/>
  <c r="FR403" i="9" s="1"/>
  <c r="FN403" i="9"/>
  <c r="FO403" i="9" s="1"/>
  <c r="FL403" i="9"/>
  <c r="FK403" i="9"/>
  <c r="AX403" i="9"/>
  <c r="AZ403" i="9" s="1"/>
  <c r="AB403" i="9"/>
  <c r="HH402" i="9"/>
  <c r="HI402" i="9" s="1"/>
  <c r="HJ402" i="9" s="1"/>
  <c r="HE402" i="9"/>
  <c r="HF402" i="9" s="1"/>
  <c r="HG402" i="9" s="1"/>
  <c r="FU402" i="9"/>
  <c r="FT402" i="9"/>
  <c r="FS402" i="9"/>
  <c r="FQ402" i="9"/>
  <c r="FR402" i="9" s="1"/>
  <c r="FN402" i="9"/>
  <c r="FO402" i="9" s="1"/>
  <c r="FL402" i="9"/>
  <c r="FK402" i="9"/>
  <c r="AX402" i="9"/>
  <c r="AZ402" i="9" s="1"/>
  <c r="AB402" i="9"/>
  <c r="HH401" i="9"/>
  <c r="HE401" i="9"/>
  <c r="HL401" i="9" s="1"/>
  <c r="FU401" i="9"/>
  <c r="FT401" i="9"/>
  <c r="FS401" i="9"/>
  <c r="FR401" i="9"/>
  <c r="FQ401" i="9"/>
  <c r="FN401" i="9"/>
  <c r="FO401" i="9" s="1"/>
  <c r="FL401" i="9"/>
  <c r="FK401" i="9"/>
  <c r="AX401" i="9"/>
  <c r="AZ401" i="9" s="1"/>
  <c r="AB401" i="9"/>
  <c r="HM400" i="9"/>
  <c r="HW400" i="9" s="1"/>
  <c r="HL400" i="9"/>
  <c r="HK400" i="9"/>
  <c r="HJ400" i="9"/>
  <c r="HG400" i="9"/>
  <c r="FU400" i="9"/>
  <c r="FT400" i="9"/>
  <c r="FS400" i="9"/>
  <c r="FQ400" i="9"/>
  <c r="FR400" i="9" s="1"/>
  <c r="FN400" i="9"/>
  <c r="FO400" i="9" s="1"/>
  <c r="FL400" i="9"/>
  <c r="FK400" i="9"/>
  <c r="AX400" i="9"/>
  <c r="AZ400" i="9" s="1"/>
  <c r="AB400" i="9"/>
  <c r="HM399" i="9"/>
  <c r="HW399" i="9" s="1"/>
  <c r="HL399" i="9"/>
  <c r="HK399" i="9"/>
  <c r="HJ399" i="9"/>
  <c r="HG399" i="9"/>
  <c r="FU399" i="9"/>
  <c r="FT399" i="9"/>
  <c r="FS399" i="9"/>
  <c r="FQ399" i="9"/>
  <c r="FR399" i="9" s="1"/>
  <c r="FN399" i="9"/>
  <c r="FO399" i="9" s="1"/>
  <c r="FL399" i="9"/>
  <c r="FK399" i="9"/>
  <c r="AZ399" i="9"/>
  <c r="AX399" i="9"/>
  <c r="AB399" i="9"/>
  <c r="HM398" i="9"/>
  <c r="HW398" i="9" s="1"/>
  <c r="HL398" i="9"/>
  <c r="HK398" i="9"/>
  <c r="HJ398" i="9"/>
  <c r="HG398" i="9"/>
  <c r="FU398" i="9"/>
  <c r="FT398" i="9"/>
  <c r="FS398" i="9"/>
  <c r="FQ398" i="9"/>
  <c r="FR398" i="9" s="1"/>
  <c r="FN398" i="9"/>
  <c r="FO398" i="9" s="1"/>
  <c r="FL398" i="9"/>
  <c r="FK398" i="9"/>
  <c r="AX398" i="9"/>
  <c r="AZ398" i="9" s="1"/>
  <c r="AB398" i="9"/>
  <c r="HM397" i="9"/>
  <c r="HW397" i="9" s="1"/>
  <c r="HL397" i="9"/>
  <c r="HK397" i="9"/>
  <c r="HJ397" i="9"/>
  <c r="HG397" i="9"/>
  <c r="FU397" i="9"/>
  <c r="FT397" i="9"/>
  <c r="FS397" i="9"/>
  <c r="FQ397" i="9"/>
  <c r="FR397" i="9" s="1"/>
  <c r="FN397" i="9"/>
  <c r="FO397" i="9" s="1"/>
  <c r="FL397" i="9"/>
  <c r="FK397" i="9"/>
  <c r="AX397" i="9"/>
  <c r="AZ397" i="9" s="1"/>
  <c r="BA397" i="9" s="1"/>
  <c r="HZ397" i="9" s="1"/>
  <c r="AB397" i="9"/>
  <c r="HM396" i="9"/>
  <c r="HW396" i="9" s="1"/>
  <c r="HL396" i="9"/>
  <c r="HK396" i="9"/>
  <c r="HJ396" i="9"/>
  <c r="HG396" i="9"/>
  <c r="FU396" i="9"/>
  <c r="FT396" i="9"/>
  <c r="FS396" i="9"/>
  <c r="FQ396" i="9"/>
  <c r="FR396" i="9" s="1"/>
  <c r="FN396" i="9"/>
  <c r="FO396" i="9" s="1"/>
  <c r="FL396" i="9"/>
  <c r="FK396" i="9"/>
  <c r="AX396" i="9"/>
  <c r="AZ396" i="9" s="1"/>
  <c r="AB396" i="9"/>
  <c r="HM395" i="9"/>
  <c r="HW395" i="9" s="1"/>
  <c r="HL395" i="9"/>
  <c r="HK395" i="9"/>
  <c r="HJ395" i="9"/>
  <c r="HG395" i="9"/>
  <c r="FU395" i="9"/>
  <c r="FT395" i="9"/>
  <c r="FS395" i="9"/>
  <c r="FQ395" i="9"/>
  <c r="FR395" i="9" s="1"/>
  <c r="FO395" i="9"/>
  <c r="FN395" i="9"/>
  <c r="FL395" i="9"/>
  <c r="FK395" i="9"/>
  <c r="AZ395" i="9"/>
  <c r="AX395" i="9"/>
  <c r="AB395" i="9"/>
  <c r="HM394" i="9"/>
  <c r="HW394" i="9" s="1"/>
  <c r="HL394" i="9"/>
  <c r="HK394" i="9"/>
  <c r="HJ394" i="9"/>
  <c r="HG394" i="9"/>
  <c r="FU394" i="9"/>
  <c r="FT394" i="9"/>
  <c r="FS394" i="9"/>
  <c r="FQ394" i="9"/>
  <c r="FR394" i="9" s="1"/>
  <c r="FO394" i="9"/>
  <c r="FN394" i="9"/>
  <c r="FL394" i="9"/>
  <c r="FK394" i="9"/>
  <c r="AX394" i="9"/>
  <c r="AZ394" i="9" s="1"/>
  <c r="AB394" i="9"/>
  <c r="HM393" i="9"/>
  <c r="HW393" i="9" s="1"/>
  <c r="HL393" i="9"/>
  <c r="HK393" i="9"/>
  <c r="HJ393" i="9"/>
  <c r="HG393" i="9"/>
  <c r="FU393" i="9"/>
  <c r="FT393" i="9"/>
  <c r="FS393" i="9"/>
  <c r="FQ393" i="9"/>
  <c r="FR393" i="9" s="1"/>
  <c r="FN393" i="9"/>
  <c r="FO393" i="9" s="1"/>
  <c r="FL393" i="9"/>
  <c r="FK393" i="9"/>
  <c r="AX393" i="9"/>
  <c r="AZ393" i="9" s="1"/>
  <c r="BB393" i="9" s="1"/>
  <c r="AB393" i="9"/>
  <c r="HM392" i="9"/>
  <c r="HW392" i="9" s="1"/>
  <c r="HL392" i="9"/>
  <c r="HK392" i="9"/>
  <c r="HJ392" i="9"/>
  <c r="HG392" i="9"/>
  <c r="FU392" i="9"/>
  <c r="FT392" i="9"/>
  <c r="FS392" i="9"/>
  <c r="FQ392" i="9"/>
  <c r="FR392" i="9" s="1"/>
  <c r="FN392" i="9"/>
  <c r="FO392" i="9" s="1"/>
  <c r="FL392" i="9"/>
  <c r="FK392" i="9"/>
  <c r="BA392" i="9"/>
  <c r="HZ392" i="9" s="1"/>
  <c r="AX392" i="9"/>
  <c r="AZ392" i="9" s="1"/>
  <c r="AB392" i="9"/>
  <c r="HM391" i="9"/>
  <c r="HW391" i="9" s="1"/>
  <c r="HL391" i="9"/>
  <c r="HK391" i="9"/>
  <c r="HJ391" i="9"/>
  <c r="HG391" i="9"/>
  <c r="FU391" i="9"/>
  <c r="FT391" i="9"/>
  <c r="FS391" i="9"/>
  <c r="FQ391" i="9"/>
  <c r="FR391" i="9" s="1"/>
  <c r="FN391" i="9"/>
  <c r="FO391" i="9" s="1"/>
  <c r="FL391" i="9"/>
  <c r="FK391" i="9"/>
  <c r="AX391" i="9"/>
  <c r="AZ391" i="9" s="1"/>
  <c r="AB391" i="9"/>
  <c r="HM390" i="9"/>
  <c r="HW390" i="9" s="1"/>
  <c r="HL390" i="9"/>
  <c r="HK390" i="9"/>
  <c r="HJ390" i="9"/>
  <c r="HG390" i="9"/>
  <c r="FU390" i="9"/>
  <c r="FT390" i="9"/>
  <c r="FS390" i="9"/>
  <c r="FQ390" i="9"/>
  <c r="FR390" i="9" s="1"/>
  <c r="FN390" i="9"/>
  <c r="FO390" i="9" s="1"/>
  <c r="FL390" i="9"/>
  <c r="FK390" i="9"/>
  <c r="AX390" i="9"/>
  <c r="AZ390" i="9" s="1"/>
  <c r="BB390" i="9" s="1"/>
  <c r="AB390" i="9"/>
  <c r="HM389" i="9"/>
  <c r="HW389" i="9" s="1"/>
  <c r="HL389" i="9"/>
  <c r="HK389" i="9"/>
  <c r="HJ389" i="9"/>
  <c r="HG389" i="9"/>
  <c r="FU389" i="9"/>
  <c r="FT389" i="9"/>
  <c r="FS389" i="9"/>
  <c r="FQ389" i="9"/>
  <c r="FR389" i="9" s="1"/>
  <c r="FN389" i="9"/>
  <c r="FO389" i="9" s="1"/>
  <c r="FL389" i="9"/>
  <c r="FK389" i="9"/>
  <c r="AX389" i="9"/>
  <c r="AZ389" i="9" s="1"/>
  <c r="AB389" i="9"/>
  <c r="HM388" i="9"/>
  <c r="HW388" i="9" s="1"/>
  <c r="HL388" i="9"/>
  <c r="HK388" i="9"/>
  <c r="HI388" i="9"/>
  <c r="HJ388" i="9" s="1"/>
  <c r="HF388" i="9"/>
  <c r="HG388" i="9" s="1"/>
  <c r="HB388" i="9"/>
  <c r="HA388" i="9"/>
  <c r="GZ388" i="9"/>
  <c r="GX388" i="9"/>
  <c r="GY388" i="9" s="1"/>
  <c r="GU388" i="9"/>
  <c r="GV388" i="9" s="1"/>
  <c r="GL388" i="9"/>
  <c r="GM388" i="9" s="1"/>
  <c r="GN388" i="9" s="1"/>
  <c r="GI388" i="9"/>
  <c r="GJ388" i="9" s="1"/>
  <c r="GK388" i="9" s="1"/>
  <c r="FU388" i="9"/>
  <c r="FT388" i="9"/>
  <c r="FS388" i="9"/>
  <c r="FQ388" i="9"/>
  <c r="FR388" i="9" s="1"/>
  <c r="FN388" i="9"/>
  <c r="FO388" i="9" s="1"/>
  <c r="FL388" i="9"/>
  <c r="FK388" i="9"/>
  <c r="AX388" i="9"/>
  <c r="AZ388" i="9" s="1"/>
  <c r="AD388" i="9"/>
  <c r="AB388" i="9"/>
  <c r="HM387" i="9"/>
  <c r="HW387" i="9" s="1"/>
  <c r="HL387" i="9"/>
  <c r="HK387" i="9"/>
  <c r="HI387" i="9"/>
  <c r="HJ387" i="9" s="1"/>
  <c r="HF387" i="9"/>
  <c r="HG387" i="9" s="1"/>
  <c r="HB387" i="9"/>
  <c r="HA387" i="9"/>
  <c r="GZ387" i="9"/>
  <c r="GX387" i="9"/>
  <c r="GY387" i="9" s="1"/>
  <c r="GU387" i="9"/>
  <c r="GV387" i="9" s="1"/>
  <c r="GL387" i="9"/>
  <c r="GI387" i="9"/>
  <c r="GJ387" i="9" s="1"/>
  <c r="GK387" i="9" s="1"/>
  <c r="FU387" i="9"/>
  <c r="FT387" i="9"/>
  <c r="FS387" i="9"/>
  <c r="FQ387" i="9"/>
  <c r="FR387" i="9" s="1"/>
  <c r="FN387" i="9"/>
  <c r="FO387" i="9" s="1"/>
  <c r="FL387" i="9"/>
  <c r="FK387" i="9"/>
  <c r="AX387" i="9"/>
  <c r="AZ387" i="9" s="1"/>
  <c r="BA387" i="9" s="1"/>
  <c r="HZ387" i="9" s="1"/>
  <c r="AD387" i="9"/>
  <c r="AB387" i="9"/>
  <c r="HM386" i="9"/>
  <c r="HW386" i="9" s="1"/>
  <c r="HL386" i="9"/>
  <c r="HK386" i="9"/>
  <c r="HI386" i="9"/>
  <c r="HJ386" i="9" s="1"/>
  <c r="HF386" i="9"/>
  <c r="HG386" i="9" s="1"/>
  <c r="HB386" i="9"/>
  <c r="HA386" i="9"/>
  <c r="GZ386" i="9"/>
  <c r="GX386" i="9"/>
  <c r="GY386" i="9" s="1"/>
  <c r="HC386" i="9" s="1"/>
  <c r="GU386" i="9"/>
  <c r="GV386" i="9" s="1"/>
  <c r="GL386" i="9"/>
  <c r="GM386" i="9" s="1"/>
  <c r="GN386" i="9" s="1"/>
  <c r="GI386" i="9"/>
  <c r="GJ386" i="9" s="1"/>
  <c r="GK386" i="9" s="1"/>
  <c r="FU386" i="9"/>
  <c r="FT386" i="9"/>
  <c r="FS386" i="9"/>
  <c r="FQ386" i="9"/>
  <c r="FR386" i="9" s="1"/>
  <c r="FV386" i="9" s="1"/>
  <c r="FN386" i="9"/>
  <c r="FO386" i="9" s="1"/>
  <c r="FL386" i="9"/>
  <c r="FK386" i="9"/>
  <c r="AX386" i="9"/>
  <c r="AZ386" i="9" s="1"/>
  <c r="BA386" i="9" s="1"/>
  <c r="HZ386" i="9" s="1"/>
  <c r="AD386" i="9"/>
  <c r="AB386" i="9"/>
  <c r="HM385" i="9"/>
  <c r="HW385" i="9" s="1"/>
  <c r="HL385" i="9"/>
  <c r="HK385" i="9"/>
  <c r="HI385" i="9"/>
  <c r="HJ385" i="9" s="1"/>
  <c r="HF385" i="9"/>
  <c r="HG385" i="9" s="1"/>
  <c r="HB385" i="9"/>
  <c r="HA385" i="9"/>
  <c r="GZ385" i="9"/>
  <c r="GX385" i="9"/>
  <c r="GY385" i="9" s="1"/>
  <c r="GU385" i="9"/>
  <c r="GV385" i="9" s="1"/>
  <c r="GL385" i="9"/>
  <c r="GI385" i="9"/>
  <c r="GJ385" i="9" s="1"/>
  <c r="GK385" i="9" s="1"/>
  <c r="FU385" i="9"/>
  <c r="FT385" i="9"/>
  <c r="FS385" i="9"/>
  <c r="FQ385" i="9"/>
  <c r="FR385" i="9" s="1"/>
  <c r="FV385" i="9" s="1"/>
  <c r="FN385" i="9"/>
  <c r="FO385" i="9" s="1"/>
  <c r="FL385" i="9"/>
  <c r="FK385" i="9"/>
  <c r="AX385" i="9"/>
  <c r="AZ385" i="9" s="1"/>
  <c r="BA385" i="9" s="1"/>
  <c r="HZ385" i="9" s="1"/>
  <c r="AD385" i="9"/>
  <c r="AB385" i="9"/>
  <c r="HM384" i="9"/>
  <c r="HW384" i="9" s="1"/>
  <c r="HL384" i="9"/>
  <c r="HK384" i="9"/>
  <c r="HI384" i="9"/>
  <c r="HJ384" i="9" s="1"/>
  <c r="HF384" i="9"/>
  <c r="HG384" i="9" s="1"/>
  <c r="HB384" i="9"/>
  <c r="HA384" i="9"/>
  <c r="GZ384" i="9"/>
  <c r="GX384" i="9"/>
  <c r="GY384" i="9" s="1"/>
  <c r="GU384" i="9"/>
  <c r="GV384" i="9" s="1"/>
  <c r="GL384" i="9"/>
  <c r="GO384" i="9" s="1"/>
  <c r="GI384" i="9"/>
  <c r="GJ384" i="9" s="1"/>
  <c r="GK384" i="9" s="1"/>
  <c r="FU384" i="9"/>
  <c r="FT384" i="9"/>
  <c r="FS384" i="9"/>
  <c r="FQ384" i="9"/>
  <c r="FR384" i="9" s="1"/>
  <c r="FN384" i="9"/>
  <c r="FO384" i="9" s="1"/>
  <c r="FV384" i="9" s="1"/>
  <c r="FL384" i="9"/>
  <c r="FK384" i="9"/>
  <c r="AX384" i="9"/>
  <c r="AZ384" i="9" s="1"/>
  <c r="AD384" i="9"/>
  <c r="AB384" i="9"/>
  <c r="HM383" i="9"/>
  <c r="HW383" i="9" s="1"/>
  <c r="HL383" i="9"/>
  <c r="HK383" i="9"/>
  <c r="HI383" i="9"/>
  <c r="HJ383" i="9" s="1"/>
  <c r="HF383" i="9"/>
  <c r="HG383" i="9" s="1"/>
  <c r="HB383" i="9"/>
  <c r="HA383" i="9"/>
  <c r="GZ383" i="9"/>
  <c r="GX383" i="9"/>
  <c r="GY383" i="9" s="1"/>
  <c r="GU383" i="9"/>
  <c r="GV383" i="9" s="1"/>
  <c r="GL383" i="9"/>
  <c r="GQ383" i="9" s="1"/>
  <c r="GI383" i="9"/>
  <c r="GJ383" i="9" s="1"/>
  <c r="GK383" i="9" s="1"/>
  <c r="FU383" i="9"/>
  <c r="FT383" i="9"/>
  <c r="FS383" i="9"/>
  <c r="FQ383" i="9"/>
  <c r="FR383" i="9" s="1"/>
  <c r="FN383" i="9"/>
  <c r="FO383" i="9" s="1"/>
  <c r="FL383" i="9"/>
  <c r="FK383" i="9"/>
  <c r="AX383" i="9"/>
  <c r="AZ383" i="9" s="1"/>
  <c r="AD383" i="9"/>
  <c r="AB383" i="9"/>
  <c r="HM382" i="9"/>
  <c r="HW382" i="9" s="1"/>
  <c r="HL382" i="9"/>
  <c r="HK382" i="9"/>
  <c r="HI382" i="9"/>
  <c r="HJ382" i="9" s="1"/>
  <c r="HF382" i="9"/>
  <c r="HG382" i="9" s="1"/>
  <c r="HB382" i="9"/>
  <c r="HA382" i="9"/>
  <c r="GZ382" i="9"/>
  <c r="GX382" i="9"/>
  <c r="GY382" i="9" s="1"/>
  <c r="GU382" i="9"/>
  <c r="GV382" i="9" s="1"/>
  <c r="GL382" i="9"/>
  <c r="GM382" i="9" s="1"/>
  <c r="GN382" i="9" s="1"/>
  <c r="GI382" i="9"/>
  <c r="GJ382" i="9" s="1"/>
  <c r="GK382" i="9" s="1"/>
  <c r="FU382" i="9"/>
  <c r="FT382" i="9"/>
  <c r="FS382" i="9"/>
  <c r="FQ382" i="9"/>
  <c r="FR382" i="9" s="1"/>
  <c r="FN382" i="9"/>
  <c r="FO382" i="9" s="1"/>
  <c r="FL382" i="9"/>
  <c r="FK382" i="9"/>
  <c r="AX382" i="9"/>
  <c r="AZ382" i="9" s="1"/>
  <c r="AD382" i="9"/>
  <c r="AB382" i="9"/>
  <c r="HM381" i="9"/>
  <c r="HW381" i="9" s="1"/>
  <c r="HL381" i="9"/>
  <c r="HK381" i="9"/>
  <c r="HI381" i="9"/>
  <c r="HJ381" i="9" s="1"/>
  <c r="HF381" i="9"/>
  <c r="HG381" i="9" s="1"/>
  <c r="HB381" i="9"/>
  <c r="HA381" i="9"/>
  <c r="GZ381" i="9"/>
  <c r="GX381" i="9"/>
  <c r="GY381" i="9" s="1"/>
  <c r="GU381" i="9"/>
  <c r="GV381" i="9" s="1"/>
  <c r="GL381" i="9"/>
  <c r="GM381" i="9" s="1"/>
  <c r="GN381" i="9" s="1"/>
  <c r="GI381" i="9"/>
  <c r="FU381" i="9"/>
  <c r="FT381" i="9"/>
  <c r="FS381" i="9"/>
  <c r="FQ381" i="9"/>
  <c r="FR381" i="9" s="1"/>
  <c r="FN381" i="9"/>
  <c r="FO381" i="9" s="1"/>
  <c r="FL381" i="9"/>
  <c r="FK381" i="9"/>
  <c r="AX381" i="9"/>
  <c r="AZ381" i="9" s="1"/>
  <c r="BA381" i="9" s="1"/>
  <c r="HZ381" i="9" s="1"/>
  <c r="AD381" i="9"/>
  <c r="AB381" i="9"/>
  <c r="HM380" i="9"/>
  <c r="HW380" i="9" s="1"/>
  <c r="HL380" i="9"/>
  <c r="HK380" i="9"/>
  <c r="HI380" i="9"/>
  <c r="HJ380" i="9" s="1"/>
  <c r="HF380" i="9"/>
  <c r="HG380" i="9" s="1"/>
  <c r="HB380" i="9"/>
  <c r="HA380" i="9"/>
  <c r="GZ380" i="9"/>
  <c r="GX380" i="9"/>
  <c r="GY380" i="9" s="1"/>
  <c r="GU380" i="9"/>
  <c r="GV380" i="9" s="1"/>
  <c r="GL380" i="9"/>
  <c r="GM380" i="9" s="1"/>
  <c r="GN380" i="9" s="1"/>
  <c r="GI380" i="9"/>
  <c r="GJ380" i="9" s="1"/>
  <c r="GK380" i="9" s="1"/>
  <c r="FU380" i="9"/>
  <c r="FT380" i="9"/>
  <c r="FS380" i="9"/>
  <c r="FQ380" i="9"/>
  <c r="FR380" i="9" s="1"/>
  <c r="FN380" i="9"/>
  <c r="FO380" i="9" s="1"/>
  <c r="FL380" i="9"/>
  <c r="FK380" i="9"/>
  <c r="AX380" i="9"/>
  <c r="AZ380" i="9" s="1"/>
  <c r="AD380" i="9"/>
  <c r="AB380" i="9"/>
  <c r="HM379" i="9"/>
  <c r="HW379" i="9" s="1"/>
  <c r="HL379" i="9"/>
  <c r="HK379" i="9"/>
  <c r="HI379" i="9"/>
  <c r="HJ379" i="9" s="1"/>
  <c r="HF379" i="9"/>
  <c r="HG379" i="9" s="1"/>
  <c r="HB379" i="9"/>
  <c r="HA379" i="9"/>
  <c r="GZ379" i="9"/>
  <c r="GX379" i="9"/>
  <c r="GY379" i="9" s="1"/>
  <c r="GU379" i="9"/>
  <c r="GV379" i="9" s="1"/>
  <c r="GL379" i="9"/>
  <c r="GP379" i="9" s="1"/>
  <c r="GI379" i="9"/>
  <c r="GJ379" i="9" s="1"/>
  <c r="GK379" i="9" s="1"/>
  <c r="FU379" i="9"/>
  <c r="FT379" i="9"/>
  <c r="FS379" i="9"/>
  <c r="FQ379" i="9"/>
  <c r="FR379" i="9" s="1"/>
  <c r="FN379" i="9"/>
  <c r="FO379" i="9" s="1"/>
  <c r="FL379" i="9"/>
  <c r="FK379" i="9"/>
  <c r="AX379" i="9"/>
  <c r="AZ379" i="9" s="1"/>
  <c r="BA379" i="9" s="1"/>
  <c r="HZ379" i="9" s="1"/>
  <c r="AD379" i="9"/>
  <c r="AB379" i="9"/>
  <c r="GY378" i="9"/>
  <c r="GV378" i="9"/>
  <c r="FU378" i="9"/>
  <c r="FT378" i="9"/>
  <c r="FS378" i="9"/>
  <c r="FR378" i="9"/>
  <c r="FO378" i="9"/>
  <c r="FL378" i="9"/>
  <c r="FK378" i="9"/>
  <c r="AX378" i="9"/>
  <c r="AZ378" i="9" s="1"/>
  <c r="AB378" i="9"/>
  <c r="HB377" i="9"/>
  <c r="HA377" i="9"/>
  <c r="GZ377" i="9"/>
  <c r="GY377" i="9"/>
  <c r="GV377" i="9"/>
  <c r="GQ377" i="9"/>
  <c r="GP377" i="9"/>
  <c r="GO377" i="9"/>
  <c r="GN377" i="9"/>
  <c r="GK377" i="9"/>
  <c r="FU377" i="9"/>
  <c r="FT377" i="9"/>
  <c r="FS377" i="9"/>
  <c r="FR377" i="9"/>
  <c r="FO377" i="9"/>
  <c r="FL377" i="9"/>
  <c r="FK377" i="9"/>
  <c r="AX377" i="9"/>
  <c r="AZ377" i="9" s="1"/>
  <c r="AB377" i="9"/>
  <c r="HB376" i="9"/>
  <c r="HA376" i="9"/>
  <c r="GZ376" i="9"/>
  <c r="GY376" i="9"/>
  <c r="HC376" i="9" s="1"/>
  <c r="GV376" i="9"/>
  <c r="GQ376" i="9"/>
  <c r="GP376" i="9"/>
  <c r="GO376" i="9"/>
  <c r="GN376" i="9"/>
  <c r="GK376" i="9"/>
  <c r="FU376" i="9"/>
  <c r="FT376" i="9"/>
  <c r="FS376" i="9"/>
  <c r="FR376" i="9"/>
  <c r="FO376" i="9"/>
  <c r="FL376" i="9"/>
  <c r="FK376" i="9"/>
  <c r="AX376" i="9"/>
  <c r="AZ376" i="9" s="1"/>
  <c r="HY376" i="9" s="1"/>
  <c r="AB376" i="9"/>
  <c r="HB375" i="9"/>
  <c r="HA375" i="9"/>
  <c r="GZ375" i="9"/>
  <c r="GY375" i="9"/>
  <c r="HC375" i="9" s="1"/>
  <c r="GV375" i="9"/>
  <c r="GQ375" i="9"/>
  <c r="GP375" i="9"/>
  <c r="GO375" i="9"/>
  <c r="GN375" i="9"/>
  <c r="GR375" i="9" s="1"/>
  <c r="GK375" i="9"/>
  <c r="FU375" i="9"/>
  <c r="FT375" i="9"/>
  <c r="FS375" i="9"/>
  <c r="FR375" i="9"/>
  <c r="FO375" i="9"/>
  <c r="FL375" i="9"/>
  <c r="FK375" i="9"/>
  <c r="AX375" i="9"/>
  <c r="AZ375" i="9" s="1"/>
  <c r="AB375" i="9"/>
  <c r="HB374" i="9"/>
  <c r="HA374" i="9"/>
  <c r="GZ374" i="9"/>
  <c r="GY374" i="9"/>
  <c r="GV374" i="9"/>
  <c r="GQ374" i="9"/>
  <c r="GP374" i="9"/>
  <c r="GO374" i="9"/>
  <c r="GN374" i="9"/>
  <c r="GR374" i="9" s="1"/>
  <c r="GK374" i="9"/>
  <c r="FU374" i="9"/>
  <c r="FT374" i="9"/>
  <c r="FS374" i="9"/>
  <c r="FR374" i="9"/>
  <c r="FV374" i="9" s="1"/>
  <c r="FO374" i="9"/>
  <c r="FL374" i="9"/>
  <c r="FK374" i="9"/>
  <c r="AX374" i="9"/>
  <c r="AZ374" i="9" s="1"/>
  <c r="AB374" i="9"/>
  <c r="HB373" i="9"/>
  <c r="HA373" i="9"/>
  <c r="GZ373" i="9"/>
  <c r="GY373" i="9"/>
  <c r="GV373" i="9"/>
  <c r="GQ373" i="9"/>
  <c r="GP373" i="9"/>
  <c r="GO373" i="9"/>
  <c r="GN373" i="9"/>
  <c r="GK373" i="9"/>
  <c r="FU373" i="9"/>
  <c r="FT373" i="9"/>
  <c r="FS373" i="9"/>
  <c r="FR373" i="9"/>
  <c r="FO373" i="9"/>
  <c r="FL373" i="9"/>
  <c r="FK373" i="9"/>
  <c r="AX373" i="9"/>
  <c r="AZ373" i="9" s="1"/>
  <c r="AB373" i="9"/>
  <c r="HM372" i="9"/>
  <c r="HW372" i="9" s="1"/>
  <c r="HL372" i="9"/>
  <c r="HK372" i="9"/>
  <c r="HI372" i="9"/>
  <c r="HJ372" i="9" s="1"/>
  <c r="HF372" i="9"/>
  <c r="HG372" i="9" s="1"/>
  <c r="AX372" i="9"/>
  <c r="AZ372" i="9" s="1"/>
  <c r="AB372" i="9"/>
  <c r="HM371" i="9"/>
  <c r="HW371" i="9" s="1"/>
  <c r="HL371" i="9"/>
  <c r="HK371" i="9"/>
  <c r="HI371" i="9"/>
  <c r="HJ371" i="9" s="1"/>
  <c r="HF371" i="9"/>
  <c r="HG371" i="9" s="1"/>
  <c r="AX371" i="9"/>
  <c r="AZ371" i="9" s="1"/>
  <c r="AB371" i="9"/>
  <c r="HM370" i="9"/>
  <c r="HW370" i="9" s="1"/>
  <c r="HL370" i="9"/>
  <c r="HK370" i="9"/>
  <c r="HI370" i="9"/>
  <c r="HJ370" i="9" s="1"/>
  <c r="HF370" i="9"/>
  <c r="HG370" i="9" s="1"/>
  <c r="AX370" i="9"/>
  <c r="AZ370" i="9" s="1"/>
  <c r="AB370" i="9"/>
  <c r="HM369" i="9"/>
  <c r="HW369" i="9" s="1"/>
  <c r="HL369" i="9"/>
  <c r="HK369" i="9"/>
  <c r="HI369" i="9"/>
  <c r="HJ369" i="9" s="1"/>
  <c r="HF369" i="9"/>
  <c r="HG369" i="9" s="1"/>
  <c r="AX369" i="9"/>
  <c r="AZ369" i="9" s="1"/>
  <c r="AB369" i="9"/>
  <c r="HM368" i="9"/>
  <c r="HW368" i="9" s="1"/>
  <c r="HL368" i="9"/>
  <c r="HK368" i="9"/>
  <c r="HI368" i="9"/>
  <c r="HJ368" i="9" s="1"/>
  <c r="HF368" i="9"/>
  <c r="HG368" i="9" s="1"/>
  <c r="AX368" i="9"/>
  <c r="AZ368" i="9" s="1"/>
  <c r="AB368" i="9"/>
  <c r="HM367" i="9"/>
  <c r="HW367" i="9" s="1"/>
  <c r="HL367" i="9"/>
  <c r="HK367" i="9"/>
  <c r="HI367" i="9"/>
  <c r="HJ367" i="9" s="1"/>
  <c r="HF367" i="9"/>
  <c r="HG367" i="9" s="1"/>
  <c r="AX367" i="9"/>
  <c r="AZ367" i="9" s="1"/>
  <c r="AB367" i="9"/>
  <c r="HM366" i="9"/>
  <c r="HW366" i="9" s="1"/>
  <c r="HL366" i="9"/>
  <c r="HK366" i="9"/>
  <c r="HI366" i="9"/>
  <c r="HJ366" i="9" s="1"/>
  <c r="HF366" i="9"/>
  <c r="HG366" i="9" s="1"/>
  <c r="AX366" i="9"/>
  <c r="AZ366" i="9" s="1"/>
  <c r="AB366" i="9"/>
  <c r="HM365" i="9"/>
  <c r="HW365" i="9" s="1"/>
  <c r="HL365" i="9"/>
  <c r="HK365" i="9"/>
  <c r="HJ365" i="9"/>
  <c r="HI365" i="9"/>
  <c r="HF365" i="9"/>
  <c r="HG365" i="9" s="1"/>
  <c r="AX365" i="9"/>
  <c r="AZ365" i="9" s="1"/>
  <c r="AB365" i="9"/>
  <c r="HM364" i="9"/>
  <c r="HW364" i="9" s="1"/>
  <c r="HL364" i="9"/>
  <c r="HK364" i="9"/>
  <c r="HJ364" i="9"/>
  <c r="HN364" i="9" s="1"/>
  <c r="HG364" i="9"/>
  <c r="FU364" i="9"/>
  <c r="FT364" i="9"/>
  <c r="FS364" i="9"/>
  <c r="FR364" i="9"/>
  <c r="FO364" i="9"/>
  <c r="FL364" i="9"/>
  <c r="FK364" i="9"/>
  <c r="AX364" i="9"/>
  <c r="AZ364" i="9" s="1"/>
  <c r="BB364" i="9" s="1"/>
  <c r="AB364" i="9"/>
  <c r="HM363" i="9"/>
  <c r="HW363" i="9" s="1"/>
  <c r="HL363" i="9"/>
  <c r="HK363" i="9"/>
  <c r="HJ363" i="9"/>
  <c r="HG363" i="9"/>
  <c r="FU363" i="9"/>
  <c r="FT363" i="9"/>
  <c r="FS363" i="9"/>
  <c r="FR363" i="9"/>
  <c r="FO363" i="9"/>
  <c r="FL363" i="9"/>
  <c r="FK363" i="9"/>
  <c r="AX363" i="9"/>
  <c r="AZ363" i="9" s="1"/>
  <c r="AB363" i="9"/>
  <c r="HM362" i="9"/>
  <c r="HW362" i="9" s="1"/>
  <c r="HL362" i="9"/>
  <c r="HK362" i="9"/>
  <c r="HJ362" i="9"/>
  <c r="HG362" i="9"/>
  <c r="HN362" i="9" s="1"/>
  <c r="FU362" i="9"/>
  <c r="FT362" i="9"/>
  <c r="FS362" i="9"/>
  <c r="FR362" i="9"/>
  <c r="FV362" i="9" s="1"/>
  <c r="FO362" i="9"/>
  <c r="FL362" i="9"/>
  <c r="FK362" i="9"/>
  <c r="BA362" i="9"/>
  <c r="HZ362" i="9" s="1"/>
  <c r="AX362" i="9"/>
  <c r="AZ362" i="9" s="1"/>
  <c r="AB362" i="9"/>
  <c r="GQ361" i="9"/>
  <c r="GP361" i="9"/>
  <c r="GO361" i="9"/>
  <c r="GN361" i="9"/>
  <c r="GK361" i="9"/>
  <c r="FU361" i="9"/>
  <c r="FT361" i="9"/>
  <c r="FS361" i="9"/>
  <c r="FR361" i="9"/>
  <c r="FO361" i="9"/>
  <c r="FL361" i="9"/>
  <c r="FK361" i="9"/>
  <c r="DY361" i="9"/>
  <c r="ES361" i="9" s="1"/>
  <c r="DS361" i="9"/>
  <c r="DE361" i="9"/>
  <c r="AB361" i="9"/>
  <c r="GQ360" i="9"/>
  <c r="GP360" i="9"/>
  <c r="GO360" i="9"/>
  <c r="GN360" i="9"/>
  <c r="GK360" i="9"/>
  <c r="FU360" i="9"/>
  <c r="FT360" i="9"/>
  <c r="FS360" i="9"/>
  <c r="FR360" i="9"/>
  <c r="FO360" i="9"/>
  <c r="FL360" i="9"/>
  <c r="FK360" i="9"/>
  <c r="DY360" i="9"/>
  <c r="ES360" i="9" s="1"/>
  <c r="ET360" i="9" s="1"/>
  <c r="DE360" i="9"/>
  <c r="AB360" i="9"/>
  <c r="GQ359" i="9"/>
  <c r="GP359" i="9"/>
  <c r="GO359" i="9"/>
  <c r="GN359" i="9"/>
  <c r="GR359" i="9" s="1"/>
  <c r="GK359" i="9"/>
  <c r="FU359" i="9"/>
  <c r="FT359" i="9"/>
  <c r="FS359" i="9"/>
  <c r="FR359" i="9"/>
  <c r="FO359" i="9"/>
  <c r="FL359" i="9"/>
  <c r="FK359" i="9"/>
  <c r="DY359" i="9"/>
  <c r="ES359" i="9" s="1"/>
  <c r="DE359" i="9"/>
  <c r="DS359" i="9" s="1"/>
  <c r="DT359" i="9" s="1"/>
  <c r="AB359" i="9"/>
  <c r="GQ358" i="9"/>
  <c r="GP358" i="9"/>
  <c r="GO358" i="9"/>
  <c r="GN358" i="9"/>
  <c r="GK358" i="9"/>
  <c r="FU358" i="9"/>
  <c r="FT358" i="9"/>
  <c r="FS358" i="9"/>
  <c r="FR358" i="9"/>
  <c r="FO358" i="9"/>
  <c r="FL358" i="9"/>
  <c r="FK358" i="9"/>
  <c r="DY358" i="9"/>
  <c r="ES358" i="9" s="1"/>
  <c r="DE358" i="9"/>
  <c r="DS358" i="9" s="1"/>
  <c r="AB358" i="9"/>
  <c r="GQ357" i="9"/>
  <c r="GP357" i="9"/>
  <c r="GO357" i="9"/>
  <c r="GN357" i="9"/>
  <c r="GK357" i="9"/>
  <c r="FU357" i="9"/>
  <c r="FT357" i="9"/>
  <c r="FS357" i="9"/>
  <c r="FR357" i="9"/>
  <c r="FO357" i="9"/>
  <c r="FL357" i="9"/>
  <c r="FK357" i="9"/>
  <c r="DY357" i="9"/>
  <c r="ES357" i="9" s="1"/>
  <c r="EU357" i="9" s="1"/>
  <c r="DE357" i="9"/>
  <c r="AB357" i="9"/>
  <c r="GQ356" i="9"/>
  <c r="GP356" i="9"/>
  <c r="GO356" i="9"/>
  <c r="GN356" i="9"/>
  <c r="GK356" i="9"/>
  <c r="FU356" i="9"/>
  <c r="FT356" i="9"/>
  <c r="FS356" i="9"/>
  <c r="FR356" i="9"/>
  <c r="FO356" i="9"/>
  <c r="FL356" i="9"/>
  <c r="FK356" i="9"/>
  <c r="DY356" i="9"/>
  <c r="ES356" i="9" s="1"/>
  <c r="DE356" i="9"/>
  <c r="DS356" i="9" s="1"/>
  <c r="DT356" i="9" s="1"/>
  <c r="AB356" i="9"/>
  <c r="GQ355" i="9"/>
  <c r="GP355" i="9"/>
  <c r="GO355" i="9"/>
  <c r="GN355" i="9"/>
  <c r="GR355" i="9" s="1"/>
  <c r="GK355" i="9"/>
  <c r="FU355" i="9"/>
  <c r="FT355" i="9"/>
  <c r="FS355" i="9"/>
  <c r="FR355" i="9"/>
  <c r="FO355" i="9"/>
  <c r="FL355" i="9"/>
  <c r="FK355" i="9"/>
  <c r="DY355" i="9"/>
  <c r="ES355" i="9" s="1"/>
  <c r="DE355" i="9"/>
  <c r="DS355" i="9" s="1"/>
  <c r="AB355" i="9"/>
  <c r="GQ354" i="9"/>
  <c r="GP354" i="9"/>
  <c r="GO354" i="9"/>
  <c r="GN354" i="9"/>
  <c r="GK354" i="9"/>
  <c r="FU354" i="9"/>
  <c r="FT354" i="9"/>
  <c r="FS354" i="9"/>
  <c r="FR354" i="9"/>
  <c r="FO354" i="9"/>
  <c r="FL354" i="9"/>
  <c r="FK354" i="9"/>
  <c r="DY354" i="9"/>
  <c r="ES354" i="9" s="1"/>
  <c r="DE354" i="9"/>
  <c r="DS354" i="9" s="1"/>
  <c r="AB354" i="9"/>
  <c r="GQ353" i="9"/>
  <c r="GP353" i="9"/>
  <c r="GO353" i="9"/>
  <c r="GN353" i="9"/>
  <c r="GK353" i="9"/>
  <c r="FU353" i="9"/>
  <c r="FT353" i="9"/>
  <c r="FS353" i="9"/>
  <c r="FR353" i="9"/>
  <c r="FO353" i="9"/>
  <c r="FV353" i="9" s="1"/>
  <c r="FL353" i="9"/>
  <c r="FK353" i="9"/>
  <c r="DY353" i="9"/>
  <c r="ES353" i="9" s="1"/>
  <c r="EU353" i="9" s="1"/>
  <c r="DE353" i="9"/>
  <c r="AB353" i="9"/>
  <c r="GQ352" i="9"/>
  <c r="GP352" i="9"/>
  <c r="GO352" i="9"/>
  <c r="GN352" i="9"/>
  <c r="GK352" i="9"/>
  <c r="FU352" i="9"/>
  <c r="FT352" i="9"/>
  <c r="FS352" i="9"/>
  <c r="FR352" i="9"/>
  <c r="FO352" i="9"/>
  <c r="FL352" i="9"/>
  <c r="FK352" i="9"/>
  <c r="DY352" i="9"/>
  <c r="ES352" i="9" s="1"/>
  <c r="ET352" i="9" s="1"/>
  <c r="DE352" i="9"/>
  <c r="DS352" i="9" s="1"/>
  <c r="AB352" i="9"/>
  <c r="GQ351" i="9"/>
  <c r="GP351" i="9"/>
  <c r="GO351" i="9"/>
  <c r="GN351" i="9"/>
  <c r="GK351" i="9"/>
  <c r="FU351" i="9"/>
  <c r="FT351" i="9"/>
  <c r="FS351" i="9"/>
  <c r="FR351" i="9"/>
  <c r="FO351" i="9"/>
  <c r="FL351" i="9"/>
  <c r="FK351" i="9"/>
  <c r="DY351" i="9"/>
  <c r="ES351" i="9" s="1"/>
  <c r="DE351" i="9"/>
  <c r="DS351" i="9" s="1"/>
  <c r="AB351" i="9"/>
  <c r="GQ350" i="9"/>
  <c r="GP350" i="9"/>
  <c r="GO350" i="9"/>
  <c r="GN350" i="9"/>
  <c r="GK350" i="9"/>
  <c r="FU350" i="9"/>
  <c r="FT350" i="9"/>
  <c r="FS350" i="9"/>
  <c r="FR350" i="9"/>
  <c r="FV350" i="9" s="1"/>
  <c r="FO350" i="9"/>
  <c r="FL350" i="9"/>
  <c r="FK350" i="9"/>
  <c r="DY350" i="9"/>
  <c r="ES350" i="9" s="1"/>
  <c r="DE350" i="9"/>
  <c r="EW350" i="9" s="1"/>
  <c r="HY350" i="9" s="1"/>
  <c r="AB350" i="9"/>
  <c r="GQ349" i="9"/>
  <c r="GP349" i="9"/>
  <c r="GO349" i="9"/>
  <c r="GN349" i="9"/>
  <c r="GR349" i="9" s="1"/>
  <c r="GK349" i="9"/>
  <c r="FU349" i="9"/>
  <c r="FT349" i="9"/>
  <c r="FS349" i="9"/>
  <c r="FR349" i="9"/>
  <c r="FO349" i="9"/>
  <c r="FL349" i="9"/>
  <c r="FK349" i="9"/>
  <c r="DY349" i="9"/>
  <c r="ES349" i="9" s="1"/>
  <c r="DE349" i="9"/>
  <c r="DS349" i="9" s="1"/>
  <c r="DU349" i="9" s="1"/>
  <c r="AB349" i="9"/>
  <c r="GQ348" i="9"/>
  <c r="GP348" i="9"/>
  <c r="GO348" i="9"/>
  <c r="GN348" i="9"/>
  <c r="GK348" i="9"/>
  <c r="FU348" i="9"/>
  <c r="FT348" i="9"/>
  <c r="FS348" i="9"/>
  <c r="FR348" i="9"/>
  <c r="FO348" i="9"/>
  <c r="FL348" i="9"/>
  <c r="FK348" i="9"/>
  <c r="DY348" i="9"/>
  <c r="ES348" i="9" s="1"/>
  <c r="DE348" i="9"/>
  <c r="DS348" i="9" s="1"/>
  <c r="DT348" i="9" s="1"/>
  <c r="AB348" i="9"/>
  <c r="GQ347" i="9"/>
  <c r="GP347" i="9"/>
  <c r="GO347" i="9"/>
  <c r="GN347" i="9"/>
  <c r="GK347" i="9"/>
  <c r="FU347" i="9"/>
  <c r="FT347" i="9"/>
  <c r="FS347" i="9"/>
  <c r="FR347" i="9"/>
  <c r="FO347" i="9"/>
  <c r="FL347" i="9"/>
  <c r="FK347" i="9"/>
  <c r="DY347" i="9"/>
  <c r="ES347" i="9" s="1"/>
  <c r="DE347" i="9"/>
  <c r="DS347" i="9" s="1"/>
  <c r="AB347" i="9"/>
  <c r="GQ346" i="9"/>
  <c r="GP346" i="9"/>
  <c r="GO346" i="9"/>
  <c r="GN346" i="9"/>
  <c r="GK346" i="9"/>
  <c r="FU346" i="9"/>
  <c r="FT346" i="9"/>
  <c r="FS346" i="9"/>
  <c r="FR346" i="9"/>
  <c r="FO346" i="9"/>
  <c r="FL346" i="9"/>
  <c r="FK346" i="9"/>
  <c r="DY346" i="9"/>
  <c r="ES346" i="9" s="1"/>
  <c r="DE346" i="9"/>
  <c r="DS346" i="9" s="1"/>
  <c r="AB346" i="9"/>
  <c r="FU345" i="9"/>
  <c r="FT345" i="9"/>
  <c r="FS345" i="9"/>
  <c r="FR345" i="9"/>
  <c r="FV345" i="9" s="1"/>
  <c r="FO345" i="9"/>
  <c r="FL345" i="9"/>
  <c r="FK345" i="9"/>
  <c r="DY345" i="9"/>
  <c r="ES345" i="9" s="1"/>
  <c r="AB345" i="9"/>
  <c r="FU344" i="9"/>
  <c r="FT344" i="9"/>
  <c r="FS344" i="9"/>
  <c r="FR344" i="9"/>
  <c r="FO344" i="9"/>
  <c r="FL344" i="9"/>
  <c r="FK344" i="9"/>
  <c r="DY344" i="9"/>
  <c r="ES344" i="9" s="1"/>
  <c r="AB344" i="9"/>
  <c r="GQ343" i="9"/>
  <c r="GP343" i="9"/>
  <c r="GO343" i="9"/>
  <c r="GN343" i="9"/>
  <c r="GK343" i="9"/>
  <c r="FU343" i="9"/>
  <c r="FT343" i="9"/>
  <c r="FS343" i="9"/>
  <c r="FR343" i="9"/>
  <c r="FO343" i="9"/>
  <c r="FL343" i="9"/>
  <c r="FK343" i="9"/>
  <c r="DY343" i="9"/>
  <c r="ES343" i="9" s="1"/>
  <c r="AB343" i="9"/>
  <c r="GQ342" i="9"/>
  <c r="GP342" i="9"/>
  <c r="GO342" i="9"/>
  <c r="GN342" i="9"/>
  <c r="GR342" i="9" s="1"/>
  <c r="GK342" i="9"/>
  <c r="FU342" i="9"/>
  <c r="FT342" i="9"/>
  <c r="FS342" i="9"/>
  <c r="FR342" i="9"/>
  <c r="FO342" i="9"/>
  <c r="FL342" i="9"/>
  <c r="FK342" i="9"/>
  <c r="DY342" i="9"/>
  <c r="ES342" i="9" s="1"/>
  <c r="AB342" i="9"/>
  <c r="GQ341" i="9"/>
  <c r="GP341" i="9"/>
  <c r="GO341" i="9"/>
  <c r="GN341" i="9"/>
  <c r="GK341" i="9"/>
  <c r="FU341" i="9"/>
  <c r="FT341" i="9"/>
  <c r="FS341" i="9"/>
  <c r="FR341" i="9"/>
  <c r="FV341" i="9" s="1"/>
  <c r="FO341" i="9"/>
  <c r="FL341" i="9"/>
  <c r="FK341" i="9"/>
  <c r="DE341" i="9"/>
  <c r="DS341" i="9" s="1"/>
  <c r="AB341" i="9"/>
  <c r="GQ340" i="9"/>
  <c r="GP340" i="9"/>
  <c r="GO340" i="9"/>
  <c r="GN340" i="9"/>
  <c r="GR340" i="9" s="1"/>
  <c r="GK340" i="9"/>
  <c r="FU340" i="9"/>
  <c r="FT340" i="9"/>
  <c r="FS340" i="9"/>
  <c r="FR340" i="9"/>
  <c r="FO340" i="9"/>
  <c r="FL340" i="9"/>
  <c r="FK340" i="9"/>
  <c r="DE340" i="9"/>
  <c r="DS340" i="9" s="1"/>
  <c r="AB340" i="9"/>
  <c r="GQ339" i="9"/>
  <c r="GP339" i="9"/>
  <c r="GO339" i="9"/>
  <c r="GN339" i="9"/>
  <c r="GK339" i="9"/>
  <c r="FU339" i="9"/>
  <c r="FT339" i="9"/>
  <c r="FS339" i="9"/>
  <c r="FR339" i="9"/>
  <c r="FO339" i="9"/>
  <c r="FL339" i="9"/>
  <c r="FK339" i="9"/>
  <c r="DE339" i="9"/>
  <c r="DS339" i="9" s="1"/>
  <c r="AB339" i="9"/>
  <c r="GQ338" i="9"/>
  <c r="GP338" i="9"/>
  <c r="GO338" i="9"/>
  <c r="GN338" i="9"/>
  <c r="GK338" i="9"/>
  <c r="FU338" i="9"/>
  <c r="FT338" i="9"/>
  <c r="FS338" i="9"/>
  <c r="FR338" i="9"/>
  <c r="FO338" i="9"/>
  <c r="FL338" i="9"/>
  <c r="FK338" i="9"/>
  <c r="DS338" i="9"/>
  <c r="DE338" i="9"/>
  <c r="AB338" i="9"/>
  <c r="GQ337" i="9"/>
  <c r="GP337" i="9"/>
  <c r="GO337" i="9"/>
  <c r="GN337" i="9"/>
  <c r="GK337" i="9"/>
  <c r="FU337" i="9"/>
  <c r="FT337" i="9"/>
  <c r="FS337" i="9"/>
  <c r="FR337" i="9"/>
  <c r="FO337" i="9"/>
  <c r="FL337" i="9"/>
  <c r="FK337" i="9"/>
  <c r="DE337" i="9"/>
  <c r="DS337" i="9" s="1"/>
  <c r="AB337" i="9"/>
  <c r="GQ336" i="9"/>
  <c r="GP336" i="9"/>
  <c r="GO336" i="9"/>
  <c r="GN336" i="9"/>
  <c r="GK336" i="9"/>
  <c r="FU336" i="9"/>
  <c r="FT336" i="9"/>
  <c r="FS336" i="9"/>
  <c r="FR336" i="9"/>
  <c r="FO336" i="9"/>
  <c r="FL336" i="9"/>
  <c r="FK336" i="9"/>
  <c r="DE336" i="9"/>
  <c r="DS336" i="9" s="1"/>
  <c r="AB336" i="9"/>
  <c r="GQ335" i="9"/>
  <c r="GP335" i="9"/>
  <c r="GO335" i="9"/>
  <c r="GN335" i="9"/>
  <c r="GR335" i="9" s="1"/>
  <c r="GK335" i="9"/>
  <c r="FU335" i="9"/>
  <c r="FT335" i="9"/>
  <c r="FS335" i="9"/>
  <c r="FR335" i="9"/>
  <c r="FO335" i="9"/>
  <c r="FL335" i="9"/>
  <c r="FK335" i="9"/>
  <c r="DE335" i="9"/>
  <c r="DS335" i="9" s="1"/>
  <c r="DU335" i="9" s="1"/>
  <c r="IA335" i="9" s="1"/>
  <c r="AB335" i="9"/>
  <c r="GQ334" i="9"/>
  <c r="GP334" i="9"/>
  <c r="GO334" i="9"/>
  <c r="GN334" i="9"/>
  <c r="GR334" i="9" s="1"/>
  <c r="GK334" i="9"/>
  <c r="FU334" i="9"/>
  <c r="FT334" i="9"/>
  <c r="FS334" i="9"/>
  <c r="FR334" i="9"/>
  <c r="FO334" i="9"/>
  <c r="FL334" i="9"/>
  <c r="FK334" i="9"/>
  <c r="DE334" i="9"/>
  <c r="DS334" i="9" s="1"/>
  <c r="AB334" i="9"/>
  <c r="HM333" i="9"/>
  <c r="HW333" i="9" s="1"/>
  <c r="HL333" i="9"/>
  <c r="HK333" i="9"/>
  <c r="HJ333" i="9"/>
  <c r="HG333" i="9"/>
  <c r="GF333" i="9"/>
  <c r="GE333" i="9"/>
  <c r="GD333" i="9"/>
  <c r="GC333" i="9"/>
  <c r="GG333" i="9" s="1"/>
  <c r="FZ333" i="9"/>
  <c r="FU333" i="9"/>
  <c r="FT333" i="9"/>
  <c r="FS333" i="9"/>
  <c r="FR333" i="9"/>
  <c r="FO333" i="9"/>
  <c r="FL333" i="9"/>
  <c r="FK333" i="9"/>
  <c r="BT333" i="9"/>
  <c r="BY333" i="9" s="1"/>
  <c r="AD333" i="9"/>
  <c r="AB333" i="9"/>
  <c r="HM332" i="9"/>
  <c r="HW332" i="9" s="1"/>
  <c r="HL332" i="9"/>
  <c r="HK332" i="9"/>
  <c r="HJ332" i="9"/>
  <c r="HN332" i="9" s="1"/>
  <c r="HG332" i="9"/>
  <c r="GF332" i="9"/>
  <c r="GE332" i="9"/>
  <c r="GD332" i="9"/>
  <c r="GC332" i="9"/>
  <c r="FZ332" i="9"/>
  <c r="FU332" i="9"/>
  <c r="FT332" i="9"/>
  <c r="FS332" i="9"/>
  <c r="FR332" i="9"/>
  <c r="FO332" i="9"/>
  <c r="FL332" i="9"/>
  <c r="FK332" i="9"/>
  <c r="DE332" i="9"/>
  <c r="DS332" i="9" s="1"/>
  <c r="AD332" i="9"/>
  <c r="AB332" i="9"/>
  <c r="HM331" i="9"/>
  <c r="HW331" i="9" s="1"/>
  <c r="HL331" i="9"/>
  <c r="HK331" i="9"/>
  <c r="HJ331" i="9"/>
  <c r="HG331" i="9"/>
  <c r="GF331" i="9"/>
  <c r="GE331" i="9"/>
  <c r="GD331" i="9"/>
  <c r="GC331" i="9"/>
  <c r="FZ331" i="9"/>
  <c r="FU331" i="9"/>
  <c r="FT331" i="9"/>
  <c r="FS331" i="9"/>
  <c r="FR331" i="9"/>
  <c r="FO331" i="9"/>
  <c r="FL331" i="9"/>
  <c r="FK331" i="9"/>
  <c r="AW331" i="9"/>
  <c r="AX331" i="9" s="1"/>
  <c r="AZ331" i="9" s="1"/>
  <c r="AB331" i="9"/>
  <c r="HM330" i="9"/>
  <c r="HW330" i="9" s="1"/>
  <c r="HL330" i="9"/>
  <c r="HK330" i="9"/>
  <c r="HJ330" i="9"/>
  <c r="HN330" i="9" s="1"/>
  <c r="HG330" i="9"/>
  <c r="FU330" i="9"/>
  <c r="FT330" i="9"/>
  <c r="FS330" i="9"/>
  <c r="FR330" i="9"/>
  <c r="FO330" i="9"/>
  <c r="FL330" i="9"/>
  <c r="FK330" i="9"/>
  <c r="DD330" i="9"/>
  <c r="DE330" i="9" s="1"/>
  <c r="DS330" i="9" s="1"/>
  <c r="AB330" i="9"/>
  <c r="HW329" i="9"/>
  <c r="HM329" i="9"/>
  <c r="HL329" i="9"/>
  <c r="HK329" i="9"/>
  <c r="HJ329" i="9"/>
  <c r="HG329" i="9"/>
  <c r="FU329" i="9"/>
  <c r="FT329" i="9"/>
  <c r="FS329" i="9"/>
  <c r="FR329" i="9"/>
  <c r="FO329" i="9"/>
  <c r="FL329" i="9"/>
  <c r="FK329" i="9"/>
  <c r="AX329" i="9"/>
  <c r="AZ329" i="9" s="1"/>
  <c r="BA329" i="9" s="1"/>
  <c r="HZ329" i="9" s="1"/>
  <c r="AB329" i="9"/>
  <c r="HM328" i="9"/>
  <c r="HW328" i="9" s="1"/>
  <c r="HL328" i="9"/>
  <c r="HK328" i="9"/>
  <c r="HJ328" i="9"/>
  <c r="HG328" i="9"/>
  <c r="FU328" i="9"/>
  <c r="FT328" i="9"/>
  <c r="FS328" i="9"/>
  <c r="FR328" i="9"/>
  <c r="FO328" i="9"/>
  <c r="FL328" i="9"/>
  <c r="FK328" i="9"/>
  <c r="AX328" i="9"/>
  <c r="AZ328" i="9" s="1"/>
  <c r="HY328" i="9" s="1"/>
  <c r="AB328" i="9"/>
  <c r="HM327" i="9"/>
  <c r="HW327" i="9" s="1"/>
  <c r="HL327" i="9"/>
  <c r="HK327" i="9"/>
  <c r="HJ327" i="9"/>
  <c r="HG327" i="9"/>
  <c r="HN327" i="9" s="1"/>
  <c r="FU327" i="9"/>
  <c r="FT327" i="9"/>
  <c r="FS327" i="9"/>
  <c r="FR327" i="9"/>
  <c r="FO327" i="9"/>
  <c r="FV327" i="9" s="1"/>
  <c r="FL327" i="9"/>
  <c r="FK327" i="9"/>
  <c r="AX327" i="9"/>
  <c r="AZ327" i="9" s="1"/>
  <c r="HY327" i="9" s="1"/>
  <c r="AB327" i="9"/>
  <c r="HM326" i="9"/>
  <c r="HW326" i="9" s="1"/>
  <c r="HL326" i="9"/>
  <c r="HK326" i="9"/>
  <c r="HJ326" i="9"/>
  <c r="HG326" i="9"/>
  <c r="FU326" i="9"/>
  <c r="FT326" i="9"/>
  <c r="FS326" i="9"/>
  <c r="FR326" i="9"/>
  <c r="FV326" i="9" s="1"/>
  <c r="FO326" i="9"/>
  <c r="FL326" i="9"/>
  <c r="FK326" i="9"/>
  <c r="AX326" i="9"/>
  <c r="AZ326" i="9" s="1"/>
  <c r="AB326" i="9"/>
  <c r="HM325" i="9"/>
  <c r="HW325" i="9" s="1"/>
  <c r="HL325" i="9"/>
  <c r="HK325" i="9"/>
  <c r="HJ325" i="9"/>
  <c r="HG325" i="9"/>
  <c r="FP325" i="9"/>
  <c r="FQ325" i="9" s="1"/>
  <c r="FR325" i="9" s="1"/>
  <c r="FN325" i="9"/>
  <c r="FO325" i="9" s="1"/>
  <c r="FM325" i="9"/>
  <c r="AX325" i="9"/>
  <c r="AZ325" i="9" s="1"/>
  <c r="Z325" i="9"/>
  <c r="AB325" i="9" s="1"/>
  <c r="FU324" i="9"/>
  <c r="FT324" i="9"/>
  <c r="FS324" i="9"/>
  <c r="FR324" i="9"/>
  <c r="FV324" i="9" s="1"/>
  <c r="FO324" i="9"/>
  <c r="FL324" i="9"/>
  <c r="FK324" i="9"/>
  <c r="AX324" i="9"/>
  <c r="AZ324" i="9" s="1"/>
  <c r="AB324" i="9"/>
  <c r="HB323" i="9"/>
  <c r="HA323" i="9"/>
  <c r="GZ323" i="9"/>
  <c r="GX323" i="9"/>
  <c r="GY323" i="9" s="1"/>
  <c r="GU323" i="9"/>
  <c r="GV323" i="9" s="1"/>
  <c r="FU323" i="9"/>
  <c r="FT323" i="9"/>
  <c r="FS323" i="9"/>
  <c r="FQ323" i="9"/>
  <c r="FR323" i="9" s="1"/>
  <c r="FN323" i="9"/>
  <c r="FO323" i="9" s="1"/>
  <c r="FL323" i="9"/>
  <c r="FK323" i="9"/>
  <c r="AX323" i="9"/>
  <c r="AZ323" i="9" s="1"/>
  <c r="AB323" i="9"/>
  <c r="HB322" i="9"/>
  <c r="HA322" i="9"/>
  <c r="GZ322" i="9"/>
  <c r="GX322" i="9"/>
  <c r="GY322" i="9" s="1"/>
  <c r="HC322" i="9" s="1"/>
  <c r="GU322" i="9"/>
  <c r="GV322" i="9" s="1"/>
  <c r="FU322" i="9"/>
  <c r="FT322" i="9"/>
  <c r="FS322" i="9"/>
  <c r="FQ322" i="9"/>
  <c r="FR322" i="9" s="1"/>
  <c r="FV322" i="9" s="1"/>
  <c r="FN322" i="9"/>
  <c r="FO322" i="9" s="1"/>
  <c r="FL322" i="9"/>
  <c r="FK322" i="9"/>
  <c r="AX322" i="9"/>
  <c r="AZ322" i="9" s="1"/>
  <c r="AB322" i="9"/>
  <c r="HB321" i="9"/>
  <c r="HA321" i="9"/>
  <c r="GZ321" i="9"/>
  <c r="GX321" i="9"/>
  <c r="GY321" i="9" s="1"/>
  <c r="GU321" i="9"/>
  <c r="GV321" i="9" s="1"/>
  <c r="FU321" i="9"/>
  <c r="FT321" i="9"/>
  <c r="FS321" i="9"/>
  <c r="FQ321" i="9"/>
  <c r="FR321" i="9" s="1"/>
  <c r="FN321" i="9"/>
  <c r="FO321" i="9" s="1"/>
  <c r="FL321" i="9"/>
  <c r="FK321" i="9"/>
  <c r="AX321" i="9"/>
  <c r="AZ321" i="9" s="1"/>
  <c r="AB321" i="9"/>
  <c r="HB320" i="9"/>
  <c r="HA320" i="9"/>
  <c r="GZ320" i="9"/>
  <c r="GX320" i="9"/>
  <c r="GY320" i="9" s="1"/>
  <c r="GU320" i="9"/>
  <c r="GV320" i="9" s="1"/>
  <c r="FU320" i="9"/>
  <c r="FT320" i="9"/>
  <c r="FS320" i="9"/>
  <c r="FQ320" i="9"/>
  <c r="FR320" i="9" s="1"/>
  <c r="FN320" i="9"/>
  <c r="FO320" i="9" s="1"/>
  <c r="FL320" i="9"/>
  <c r="FK320" i="9"/>
  <c r="AX320" i="9"/>
  <c r="AZ320" i="9" s="1"/>
  <c r="AB320" i="9"/>
  <c r="FU319" i="9"/>
  <c r="FT319" i="9"/>
  <c r="FS319" i="9"/>
  <c r="FQ319" i="9"/>
  <c r="FR319" i="9" s="1"/>
  <c r="FN319" i="9"/>
  <c r="FO319" i="9" s="1"/>
  <c r="FL319" i="9"/>
  <c r="FK319" i="9"/>
  <c r="AX319" i="9"/>
  <c r="AZ319" i="9" s="1"/>
  <c r="AB319" i="9"/>
  <c r="FU318" i="9"/>
  <c r="FT318" i="9"/>
  <c r="FS318" i="9"/>
  <c r="FQ318" i="9"/>
  <c r="FR318" i="9" s="1"/>
  <c r="FN318" i="9"/>
  <c r="FO318" i="9" s="1"/>
  <c r="FL318" i="9"/>
  <c r="FK318" i="9"/>
  <c r="AX318" i="9"/>
  <c r="AZ318" i="9" s="1"/>
  <c r="AB318" i="9"/>
  <c r="FU317" i="9"/>
  <c r="FT317" i="9"/>
  <c r="FS317" i="9"/>
  <c r="FQ317" i="9"/>
  <c r="FR317" i="9" s="1"/>
  <c r="FV317" i="9" s="1"/>
  <c r="FN317" i="9"/>
  <c r="FO317" i="9" s="1"/>
  <c r="FL317" i="9"/>
  <c r="FK317" i="9"/>
  <c r="AX317" i="9"/>
  <c r="AZ317" i="9" s="1"/>
  <c r="AB317" i="9"/>
  <c r="FU316" i="9"/>
  <c r="FT316" i="9"/>
  <c r="FS316" i="9"/>
  <c r="FQ316" i="9"/>
  <c r="FR316" i="9" s="1"/>
  <c r="FN316" i="9"/>
  <c r="FO316" i="9" s="1"/>
  <c r="FL316" i="9"/>
  <c r="FK316" i="9"/>
  <c r="AX316" i="9"/>
  <c r="AZ316" i="9" s="1"/>
  <c r="AB316" i="9"/>
  <c r="FU315" i="9"/>
  <c r="FT315" i="9"/>
  <c r="FS315" i="9"/>
  <c r="FQ315" i="9"/>
  <c r="FR315" i="9" s="1"/>
  <c r="FO315" i="9"/>
  <c r="FN315" i="9"/>
  <c r="FL315" i="9"/>
  <c r="FK315" i="9"/>
  <c r="AX315" i="9"/>
  <c r="AZ315" i="9" s="1"/>
  <c r="AB315" i="9"/>
  <c r="FU314" i="9"/>
  <c r="FT314" i="9"/>
  <c r="FS314" i="9"/>
  <c r="FQ314" i="9"/>
  <c r="FR314" i="9" s="1"/>
  <c r="FN314" i="9"/>
  <c r="FO314" i="9" s="1"/>
  <c r="FL314" i="9"/>
  <c r="FK314" i="9"/>
  <c r="AX314" i="9"/>
  <c r="AZ314" i="9" s="1"/>
  <c r="AB314" i="9"/>
  <c r="FU313" i="9"/>
  <c r="FT313" i="9"/>
  <c r="FS313" i="9"/>
  <c r="FQ313" i="9"/>
  <c r="FR313" i="9" s="1"/>
  <c r="FN313" i="9"/>
  <c r="FO313" i="9" s="1"/>
  <c r="FL313" i="9"/>
  <c r="FK313" i="9"/>
  <c r="AX313" i="9"/>
  <c r="AZ313" i="9" s="1"/>
  <c r="AB313" i="9"/>
  <c r="FU312" i="9"/>
  <c r="FT312" i="9"/>
  <c r="FS312" i="9"/>
  <c r="FQ312" i="9"/>
  <c r="FR312" i="9" s="1"/>
  <c r="FN312" i="9"/>
  <c r="FO312" i="9" s="1"/>
  <c r="FL312" i="9"/>
  <c r="FK312" i="9"/>
  <c r="AX312" i="9"/>
  <c r="AZ312" i="9" s="1"/>
  <c r="AB312" i="9"/>
  <c r="FU311" i="9"/>
  <c r="FT311" i="9"/>
  <c r="FS311" i="9"/>
  <c r="FQ311" i="9"/>
  <c r="FR311" i="9" s="1"/>
  <c r="FN311" i="9"/>
  <c r="FO311" i="9" s="1"/>
  <c r="FL311" i="9"/>
  <c r="FK311" i="9"/>
  <c r="AX311" i="9"/>
  <c r="AZ311" i="9" s="1"/>
  <c r="AB311" i="9"/>
  <c r="FU310" i="9"/>
  <c r="FT310" i="9"/>
  <c r="FS310" i="9"/>
  <c r="FQ310" i="9"/>
  <c r="FR310" i="9" s="1"/>
  <c r="FN310" i="9"/>
  <c r="FO310" i="9" s="1"/>
  <c r="FL310" i="9"/>
  <c r="FK310" i="9"/>
  <c r="AX310" i="9"/>
  <c r="AZ310" i="9" s="1"/>
  <c r="AB310" i="9"/>
  <c r="FU309" i="9"/>
  <c r="FT309" i="9"/>
  <c r="FS309" i="9"/>
  <c r="FQ309" i="9"/>
  <c r="FR309" i="9" s="1"/>
  <c r="FN309" i="9"/>
  <c r="FO309" i="9" s="1"/>
  <c r="FL309" i="9"/>
  <c r="FK309" i="9"/>
  <c r="AX309" i="9"/>
  <c r="AZ309" i="9" s="1"/>
  <c r="BB309" i="9" s="1"/>
  <c r="IA309" i="9" s="1"/>
  <c r="AB309" i="9"/>
  <c r="FU308" i="9"/>
  <c r="FT308" i="9"/>
  <c r="FS308" i="9"/>
  <c r="FQ308" i="9"/>
  <c r="FR308" i="9" s="1"/>
  <c r="FN308" i="9"/>
  <c r="FO308" i="9" s="1"/>
  <c r="FV308" i="9" s="1"/>
  <c r="FL308" i="9"/>
  <c r="FK308" i="9"/>
  <c r="AX308" i="9"/>
  <c r="AZ308" i="9" s="1"/>
  <c r="AB308" i="9"/>
  <c r="FU307" i="9"/>
  <c r="FT307" i="9"/>
  <c r="FS307" i="9"/>
  <c r="FQ307" i="9"/>
  <c r="FR307" i="9" s="1"/>
  <c r="FN307" i="9"/>
  <c r="FO307" i="9" s="1"/>
  <c r="FL307" i="9"/>
  <c r="FK307" i="9"/>
  <c r="AX307" i="9"/>
  <c r="AZ307" i="9" s="1"/>
  <c r="AB307" i="9"/>
  <c r="FU306" i="9"/>
  <c r="FT306" i="9"/>
  <c r="FS306" i="9"/>
  <c r="FQ306" i="9"/>
  <c r="FR306" i="9" s="1"/>
  <c r="FV306" i="9" s="1"/>
  <c r="FN306" i="9"/>
  <c r="FO306" i="9" s="1"/>
  <c r="FL306" i="9"/>
  <c r="FK306" i="9"/>
  <c r="AX306" i="9"/>
  <c r="AZ306" i="9" s="1"/>
  <c r="AB306" i="9"/>
  <c r="FU305" i="9"/>
  <c r="FT305" i="9"/>
  <c r="FS305" i="9"/>
  <c r="FQ305" i="9"/>
  <c r="FR305" i="9" s="1"/>
  <c r="FN305" i="9"/>
  <c r="FO305" i="9" s="1"/>
  <c r="FL305" i="9"/>
  <c r="FK305" i="9"/>
  <c r="AX305" i="9"/>
  <c r="AZ305" i="9" s="1"/>
  <c r="AB305" i="9"/>
  <c r="HM304" i="9"/>
  <c r="HW304" i="9" s="1"/>
  <c r="HL304" i="9"/>
  <c r="HK304" i="9"/>
  <c r="HI304" i="9"/>
  <c r="HJ304" i="9" s="1"/>
  <c r="HF304" i="9"/>
  <c r="HG304" i="9" s="1"/>
  <c r="GF304" i="9"/>
  <c r="GE304" i="9"/>
  <c r="GD304" i="9"/>
  <c r="GB304" i="9"/>
  <c r="GC304" i="9" s="1"/>
  <c r="FZ304" i="9"/>
  <c r="FY304" i="9"/>
  <c r="FU304" i="9"/>
  <c r="FT304" i="9"/>
  <c r="FS304" i="9"/>
  <c r="FQ304" i="9"/>
  <c r="FR304" i="9" s="1"/>
  <c r="FN304" i="9"/>
  <c r="FO304" i="9" s="1"/>
  <c r="FL304" i="9"/>
  <c r="FK304" i="9"/>
  <c r="AX304" i="9"/>
  <c r="AZ304" i="9" s="1"/>
  <c r="BB304" i="9" s="1"/>
  <c r="IA304" i="9" s="1"/>
  <c r="AB304" i="9"/>
  <c r="HM303" i="9"/>
  <c r="HW303" i="9" s="1"/>
  <c r="HL303" i="9"/>
  <c r="HK303" i="9"/>
  <c r="HI303" i="9"/>
  <c r="HJ303" i="9" s="1"/>
  <c r="HN303" i="9" s="1"/>
  <c r="HF303" i="9"/>
  <c r="HG303" i="9" s="1"/>
  <c r="GF303" i="9"/>
  <c r="GE303" i="9"/>
  <c r="GD303" i="9"/>
  <c r="GB303" i="9"/>
  <c r="GC303" i="9" s="1"/>
  <c r="FY303" i="9"/>
  <c r="FZ303" i="9" s="1"/>
  <c r="FU303" i="9"/>
  <c r="FT303" i="9"/>
  <c r="FS303" i="9"/>
  <c r="FQ303" i="9"/>
  <c r="FR303" i="9" s="1"/>
  <c r="FN303" i="9"/>
  <c r="FO303" i="9" s="1"/>
  <c r="FL303" i="9"/>
  <c r="FK303" i="9"/>
  <c r="AX303" i="9"/>
  <c r="AZ303" i="9" s="1"/>
  <c r="AB303" i="9"/>
  <c r="HM302" i="9"/>
  <c r="HW302" i="9" s="1"/>
  <c r="HL302" i="9"/>
  <c r="HK302" i="9"/>
  <c r="HI302" i="9"/>
  <c r="HJ302" i="9" s="1"/>
  <c r="HF302" i="9"/>
  <c r="HG302" i="9" s="1"/>
  <c r="GF302" i="9"/>
  <c r="GE302" i="9"/>
  <c r="GD302" i="9"/>
  <c r="GC302" i="9"/>
  <c r="GB302" i="9"/>
  <c r="FY302" i="9"/>
  <c r="FZ302" i="9" s="1"/>
  <c r="FU302" i="9"/>
  <c r="FT302" i="9"/>
  <c r="FS302" i="9"/>
  <c r="FQ302" i="9"/>
  <c r="FR302" i="9" s="1"/>
  <c r="FV302" i="9" s="1"/>
  <c r="FN302" i="9"/>
  <c r="FO302" i="9" s="1"/>
  <c r="FL302" i="9"/>
  <c r="FK302" i="9"/>
  <c r="AZ302" i="9"/>
  <c r="BB302" i="9" s="1"/>
  <c r="AX302" i="9"/>
  <c r="AB302" i="9"/>
  <c r="HM301" i="9"/>
  <c r="HW301" i="9" s="1"/>
  <c r="HL301" i="9"/>
  <c r="HK301" i="9"/>
  <c r="HI301" i="9"/>
  <c r="HJ301" i="9" s="1"/>
  <c r="HF301" i="9"/>
  <c r="HG301" i="9" s="1"/>
  <c r="GF301" i="9"/>
  <c r="GE301" i="9"/>
  <c r="GD301" i="9"/>
  <c r="GB301" i="9"/>
  <c r="GC301" i="9" s="1"/>
  <c r="FZ301" i="9"/>
  <c r="FY301" i="9"/>
  <c r="FU301" i="9"/>
  <c r="FT301" i="9"/>
  <c r="FS301" i="9"/>
  <c r="FQ301" i="9"/>
  <c r="FR301" i="9" s="1"/>
  <c r="FN301" i="9"/>
  <c r="FO301" i="9" s="1"/>
  <c r="FL301" i="9"/>
  <c r="FK301" i="9"/>
  <c r="AX301" i="9"/>
  <c r="AZ301" i="9" s="1"/>
  <c r="BA301" i="9" s="1"/>
  <c r="HZ301" i="9" s="1"/>
  <c r="AB301" i="9"/>
  <c r="HM300" i="9"/>
  <c r="HW300" i="9" s="1"/>
  <c r="HL300" i="9"/>
  <c r="HK300" i="9"/>
  <c r="HI300" i="9"/>
  <c r="HJ300" i="9" s="1"/>
  <c r="HF300" i="9"/>
  <c r="HG300" i="9" s="1"/>
  <c r="HB300" i="9"/>
  <c r="HA300" i="9"/>
  <c r="GZ300" i="9"/>
  <c r="GX300" i="9"/>
  <c r="GY300" i="9" s="1"/>
  <c r="GU300" i="9"/>
  <c r="GV300" i="9" s="1"/>
  <c r="GQ300" i="9"/>
  <c r="GP300" i="9"/>
  <c r="GO300" i="9"/>
  <c r="GM300" i="9"/>
  <c r="GN300" i="9" s="1"/>
  <c r="GJ300" i="9"/>
  <c r="GK300" i="9" s="1"/>
  <c r="FU300" i="9"/>
  <c r="FT300" i="9"/>
  <c r="FS300" i="9"/>
  <c r="FR300" i="9"/>
  <c r="FQ300" i="9"/>
  <c r="FN300" i="9"/>
  <c r="FO300" i="9" s="1"/>
  <c r="FL300" i="9"/>
  <c r="FK300" i="9"/>
  <c r="AX300" i="9"/>
  <c r="AZ300" i="9" s="1"/>
  <c r="AB300" i="9"/>
  <c r="HM299" i="9"/>
  <c r="HW299" i="9" s="1"/>
  <c r="HL299" i="9"/>
  <c r="HK299" i="9"/>
  <c r="HI299" i="9"/>
  <c r="HJ299" i="9" s="1"/>
  <c r="HN299" i="9" s="1"/>
  <c r="HF299" i="9"/>
  <c r="HG299" i="9" s="1"/>
  <c r="HB299" i="9"/>
  <c r="HA299" i="9"/>
  <c r="GZ299" i="9"/>
  <c r="GX299" i="9"/>
  <c r="GY299" i="9" s="1"/>
  <c r="GU299" i="9"/>
  <c r="GV299" i="9" s="1"/>
  <c r="GQ299" i="9"/>
  <c r="GP299" i="9"/>
  <c r="GO299" i="9"/>
  <c r="GM299" i="9"/>
  <c r="GN299" i="9" s="1"/>
  <c r="GJ299" i="9"/>
  <c r="GK299" i="9" s="1"/>
  <c r="FU299" i="9"/>
  <c r="FT299" i="9"/>
  <c r="FS299" i="9"/>
  <c r="FQ299" i="9"/>
  <c r="FR299" i="9" s="1"/>
  <c r="FV299" i="9" s="1"/>
  <c r="FN299" i="9"/>
  <c r="FO299" i="9" s="1"/>
  <c r="FL299" i="9"/>
  <c r="FK299" i="9"/>
  <c r="AX299" i="9"/>
  <c r="AZ299" i="9" s="1"/>
  <c r="HY299" i="9" s="1"/>
  <c r="AB299" i="9"/>
  <c r="HM298" i="9"/>
  <c r="HW298" i="9" s="1"/>
  <c r="HL298" i="9"/>
  <c r="HK298" i="9"/>
  <c r="HJ298" i="9"/>
  <c r="HG298" i="9"/>
  <c r="GF298" i="9"/>
  <c r="GE298" i="9"/>
  <c r="GD298" i="9"/>
  <c r="GB298" i="9"/>
  <c r="GC298" i="9" s="1"/>
  <c r="FY298" i="9"/>
  <c r="FZ298" i="9" s="1"/>
  <c r="FU298" i="9"/>
  <c r="FT298" i="9"/>
  <c r="FS298" i="9"/>
  <c r="FQ298" i="9"/>
  <c r="FR298" i="9" s="1"/>
  <c r="FO298" i="9"/>
  <c r="FN298" i="9"/>
  <c r="FL298" i="9"/>
  <c r="FK298" i="9"/>
  <c r="BT298" i="9"/>
  <c r="BY298" i="9" s="1"/>
  <c r="BI298" i="9"/>
  <c r="AB298" i="9"/>
  <c r="HM297" i="9"/>
  <c r="HW297" i="9" s="1"/>
  <c r="HL297" i="9"/>
  <c r="HK297" i="9"/>
  <c r="HJ297" i="9"/>
  <c r="HG297" i="9"/>
  <c r="GF297" i="9"/>
  <c r="GE297" i="9"/>
  <c r="GD297" i="9"/>
  <c r="GB297" i="9"/>
  <c r="GC297" i="9" s="1"/>
  <c r="FY297" i="9"/>
  <c r="FZ297" i="9" s="1"/>
  <c r="FU297" i="9"/>
  <c r="FT297" i="9"/>
  <c r="FS297" i="9"/>
  <c r="FQ297" i="9"/>
  <c r="FR297" i="9" s="1"/>
  <c r="FN297" i="9"/>
  <c r="FO297" i="9" s="1"/>
  <c r="FL297" i="9"/>
  <c r="FK297" i="9"/>
  <c r="BT297" i="9"/>
  <c r="BY297" i="9" s="1"/>
  <c r="BZ297" i="9" s="1"/>
  <c r="HZ297" i="9" s="1"/>
  <c r="BI297" i="9"/>
  <c r="AB297" i="9"/>
  <c r="HM296" i="9"/>
  <c r="HW296" i="9" s="1"/>
  <c r="HL296" i="9"/>
  <c r="HK296" i="9"/>
  <c r="HJ296" i="9"/>
  <c r="HN296" i="9" s="1"/>
  <c r="HG296" i="9"/>
  <c r="FU296" i="9"/>
  <c r="FT296" i="9"/>
  <c r="FS296" i="9"/>
  <c r="FR296" i="9"/>
  <c r="FQ296" i="9"/>
  <c r="FN296" i="9"/>
  <c r="FO296" i="9" s="1"/>
  <c r="FL296" i="9"/>
  <c r="FK296" i="9"/>
  <c r="BT296" i="9"/>
  <c r="BY296" i="9" s="1"/>
  <c r="AD296" i="9"/>
  <c r="AB296" i="9"/>
  <c r="HM295" i="9"/>
  <c r="HW295" i="9" s="1"/>
  <c r="HL295" i="9"/>
  <c r="HK295" i="9"/>
  <c r="HJ295" i="9"/>
  <c r="HG295" i="9"/>
  <c r="FU295" i="9"/>
  <c r="FT295" i="9"/>
  <c r="FS295" i="9"/>
  <c r="FQ295" i="9"/>
  <c r="FR295" i="9" s="1"/>
  <c r="FN295" i="9"/>
  <c r="FO295" i="9" s="1"/>
  <c r="FL295" i="9"/>
  <c r="FK295" i="9"/>
  <c r="BT295" i="9"/>
  <c r="BY295" i="9" s="1"/>
  <c r="BZ295" i="9" s="1"/>
  <c r="HZ295" i="9" s="1"/>
  <c r="AD295" i="9"/>
  <c r="AB295" i="9"/>
  <c r="HM294" i="9"/>
  <c r="HW294" i="9" s="1"/>
  <c r="HL294" i="9"/>
  <c r="HK294" i="9"/>
  <c r="HJ294" i="9"/>
  <c r="HN294" i="9" s="1"/>
  <c r="HG294" i="9"/>
  <c r="FU294" i="9"/>
  <c r="FT294" i="9"/>
  <c r="FS294" i="9"/>
  <c r="FQ294" i="9"/>
  <c r="FR294" i="9" s="1"/>
  <c r="FN294" i="9"/>
  <c r="FO294" i="9" s="1"/>
  <c r="FL294" i="9"/>
  <c r="FK294" i="9"/>
  <c r="BT294" i="9"/>
  <c r="BY294" i="9" s="1"/>
  <c r="AD294" i="9"/>
  <c r="AB294" i="9"/>
  <c r="HY293" i="9"/>
  <c r="HM293" i="9"/>
  <c r="HW293" i="9" s="1"/>
  <c r="HL293" i="9"/>
  <c r="HK293" i="9"/>
  <c r="HJ293" i="9"/>
  <c r="HG293" i="9"/>
  <c r="GF293" i="9"/>
  <c r="GE293" i="9"/>
  <c r="GD293" i="9"/>
  <c r="GB293" i="9"/>
  <c r="GC293" i="9" s="1"/>
  <c r="FY293" i="9"/>
  <c r="FZ293" i="9" s="1"/>
  <c r="FU293" i="9"/>
  <c r="FT293" i="9"/>
  <c r="FS293" i="9"/>
  <c r="FQ293" i="9"/>
  <c r="FR293" i="9" s="1"/>
  <c r="FN293" i="9"/>
  <c r="FO293" i="9" s="1"/>
  <c r="FL293" i="9"/>
  <c r="FK293" i="9"/>
  <c r="BT293" i="9"/>
  <c r="BY293" i="9" s="1"/>
  <c r="BZ293" i="9" s="1"/>
  <c r="HZ293" i="9" s="1"/>
  <c r="AB293" i="9"/>
  <c r="HM292" i="9"/>
  <c r="HW292" i="9" s="1"/>
  <c r="HL292" i="9"/>
  <c r="HK292" i="9"/>
  <c r="HJ292" i="9"/>
  <c r="HG292" i="9"/>
  <c r="HN292" i="9" s="1"/>
  <c r="GF292" i="9"/>
  <c r="GE292" i="9"/>
  <c r="GD292" i="9"/>
  <c r="GB292" i="9"/>
  <c r="GC292" i="9" s="1"/>
  <c r="GG292" i="9" s="1"/>
  <c r="FY292" i="9"/>
  <c r="FZ292" i="9" s="1"/>
  <c r="FU292" i="9"/>
  <c r="FT292" i="9"/>
  <c r="FS292" i="9"/>
  <c r="FQ292" i="9"/>
  <c r="FR292" i="9" s="1"/>
  <c r="FN292" i="9"/>
  <c r="FO292" i="9" s="1"/>
  <c r="FL292" i="9"/>
  <c r="FK292" i="9"/>
  <c r="BT292" i="9"/>
  <c r="BY292" i="9" s="1"/>
  <c r="HY292" i="9" s="1"/>
  <c r="AB292" i="9"/>
  <c r="HM291" i="9"/>
  <c r="HW291" i="9" s="1"/>
  <c r="HL291" i="9"/>
  <c r="HK291" i="9"/>
  <c r="HJ291" i="9"/>
  <c r="HG291" i="9"/>
  <c r="GF291" i="9"/>
  <c r="GE291" i="9"/>
  <c r="GD291" i="9"/>
  <c r="GB291" i="9"/>
  <c r="GC291" i="9" s="1"/>
  <c r="FY291" i="9"/>
  <c r="FZ291" i="9" s="1"/>
  <c r="FU291" i="9"/>
  <c r="FT291" i="9"/>
  <c r="FS291" i="9"/>
  <c r="FQ291" i="9"/>
  <c r="FR291" i="9" s="1"/>
  <c r="FN291" i="9"/>
  <c r="FO291" i="9" s="1"/>
  <c r="FL291" i="9"/>
  <c r="FK291" i="9"/>
  <c r="DS291" i="9"/>
  <c r="BT291" i="9"/>
  <c r="BY291" i="9" s="1"/>
  <c r="BZ291" i="9" s="1"/>
  <c r="HZ291" i="9" s="1"/>
  <c r="AB291" i="9"/>
  <c r="HM290" i="9"/>
  <c r="HW290" i="9" s="1"/>
  <c r="HL290" i="9"/>
  <c r="HK290" i="9"/>
  <c r="HJ290" i="9"/>
  <c r="HG290" i="9"/>
  <c r="GF290" i="9"/>
  <c r="GE290" i="9"/>
  <c r="GD290" i="9"/>
  <c r="GC290" i="9"/>
  <c r="GG290" i="9" s="1"/>
  <c r="FZ290" i="9"/>
  <c r="FU290" i="9"/>
  <c r="FT290" i="9"/>
  <c r="FS290" i="9"/>
  <c r="FR290" i="9"/>
  <c r="FO290" i="9"/>
  <c r="FL290" i="9"/>
  <c r="FK290" i="9"/>
  <c r="DE290" i="9"/>
  <c r="DS290" i="9" s="1"/>
  <c r="AB290" i="9"/>
  <c r="HM289" i="9"/>
  <c r="HW289" i="9" s="1"/>
  <c r="HL289" i="9"/>
  <c r="HK289" i="9"/>
  <c r="HJ289" i="9"/>
  <c r="HG289" i="9"/>
  <c r="GF289" i="9"/>
  <c r="GE289" i="9"/>
  <c r="GD289" i="9"/>
  <c r="GC289" i="9"/>
  <c r="FZ289" i="9"/>
  <c r="FU289" i="9"/>
  <c r="FT289" i="9"/>
  <c r="FS289" i="9"/>
  <c r="FR289" i="9"/>
  <c r="FO289" i="9"/>
  <c r="FL289" i="9"/>
  <c r="FK289" i="9"/>
  <c r="BT289" i="9"/>
  <c r="BY289" i="9" s="1"/>
  <c r="AB289" i="9"/>
  <c r="HM288" i="9"/>
  <c r="HW288" i="9" s="1"/>
  <c r="HL288" i="9"/>
  <c r="HK288" i="9"/>
  <c r="HJ288" i="9"/>
  <c r="HG288" i="9"/>
  <c r="GF288" i="9"/>
  <c r="GE288" i="9"/>
  <c r="GD288" i="9"/>
  <c r="GC288" i="9"/>
  <c r="FZ288" i="9"/>
  <c r="FU288" i="9"/>
  <c r="FT288" i="9"/>
  <c r="FS288" i="9"/>
  <c r="FR288" i="9"/>
  <c r="FO288" i="9"/>
  <c r="FL288" i="9"/>
  <c r="FK288" i="9"/>
  <c r="AD288" i="9"/>
  <c r="AB288" i="9"/>
  <c r="HM287" i="9"/>
  <c r="HW287" i="9" s="1"/>
  <c r="HL287" i="9"/>
  <c r="HK287" i="9"/>
  <c r="HJ287" i="9"/>
  <c r="HG287" i="9"/>
  <c r="GF287" i="9"/>
  <c r="GE287" i="9"/>
  <c r="GD287" i="9"/>
  <c r="GC287" i="9"/>
  <c r="FZ287" i="9"/>
  <c r="FU287" i="9"/>
  <c r="FT287" i="9"/>
  <c r="FS287" i="9"/>
  <c r="FR287" i="9"/>
  <c r="FO287" i="9"/>
  <c r="FL287" i="9"/>
  <c r="FK287" i="9"/>
  <c r="BS287" i="9"/>
  <c r="BT287" i="9" s="1"/>
  <c r="BY287" i="9" s="1"/>
  <c r="AD287" i="9"/>
  <c r="AB287" i="9"/>
  <c r="HM286" i="9"/>
  <c r="HW286" i="9" s="1"/>
  <c r="HL286" i="9"/>
  <c r="HK286" i="9"/>
  <c r="HJ286" i="9"/>
  <c r="HG286" i="9"/>
  <c r="GF286" i="9"/>
  <c r="GE286" i="9"/>
  <c r="GD286" i="9"/>
  <c r="GC286" i="9"/>
  <c r="FZ286" i="9"/>
  <c r="FU286" i="9"/>
  <c r="FT286" i="9"/>
  <c r="FS286" i="9"/>
  <c r="FR286" i="9"/>
  <c r="FO286" i="9"/>
  <c r="FL286" i="9"/>
  <c r="FK286" i="9"/>
  <c r="BS286" i="9"/>
  <c r="AD286" i="9"/>
  <c r="AB286" i="9"/>
  <c r="HM285" i="9"/>
  <c r="HW285" i="9" s="1"/>
  <c r="HL285" i="9"/>
  <c r="HK285" i="9"/>
  <c r="HJ285" i="9"/>
  <c r="HG285" i="9"/>
  <c r="HN285" i="9" s="1"/>
  <c r="GF285" i="9"/>
  <c r="GE285" i="9"/>
  <c r="GD285" i="9"/>
  <c r="GC285" i="9"/>
  <c r="FZ285" i="9"/>
  <c r="FU285" i="9"/>
  <c r="FT285" i="9"/>
  <c r="FS285" i="9"/>
  <c r="FR285" i="9"/>
  <c r="FO285" i="9"/>
  <c r="FL285" i="9"/>
  <c r="FK285" i="9"/>
  <c r="BT285" i="9"/>
  <c r="BY285" i="9" s="1"/>
  <c r="AD285" i="9"/>
  <c r="AB285" i="9"/>
  <c r="HM284" i="9"/>
  <c r="HW284" i="9" s="1"/>
  <c r="HL284" i="9"/>
  <c r="HK284" i="9"/>
  <c r="HI284" i="9"/>
  <c r="HJ284" i="9" s="1"/>
  <c r="HF284" i="9"/>
  <c r="HG284" i="9" s="1"/>
  <c r="GC284" i="9"/>
  <c r="GA284" i="9"/>
  <c r="FY284" i="9"/>
  <c r="FZ284" i="9" s="1"/>
  <c r="FX284" i="9"/>
  <c r="DE284" i="9"/>
  <c r="DS284" i="9" s="1"/>
  <c r="DU284" i="9" s="1"/>
  <c r="CA284" i="9"/>
  <c r="EY284" i="9" s="1"/>
  <c r="IA284" i="9" s="1"/>
  <c r="BZ284" i="9"/>
  <c r="BT284" i="9"/>
  <c r="BY284" i="9" s="1"/>
  <c r="HM283" i="9"/>
  <c r="HW283" i="9" s="1"/>
  <c r="HL283" i="9"/>
  <c r="HK283" i="9"/>
  <c r="HI283" i="9"/>
  <c r="HJ283" i="9" s="1"/>
  <c r="HF283" i="9"/>
  <c r="HG283" i="9" s="1"/>
  <c r="GC283" i="9"/>
  <c r="GA283" i="9"/>
  <c r="FY283" i="9"/>
  <c r="FZ283" i="9" s="1"/>
  <c r="FX283" i="9"/>
  <c r="DE283" i="9"/>
  <c r="DS283" i="9" s="1"/>
  <c r="HM282" i="9"/>
  <c r="HW282" i="9" s="1"/>
  <c r="HL282" i="9"/>
  <c r="HK282" i="9"/>
  <c r="HJ282" i="9"/>
  <c r="HI282" i="9"/>
  <c r="HF282" i="9"/>
  <c r="HG282" i="9" s="1"/>
  <c r="GC282" i="9"/>
  <c r="GA282" i="9"/>
  <c r="FY282" i="9"/>
  <c r="FZ282" i="9" s="1"/>
  <c r="FX282" i="9"/>
  <c r="BT282" i="9"/>
  <c r="BY282" i="9" s="1"/>
  <c r="HY282" i="9" s="1"/>
  <c r="HM281" i="9"/>
  <c r="HW281" i="9" s="1"/>
  <c r="HL281" i="9"/>
  <c r="HK281" i="9"/>
  <c r="HJ281" i="9"/>
  <c r="HG281" i="9"/>
  <c r="GB281" i="9"/>
  <c r="GC281" i="9" s="1"/>
  <c r="GA281" i="9"/>
  <c r="GD281" i="9" s="1"/>
  <c r="FY281" i="9"/>
  <c r="FZ281" i="9" s="1"/>
  <c r="FX281" i="9"/>
  <c r="FU281" i="9"/>
  <c r="FT281" i="9"/>
  <c r="FS281" i="9"/>
  <c r="FR281" i="9"/>
  <c r="FV281" i="9" s="1"/>
  <c r="FO281" i="9"/>
  <c r="FL281" i="9"/>
  <c r="FK281" i="9"/>
  <c r="BT281" i="9"/>
  <c r="BY281" i="9" s="1"/>
  <c r="HY281" i="9" s="1"/>
  <c r="AD281" i="9"/>
  <c r="AB281" i="9"/>
  <c r="HM280" i="9"/>
  <c r="HW280" i="9" s="1"/>
  <c r="HL280" i="9"/>
  <c r="HK280" i="9"/>
  <c r="HJ280" i="9"/>
  <c r="HG280" i="9"/>
  <c r="GB280" i="9"/>
  <c r="GC280" i="9" s="1"/>
  <c r="GA280" i="9"/>
  <c r="FY280" i="9"/>
  <c r="FZ280" i="9" s="1"/>
  <c r="FX280" i="9"/>
  <c r="GD280" i="9" s="1"/>
  <c r="FU280" i="9"/>
  <c r="FT280" i="9"/>
  <c r="FS280" i="9"/>
  <c r="FR280" i="9"/>
  <c r="FO280" i="9"/>
  <c r="FL280" i="9"/>
  <c r="FK280" i="9"/>
  <c r="DE280" i="9"/>
  <c r="DS280" i="9" s="1"/>
  <c r="DU280" i="9" s="1"/>
  <c r="IA280" i="9" s="1"/>
  <c r="AD280" i="9"/>
  <c r="AB280" i="9"/>
  <c r="HM279" i="9"/>
  <c r="HW279" i="9" s="1"/>
  <c r="HL279" i="9"/>
  <c r="HK279" i="9"/>
  <c r="HJ279" i="9"/>
  <c r="HG279" i="9"/>
  <c r="GB279" i="9"/>
  <c r="GC279" i="9" s="1"/>
  <c r="GA279" i="9"/>
  <c r="FY279" i="9"/>
  <c r="FZ279" i="9" s="1"/>
  <c r="FX279" i="9"/>
  <c r="FU279" i="9"/>
  <c r="FT279" i="9"/>
  <c r="FS279" i="9"/>
  <c r="FR279" i="9"/>
  <c r="FO279" i="9"/>
  <c r="FL279" i="9"/>
  <c r="FK279" i="9"/>
  <c r="DU279" i="9"/>
  <c r="IA279" i="9" s="1"/>
  <c r="DE279" i="9"/>
  <c r="DS279" i="9" s="1"/>
  <c r="HY279" i="9" s="1"/>
  <c r="AD279" i="9"/>
  <c r="AB279" i="9"/>
  <c r="HM278" i="9"/>
  <c r="HW278" i="9" s="1"/>
  <c r="HL278" i="9"/>
  <c r="HK278" i="9"/>
  <c r="HJ278" i="9"/>
  <c r="HG278" i="9"/>
  <c r="GB278" i="9"/>
  <c r="GC278" i="9" s="1"/>
  <c r="GA278" i="9"/>
  <c r="FZ278" i="9"/>
  <c r="FY278" i="9"/>
  <c r="FX278" i="9"/>
  <c r="FU278" i="9"/>
  <c r="FT278" i="9"/>
  <c r="FS278" i="9"/>
  <c r="FR278" i="9"/>
  <c r="FO278" i="9"/>
  <c r="FL278" i="9"/>
  <c r="FK278" i="9"/>
  <c r="BT278" i="9"/>
  <c r="BY278" i="9" s="1"/>
  <c r="CA278" i="9" s="1"/>
  <c r="IA278" i="9" s="1"/>
  <c r="AD278" i="9"/>
  <c r="AB278" i="9"/>
  <c r="HM277" i="9"/>
  <c r="HW277" i="9" s="1"/>
  <c r="HL277" i="9"/>
  <c r="HK277" i="9"/>
  <c r="HJ277" i="9"/>
  <c r="HG277" i="9"/>
  <c r="GB277" i="9"/>
  <c r="GC277" i="9" s="1"/>
  <c r="GA277" i="9"/>
  <c r="GD277" i="9" s="1"/>
  <c r="FY277" i="9"/>
  <c r="FZ277" i="9" s="1"/>
  <c r="FX277" i="9"/>
  <c r="FU277" i="9"/>
  <c r="FT277" i="9"/>
  <c r="FS277" i="9"/>
  <c r="FR277" i="9"/>
  <c r="FO277" i="9"/>
  <c r="FL277" i="9"/>
  <c r="FK277" i="9"/>
  <c r="BT277" i="9"/>
  <c r="BY277" i="9" s="1"/>
  <c r="HY277" i="9" s="1"/>
  <c r="AD277" i="9"/>
  <c r="AB277" i="9"/>
  <c r="GQ276" i="9"/>
  <c r="GP276" i="9"/>
  <c r="GO276" i="9"/>
  <c r="GM276" i="9"/>
  <c r="GN276" i="9" s="1"/>
  <c r="GJ276" i="9"/>
  <c r="GK276" i="9" s="1"/>
  <c r="FU276" i="9"/>
  <c r="FT276" i="9"/>
  <c r="FS276" i="9"/>
  <c r="FQ276" i="9"/>
  <c r="FR276" i="9" s="1"/>
  <c r="FN276" i="9"/>
  <c r="FO276" i="9" s="1"/>
  <c r="FL276" i="9"/>
  <c r="FK276" i="9"/>
  <c r="BT276" i="9"/>
  <c r="BY276" i="9" s="1"/>
  <c r="BZ276" i="9" s="1"/>
  <c r="HZ276" i="9" s="1"/>
  <c r="AD276" i="9"/>
  <c r="AB276" i="9"/>
  <c r="GQ275" i="9"/>
  <c r="GP275" i="9"/>
  <c r="GO275" i="9"/>
  <c r="GM275" i="9"/>
  <c r="GN275" i="9" s="1"/>
  <c r="GJ275" i="9"/>
  <c r="GK275" i="9" s="1"/>
  <c r="FU275" i="9"/>
  <c r="FT275" i="9"/>
  <c r="FS275" i="9"/>
  <c r="FR275" i="9"/>
  <c r="FQ275" i="9"/>
  <c r="FN275" i="9"/>
  <c r="FO275" i="9" s="1"/>
  <c r="FL275" i="9"/>
  <c r="FK275" i="9"/>
  <c r="BT275" i="9"/>
  <c r="BY275" i="9" s="1"/>
  <c r="HY275" i="9" s="1"/>
  <c r="AD275" i="9"/>
  <c r="AB275" i="9"/>
  <c r="GQ274" i="9"/>
  <c r="GP274" i="9"/>
  <c r="GO274" i="9"/>
  <c r="GN274" i="9"/>
  <c r="GM274" i="9"/>
  <c r="GJ274" i="9"/>
  <c r="GK274" i="9" s="1"/>
  <c r="FU274" i="9"/>
  <c r="FT274" i="9"/>
  <c r="FS274" i="9"/>
  <c r="FQ274" i="9"/>
  <c r="FR274" i="9" s="1"/>
  <c r="FN274" i="9"/>
  <c r="FO274" i="9" s="1"/>
  <c r="FL274" i="9"/>
  <c r="FK274" i="9"/>
  <c r="BT274" i="9"/>
  <c r="BY274" i="9" s="1"/>
  <c r="CA274" i="9" s="1"/>
  <c r="IA274" i="9" s="1"/>
  <c r="AD274" i="9"/>
  <c r="AB274" i="9"/>
  <c r="GQ273" i="9"/>
  <c r="GP273" i="9"/>
  <c r="GO273" i="9"/>
  <c r="GM273" i="9"/>
  <c r="GN273" i="9" s="1"/>
  <c r="GJ273" i="9"/>
  <c r="GK273" i="9" s="1"/>
  <c r="FU273" i="9"/>
  <c r="FT273" i="9"/>
  <c r="FS273" i="9"/>
  <c r="FQ273" i="9"/>
  <c r="FR273" i="9" s="1"/>
  <c r="FN273" i="9"/>
  <c r="FO273" i="9" s="1"/>
  <c r="FL273" i="9"/>
  <c r="FK273" i="9"/>
  <c r="BT273" i="9"/>
  <c r="BY273" i="9" s="1"/>
  <c r="CA273" i="9" s="1"/>
  <c r="IA273" i="9" s="1"/>
  <c r="AD273" i="9"/>
  <c r="AB273" i="9"/>
  <c r="GQ272" i="9"/>
  <c r="GP272" i="9"/>
  <c r="GO272" i="9"/>
  <c r="GM272" i="9"/>
  <c r="GN272" i="9" s="1"/>
  <c r="GJ272" i="9"/>
  <c r="GK272" i="9" s="1"/>
  <c r="FU272" i="9"/>
  <c r="FT272" i="9"/>
  <c r="FS272" i="9"/>
  <c r="FQ272" i="9"/>
  <c r="FR272" i="9" s="1"/>
  <c r="FV272" i="9" s="1"/>
  <c r="FO272" i="9"/>
  <c r="FN272" i="9"/>
  <c r="FL272" i="9"/>
  <c r="FK272" i="9"/>
  <c r="BT272" i="9"/>
  <c r="BY272" i="9" s="1"/>
  <c r="BZ272" i="9" s="1"/>
  <c r="HZ272" i="9" s="1"/>
  <c r="AD272" i="9"/>
  <c r="AB272" i="9"/>
  <c r="GQ271" i="9"/>
  <c r="GP271" i="9"/>
  <c r="GO271" i="9"/>
  <c r="GM271" i="9"/>
  <c r="GN271" i="9" s="1"/>
  <c r="GR271" i="9" s="1"/>
  <c r="GJ271" i="9"/>
  <c r="GK271" i="9" s="1"/>
  <c r="FU271" i="9"/>
  <c r="FT271" i="9"/>
  <c r="FS271" i="9"/>
  <c r="FQ271" i="9"/>
  <c r="FR271" i="9" s="1"/>
  <c r="FV271" i="9" s="1"/>
  <c r="FN271" i="9"/>
  <c r="FO271" i="9" s="1"/>
  <c r="FL271" i="9"/>
  <c r="FK271" i="9"/>
  <c r="BT271" i="9"/>
  <c r="BY271" i="9" s="1"/>
  <c r="BZ271" i="9" s="1"/>
  <c r="HZ271" i="9" s="1"/>
  <c r="AD271" i="9"/>
  <c r="AB271" i="9"/>
  <c r="GQ270" i="9"/>
  <c r="GP270" i="9"/>
  <c r="GO270" i="9"/>
  <c r="GM270" i="9"/>
  <c r="GN270" i="9" s="1"/>
  <c r="GK270" i="9"/>
  <c r="GJ270" i="9"/>
  <c r="FU270" i="9"/>
  <c r="FT270" i="9"/>
  <c r="FS270" i="9"/>
  <c r="FQ270" i="9"/>
  <c r="FR270" i="9" s="1"/>
  <c r="FN270" i="9"/>
  <c r="FO270" i="9" s="1"/>
  <c r="FL270" i="9"/>
  <c r="FK270" i="9"/>
  <c r="BT270" i="9"/>
  <c r="BY270" i="9" s="1"/>
  <c r="AD270" i="9"/>
  <c r="AB270" i="9"/>
  <c r="GQ269" i="9"/>
  <c r="GP269" i="9"/>
  <c r="GO269" i="9"/>
  <c r="GM269" i="9"/>
  <c r="GN269" i="9" s="1"/>
  <c r="GJ269" i="9"/>
  <c r="GK269" i="9" s="1"/>
  <c r="FU269" i="9"/>
  <c r="FT269" i="9"/>
  <c r="FS269" i="9"/>
  <c r="FQ269" i="9"/>
  <c r="FR269" i="9" s="1"/>
  <c r="FN269" i="9"/>
  <c r="FO269" i="9" s="1"/>
  <c r="FL269" i="9"/>
  <c r="FK269" i="9"/>
  <c r="BT269" i="9"/>
  <c r="BY269" i="9" s="1"/>
  <c r="AD269" i="9"/>
  <c r="AB269" i="9"/>
  <c r="GC268" i="9"/>
  <c r="FY268" i="9"/>
  <c r="FZ268" i="9" s="1"/>
  <c r="FX268" i="9"/>
  <c r="GF268" i="9" s="1"/>
  <c r="FU268" i="9"/>
  <c r="FT268" i="9"/>
  <c r="FS268" i="9"/>
  <c r="FR268" i="9"/>
  <c r="FO268" i="9"/>
  <c r="IA267" i="9"/>
  <c r="HZ267" i="9"/>
  <c r="HY267" i="9"/>
  <c r="GC267" i="9"/>
  <c r="FY267" i="9"/>
  <c r="FZ267" i="9" s="1"/>
  <c r="FX267" i="9"/>
  <c r="GF267" i="9" s="1"/>
  <c r="FU267" i="9"/>
  <c r="FT267" i="9"/>
  <c r="FS267" i="9"/>
  <c r="FR267" i="9"/>
  <c r="FV267" i="9" s="1"/>
  <c r="FO267" i="9"/>
  <c r="IA266" i="9"/>
  <c r="HZ266" i="9"/>
  <c r="HY266" i="9"/>
  <c r="GC266" i="9"/>
  <c r="FY266" i="9"/>
  <c r="FZ266" i="9" s="1"/>
  <c r="FX266" i="9"/>
  <c r="GE266" i="9" s="1"/>
  <c r="FU266" i="9"/>
  <c r="FT266" i="9"/>
  <c r="FS266" i="9"/>
  <c r="FR266" i="9"/>
  <c r="FO266" i="9"/>
  <c r="IA265" i="9"/>
  <c r="HZ265" i="9"/>
  <c r="HY265" i="9"/>
  <c r="GC265" i="9"/>
  <c r="FY265" i="9"/>
  <c r="FZ265" i="9" s="1"/>
  <c r="FX265" i="9"/>
  <c r="GE265" i="9" s="1"/>
  <c r="FU265" i="9"/>
  <c r="FT265" i="9"/>
  <c r="FS265" i="9"/>
  <c r="FR265" i="9"/>
  <c r="FV265" i="9" s="1"/>
  <c r="FO265" i="9"/>
  <c r="GC264" i="9"/>
  <c r="FY264" i="9"/>
  <c r="FZ264" i="9" s="1"/>
  <c r="FX264" i="9"/>
  <c r="FU264" i="9"/>
  <c r="FT264" i="9"/>
  <c r="FS264" i="9"/>
  <c r="FR264" i="9"/>
  <c r="FO264" i="9"/>
  <c r="AX264" i="9"/>
  <c r="AZ264" i="9" s="1"/>
  <c r="BA264" i="9" s="1"/>
  <c r="HZ264" i="9" s="1"/>
  <c r="FU263" i="9"/>
  <c r="FT263" i="9"/>
  <c r="FS263" i="9"/>
  <c r="FR263" i="9"/>
  <c r="FO263" i="9"/>
  <c r="FL263" i="9"/>
  <c r="FK263" i="9"/>
  <c r="DE263" i="9"/>
  <c r="DS263" i="9" s="1"/>
  <c r="DU263" i="9" s="1"/>
  <c r="AX263" i="9"/>
  <c r="AZ263" i="9" s="1"/>
  <c r="AD263" i="9"/>
  <c r="AB263" i="9"/>
  <c r="FU262" i="9"/>
  <c r="FT262" i="9"/>
  <c r="FS262" i="9"/>
  <c r="FR262" i="9"/>
  <c r="FO262" i="9"/>
  <c r="FL262" i="9"/>
  <c r="FK262" i="9"/>
  <c r="DE262" i="9"/>
  <c r="DS262" i="9" s="1"/>
  <c r="DU262" i="9" s="1"/>
  <c r="AX262" i="9"/>
  <c r="AZ262" i="9" s="1"/>
  <c r="BB262" i="9" s="1"/>
  <c r="AD262" i="9"/>
  <c r="AB262" i="9"/>
  <c r="FU261" i="9"/>
  <c r="FT261" i="9"/>
  <c r="FS261" i="9"/>
  <c r="FR261" i="9"/>
  <c r="FO261" i="9"/>
  <c r="FL261" i="9"/>
  <c r="FK261" i="9"/>
  <c r="AX261" i="9"/>
  <c r="AZ261" i="9" s="1"/>
  <c r="HY261" i="9" s="1"/>
  <c r="AD261" i="9"/>
  <c r="AB261" i="9"/>
  <c r="FU260" i="9"/>
  <c r="FT260" i="9"/>
  <c r="FS260" i="9"/>
  <c r="FR260" i="9"/>
  <c r="FO260" i="9"/>
  <c r="FL260" i="9"/>
  <c r="FK260" i="9"/>
  <c r="DE260" i="9"/>
  <c r="DS260" i="9" s="1"/>
  <c r="DT260" i="9" s="1"/>
  <c r="HZ260" i="9" s="1"/>
  <c r="AD260" i="9"/>
  <c r="AB260" i="9"/>
  <c r="FU259" i="9"/>
  <c r="FT259" i="9"/>
  <c r="FS259" i="9"/>
  <c r="FR259" i="9"/>
  <c r="FO259" i="9"/>
  <c r="FL259" i="9"/>
  <c r="FK259" i="9"/>
  <c r="DS259" i="9"/>
  <c r="DT259" i="9" s="1"/>
  <c r="HZ259" i="9" s="1"/>
  <c r="DE259" i="9"/>
  <c r="AD259" i="9"/>
  <c r="AB259" i="9"/>
  <c r="HM258" i="9"/>
  <c r="HW258" i="9" s="1"/>
  <c r="HL258" i="9"/>
  <c r="HK258" i="9"/>
  <c r="HJ258" i="9"/>
  <c r="HN258" i="9" s="1"/>
  <c r="HG258" i="9"/>
  <c r="FU258" i="9"/>
  <c r="FT258" i="9"/>
  <c r="FS258" i="9"/>
  <c r="FR258" i="9"/>
  <c r="FO258" i="9"/>
  <c r="FL258" i="9"/>
  <c r="FK258" i="9"/>
  <c r="BT258" i="9"/>
  <c r="BY258" i="9" s="1"/>
  <c r="AX258" i="9"/>
  <c r="AZ258" i="9" s="1"/>
  <c r="AB258" i="9"/>
  <c r="HM257" i="9"/>
  <c r="HW257" i="9" s="1"/>
  <c r="HL257" i="9"/>
  <c r="HK257" i="9"/>
  <c r="HJ257" i="9"/>
  <c r="HG257" i="9"/>
  <c r="FU257" i="9"/>
  <c r="FT257" i="9"/>
  <c r="FS257" i="9"/>
  <c r="FR257" i="9"/>
  <c r="FO257" i="9"/>
  <c r="FL257" i="9"/>
  <c r="FK257" i="9"/>
  <c r="BT257" i="9"/>
  <c r="BY257" i="9" s="1"/>
  <c r="BZ257" i="9" s="1"/>
  <c r="HZ257" i="9" s="1"/>
  <c r="AB257" i="9"/>
  <c r="HM256" i="9"/>
  <c r="HW256" i="9" s="1"/>
  <c r="HL256" i="9"/>
  <c r="HK256" i="9"/>
  <c r="HJ256" i="9"/>
  <c r="HG256" i="9"/>
  <c r="FU256" i="9"/>
  <c r="FT256" i="9"/>
  <c r="FS256" i="9"/>
  <c r="FR256" i="9"/>
  <c r="FO256" i="9"/>
  <c r="FL256" i="9"/>
  <c r="FK256" i="9"/>
  <c r="BT256" i="9"/>
  <c r="BY256" i="9" s="1"/>
  <c r="BZ256" i="9" s="1"/>
  <c r="HZ256" i="9" s="1"/>
  <c r="AB256" i="9"/>
  <c r="HM255" i="9"/>
  <c r="HW255" i="9" s="1"/>
  <c r="HL255" i="9"/>
  <c r="HK255" i="9"/>
  <c r="HJ255" i="9"/>
  <c r="HG255" i="9"/>
  <c r="FU255" i="9"/>
  <c r="FT255" i="9"/>
  <c r="FS255" i="9"/>
  <c r="FQ255" i="9"/>
  <c r="FR255" i="9" s="1"/>
  <c r="FN255" i="9"/>
  <c r="FO255" i="9" s="1"/>
  <c r="FL255" i="9"/>
  <c r="FK255" i="9"/>
  <c r="DY255" i="9"/>
  <c r="ES255" i="9" s="1"/>
  <c r="ET255" i="9" s="1"/>
  <c r="HZ255" i="9" s="1"/>
  <c r="AB255" i="9"/>
  <c r="HM254" i="9"/>
  <c r="HW254" i="9" s="1"/>
  <c r="HL254" i="9"/>
  <c r="HK254" i="9"/>
  <c r="HJ254" i="9"/>
  <c r="HG254" i="9"/>
  <c r="FU254" i="9"/>
  <c r="FT254" i="9"/>
  <c r="FS254" i="9"/>
  <c r="FQ254" i="9"/>
  <c r="FR254" i="9" s="1"/>
  <c r="FN254" i="9"/>
  <c r="FO254" i="9" s="1"/>
  <c r="FL254" i="9"/>
  <c r="FK254" i="9"/>
  <c r="DY254" i="9"/>
  <c r="ES254" i="9" s="1"/>
  <c r="ET254" i="9" s="1"/>
  <c r="HZ254" i="9" s="1"/>
  <c r="AB254" i="9"/>
  <c r="HM253" i="9"/>
  <c r="HW253" i="9" s="1"/>
  <c r="HL253" i="9"/>
  <c r="HK253" i="9"/>
  <c r="HJ253" i="9"/>
  <c r="HG253" i="9"/>
  <c r="FU253" i="9"/>
  <c r="FT253" i="9"/>
  <c r="FS253" i="9"/>
  <c r="FQ253" i="9"/>
  <c r="FR253" i="9" s="1"/>
  <c r="FV253" i="9" s="1"/>
  <c r="FN253" i="9"/>
  <c r="FO253" i="9" s="1"/>
  <c r="FL253" i="9"/>
  <c r="FK253" i="9"/>
  <c r="DY253" i="9"/>
  <c r="ES253" i="9" s="1"/>
  <c r="AB253" i="9"/>
  <c r="HM252" i="9"/>
  <c r="HW252" i="9" s="1"/>
  <c r="HL252" i="9"/>
  <c r="HK252" i="9"/>
  <c r="HJ252" i="9"/>
  <c r="HG252" i="9"/>
  <c r="FU252" i="9"/>
  <c r="FT252" i="9"/>
  <c r="FS252" i="9"/>
  <c r="FQ252" i="9"/>
  <c r="FR252" i="9" s="1"/>
  <c r="FV252" i="9" s="1"/>
  <c r="FN252" i="9"/>
  <c r="FO252" i="9" s="1"/>
  <c r="FL252" i="9"/>
  <c r="FK252" i="9"/>
  <c r="AX252" i="9"/>
  <c r="AZ252" i="9" s="1"/>
  <c r="AB252" i="9"/>
  <c r="HM251" i="9"/>
  <c r="HW251" i="9" s="1"/>
  <c r="HL251" i="9"/>
  <c r="HK251" i="9"/>
  <c r="HJ251" i="9"/>
  <c r="HG251" i="9"/>
  <c r="FU251" i="9"/>
  <c r="FT251" i="9"/>
  <c r="FS251" i="9"/>
  <c r="FQ251" i="9"/>
  <c r="FR251" i="9" s="1"/>
  <c r="FN251" i="9"/>
  <c r="FO251" i="9" s="1"/>
  <c r="FL251" i="9"/>
  <c r="FK251" i="9"/>
  <c r="AX251" i="9"/>
  <c r="AZ251" i="9" s="1"/>
  <c r="AB251" i="9"/>
  <c r="HM250" i="9"/>
  <c r="HW250" i="9" s="1"/>
  <c r="HL250" i="9"/>
  <c r="HK250" i="9"/>
  <c r="HJ250" i="9"/>
  <c r="HG250" i="9"/>
  <c r="FU250" i="9"/>
  <c r="FT250" i="9"/>
  <c r="FS250" i="9"/>
  <c r="FR250" i="9"/>
  <c r="FQ250" i="9"/>
  <c r="FN250" i="9"/>
  <c r="FO250" i="9" s="1"/>
  <c r="FL250" i="9"/>
  <c r="FK250" i="9"/>
  <c r="AX250" i="9"/>
  <c r="AZ250" i="9" s="1"/>
  <c r="AB250" i="9"/>
  <c r="FU249" i="9"/>
  <c r="FT249" i="9"/>
  <c r="FS249" i="9"/>
  <c r="FQ249" i="9"/>
  <c r="FR249" i="9" s="1"/>
  <c r="FN249" i="9"/>
  <c r="FO249" i="9" s="1"/>
  <c r="FL249" i="9"/>
  <c r="FK249" i="9"/>
  <c r="EW249" i="9"/>
  <c r="HY249" i="9" s="1"/>
  <c r="DY249" i="9"/>
  <c r="ES249" i="9" s="1"/>
  <c r="AB249" i="9"/>
  <c r="FU248" i="9"/>
  <c r="FT248" i="9"/>
  <c r="FS248" i="9"/>
  <c r="FQ248" i="9"/>
  <c r="FR248" i="9" s="1"/>
  <c r="FN248" i="9"/>
  <c r="FO248" i="9" s="1"/>
  <c r="FL248" i="9"/>
  <c r="FK248" i="9"/>
  <c r="DY248" i="9"/>
  <c r="AB248" i="9"/>
  <c r="FU247" i="9"/>
  <c r="FT247" i="9"/>
  <c r="FS247" i="9"/>
  <c r="FQ247" i="9"/>
  <c r="FR247" i="9" s="1"/>
  <c r="FV247" i="9" s="1"/>
  <c r="FN247" i="9"/>
  <c r="FO247" i="9" s="1"/>
  <c r="FL247" i="9"/>
  <c r="FK247" i="9"/>
  <c r="DY247" i="9"/>
  <c r="ES247" i="9" s="1"/>
  <c r="AB247" i="9"/>
  <c r="FU246" i="9"/>
  <c r="FT246" i="9"/>
  <c r="FS246" i="9"/>
  <c r="FQ246" i="9"/>
  <c r="FR246" i="9" s="1"/>
  <c r="FN246" i="9"/>
  <c r="FO246" i="9" s="1"/>
  <c r="FL246" i="9"/>
  <c r="FK246" i="9"/>
  <c r="DY246" i="9"/>
  <c r="ES246" i="9" s="1"/>
  <c r="AB246" i="9"/>
  <c r="FU245" i="9"/>
  <c r="FT245" i="9"/>
  <c r="FS245" i="9"/>
  <c r="FR245" i="9"/>
  <c r="FV245" i="9" s="1"/>
  <c r="FQ245" i="9"/>
  <c r="FN245" i="9"/>
  <c r="FO245" i="9" s="1"/>
  <c r="FL245" i="9"/>
  <c r="FK245" i="9"/>
  <c r="DY245" i="9"/>
  <c r="ES245" i="9" s="1"/>
  <c r="AB245" i="9"/>
  <c r="FU244" i="9"/>
  <c r="FT244" i="9"/>
  <c r="FS244" i="9"/>
  <c r="FQ244" i="9"/>
  <c r="FR244" i="9" s="1"/>
  <c r="FN244" i="9"/>
  <c r="FO244" i="9" s="1"/>
  <c r="FL244" i="9"/>
  <c r="FK244" i="9"/>
  <c r="DY244" i="9"/>
  <c r="ES244" i="9" s="1"/>
  <c r="AB244" i="9"/>
  <c r="FU243" i="9"/>
  <c r="FT243" i="9"/>
  <c r="FS243" i="9"/>
  <c r="FR243" i="9"/>
  <c r="FO243" i="9"/>
  <c r="FL243" i="9"/>
  <c r="FK243" i="9"/>
  <c r="DY243" i="9"/>
  <c r="ES243" i="9" s="1"/>
  <c r="AB243" i="9"/>
  <c r="FU242" i="9"/>
  <c r="FT242" i="9"/>
  <c r="FS242" i="9"/>
  <c r="FR242" i="9"/>
  <c r="FV242" i="9" s="1"/>
  <c r="FO242" i="9"/>
  <c r="FL242" i="9"/>
  <c r="FK242" i="9"/>
  <c r="DY242" i="9"/>
  <c r="ES242" i="9" s="1"/>
  <c r="AB242" i="9"/>
  <c r="FU241" i="9"/>
  <c r="FT241" i="9"/>
  <c r="FS241" i="9"/>
  <c r="FR241" i="9"/>
  <c r="FO241" i="9"/>
  <c r="FL241" i="9"/>
  <c r="FK241" i="9"/>
  <c r="DY241" i="9"/>
  <c r="ES241" i="9" s="1"/>
  <c r="AB241" i="9"/>
  <c r="FU240" i="9"/>
  <c r="FT240" i="9"/>
  <c r="FS240" i="9"/>
  <c r="FR240" i="9"/>
  <c r="FV240" i="9" s="1"/>
  <c r="FO240" i="9"/>
  <c r="FL240" i="9"/>
  <c r="FK240" i="9"/>
  <c r="DY240" i="9"/>
  <c r="ES240" i="9" s="1"/>
  <c r="AB240" i="9"/>
  <c r="FU239" i="9"/>
  <c r="FT239" i="9"/>
  <c r="FS239" i="9"/>
  <c r="FR239" i="9"/>
  <c r="FO239" i="9"/>
  <c r="FL239" i="9"/>
  <c r="FK239" i="9"/>
  <c r="DY239" i="9"/>
  <c r="ES239" i="9" s="1"/>
  <c r="AB239" i="9"/>
  <c r="HI238" i="9"/>
  <c r="HJ238" i="9" s="1"/>
  <c r="HH238" i="9"/>
  <c r="HF238" i="9"/>
  <c r="HG238" i="9" s="1"/>
  <c r="HE238" i="9"/>
  <c r="FU238" i="9"/>
  <c r="FT238" i="9"/>
  <c r="FS238" i="9"/>
  <c r="FR238" i="9"/>
  <c r="FO238" i="9"/>
  <c r="FL238" i="9"/>
  <c r="FK238" i="9"/>
  <c r="CF238" i="9"/>
  <c r="CY238" i="9" s="1"/>
  <c r="AH238" i="9"/>
  <c r="AB238" i="9"/>
  <c r="HI237" i="9"/>
  <c r="HJ237" i="9" s="1"/>
  <c r="HH237" i="9"/>
  <c r="HG237" i="9"/>
  <c r="HF237" i="9"/>
  <c r="HE237" i="9"/>
  <c r="FU237" i="9"/>
  <c r="FT237" i="9"/>
  <c r="FS237" i="9"/>
  <c r="FR237" i="9"/>
  <c r="FV237" i="9" s="1"/>
  <c r="FO237" i="9"/>
  <c r="FL237" i="9"/>
  <c r="FK237" i="9"/>
  <c r="DY237" i="9"/>
  <c r="ES237" i="9" s="1"/>
  <c r="AH237" i="9"/>
  <c r="AB237" i="9"/>
  <c r="HI236" i="9"/>
  <c r="HJ236" i="9" s="1"/>
  <c r="HH236" i="9"/>
  <c r="HF236" i="9"/>
  <c r="HG236" i="9" s="1"/>
  <c r="HE236" i="9"/>
  <c r="FU236" i="9"/>
  <c r="FT236" i="9"/>
  <c r="FS236" i="9"/>
  <c r="FR236" i="9"/>
  <c r="FO236" i="9"/>
  <c r="FL236" i="9"/>
  <c r="FK236" i="9"/>
  <c r="CF236" i="9"/>
  <c r="CY236" i="9" s="1"/>
  <c r="AH236" i="9"/>
  <c r="AB236" i="9"/>
  <c r="FU235" i="9"/>
  <c r="FT235" i="9"/>
  <c r="FS235" i="9"/>
  <c r="FR235" i="9"/>
  <c r="FO235" i="9"/>
  <c r="FL235" i="9"/>
  <c r="FK235" i="9"/>
  <c r="AX235" i="9"/>
  <c r="AZ235" i="9" s="1"/>
  <c r="BA235" i="9" s="1"/>
  <c r="HZ235" i="9" s="1"/>
  <c r="AH235" i="9"/>
  <c r="AB235" i="9"/>
  <c r="FU234" i="9"/>
  <c r="FT234" i="9"/>
  <c r="FS234" i="9"/>
  <c r="FR234" i="9"/>
  <c r="FO234" i="9"/>
  <c r="FL234" i="9"/>
  <c r="FK234" i="9"/>
  <c r="AZ234" i="9"/>
  <c r="BB234" i="9" s="1"/>
  <c r="IA234" i="9" s="1"/>
  <c r="AX234" i="9"/>
  <c r="AH234" i="9"/>
  <c r="AB234" i="9"/>
  <c r="FU233" i="9"/>
  <c r="FT233" i="9"/>
  <c r="FS233" i="9"/>
  <c r="FR233" i="9"/>
  <c r="FV233" i="9" s="1"/>
  <c r="FO233" i="9"/>
  <c r="FL233" i="9"/>
  <c r="FK233" i="9"/>
  <c r="AX233" i="9"/>
  <c r="AZ233" i="9" s="1"/>
  <c r="AH233" i="9"/>
  <c r="AB233" i="9"/>
  <c r="FU232" i="9"/>
  <c r="FT232" i="9"/>
  <c r="FS232" i="9"/>
  <c r="FR232" i="9"/>
  <c r="FO232" i="9"/>
  <c r="FL232" i="9"/>
  <c r="FK232" i="9"/>
  <c r="AX232" i="9"/>
  <c r="AZ232" i="9" s="1"/>
  <c r="AH232" i="9"/>
  <c r="AB232" i="9"/>
  <c r="FU231" i="9"/>
  <c r="FT231" i="9"/>
  <c r="FS231" i="9"/>
  <c r="FR231" i="9"/>
  <c r="FV231" i="9" s="1"/>
  <c r="FO231" i="9"/>
  <c r="FL231" i="9"/>
  <c r="FK231" i="9"/>
  <c r="DY231" i="9"/>
  <c r="ES231" i="9" s="1"/>
  <c r="AH231" i="9"/>
  <c r="AB231" i="9"/>
  <c r="FU230" i="9"/>
  <c r="FT230" i="9"/>
  <c r="FS230" i="9"/>
  <c r="FR230" i="9"/>
  <c r="FO230" i="9"/>
  <c r="FL230" i="9"/>
  <c r="FK230" i="9"/>
  <c r="ES230" i="9"/>
  <c r="DY230" i="9"/>
  <c r="AH230" i="9"/>
  <c r="AB230" i="9"/>
  <c r="FU229" i="9"/>
  <c r="FT229" i="9"/>
  <c r="FS229" i="9"/>
  <c r="FR229" i="9"/>
  <c r="FO229" i="9"/>
  <c r="FL229" i="9"/>
  <c r="FK229" i="9"/>
  <c r="DY229" i="9"/>
  <c r="ES229" i="9" s="1"/>
  <c r="AH229" i="9"/>
  <c r="AB229" i="9"/>
  <c r="FU228" i="9"/>
  <c r="FT228" i="9"/>
  <c r="FS228" i="9"/>
  <c r="FR228" i="9"/>
  <c r="FO228" i="9"/>
  <c r="FL228" i="9"/>
  <c r="FK228" i="9"/>
  <c r="DY228" i="9"/>
  <c r="ES228" i="9" s="1"/>
  <c r="AH228" i="9"/>
  <c r="AB228" i="9"/>
  <c r="FU227" i="9"/>
  <c r="FT227" i="9"/>
  <c r="FS227" i="9"/>
  <c r="FR227" i="9"/>
  <c r="FO227" i="9"/>
  <c r="FL227" i="9"/>
  <c r="FK227" i="9"/>
  <c r="DY227" i="9"/>
  <c r="ES227" i="9" s="1"/>
  <c r="ET227" i="9" s="1"/>
  <c r="HZ227" i="9" s="1"/>
  <c r="AH227" i="9"/>
  <c r="AB227" i="9"/>
  <c r="FU226" i="9"/>
  <c r="FT226" i="9"/>
  <c r="FS226" i="9"/>
  <c r="FR226" i="9"/>
  <c r="FO226" i="9"/>
  <c r="FL226" i="9"/>
  <c r="FK226" i="9"/>
  <c r="DY226" i="9"/>
  <c r="ES226" i="9" s="1"/>
  <c r="AH226" i="9"/>
  <c r="AB226" i="9"/>
  <c r="FU225" i="9"/>
  <c r="FT225" i="9"/>
  <c r="FS225" i="9"/>
  <c r="FR225" i="9"/>
  <c r="FO225" i="9"/>
  <c r="FL225" i="9"/>
  <c r="FK225" i="9"/>
  <c r="DY225" i="9"/>
  <c r="ES225" i="9" s="1"/>
  <c r="AH225" i="9"/>
  <c r="AB225" i="9"/>
  <c r="FU224" i="9"/>
  <c r="FT224" i="9"/>
  <c r="FS224" i="9"/>
  <c r="FR224" i="9"/>
  <c r="FO224" i="9"/>
  <c r="FL224" i="9"/>
  <c r="FK224" i="9"/>
  <c r="DY224" i="9"/>
  <c r="ES224" i="9" s="1"/>
  <c r="AH224" i="9"/>
  <c r="AB224" i="9"/>
  <c r="GQ223" i="9"/>
  <c r="GP223" i="9"/>
  <c r="GO223" i="9"/>
  <c r="GN223" i="9"/>
  <c r="GR223" i="9" s="1"/>
  <c r="GK223" i="9"/>
  <c r="FU223" i="9"/>
  <c r="FT223" i="9"/>
  <c r="FS223" i="9"/>
  <c r="FR223" i="9"/>
  <c r="FV223" i="9" s="1"/>
  <c r="FO223" i="9"/>
  <c r="FL223" i="9"/>
  <c r="FK223" i="9"/>
  <c r="AX223" i="9"/>
  <c r="AZ223" i="9" s="1"/>
  <c r="AH223" i="9"/>
  <c r="AB223" i="9"/>
  <c r="GQ222" i="9"/>
  <c r="GP222" i="9"/>
  <c r="GO222" i="9"/>
  <c r="GN222" i="9"/>
  <c r="GR222" i="9" s="1"/>
  <c r="GK222" i="9"/>
  <c r="FU222" i="9"/>
  <c r="FT222" i="9"/>
  <c r="FS222" i="9"/>
  <c r="FR222" i="9"/>
  <c r="FO222" i="9"/>
  <c r="FL222" i="9"/>
  <c r="FK222" i="9"/>
  <c r="DY222" i="9"/>
  <c r="ES222" i="9" s="1"/>
  <c r="HY222" i="9" s="1"/>
  <c r="AH222" i="9"/>
  <c r="AB222" i="9"/>
  <c r="GQ221" i="9"/>
  <c r="GP221" i="9"/>
  <c r="GO221" i="9"/>
  <c r="GN221" i="9"/>
  <c r="GK221" i="9"/>
  <c r="FU221" i="9"/>
  <c r="FT221" i="9"/>
  <c r="FS221" i="9"/>
  <c r="FR221" i="9"/>
  <c r="FO221" i="9"/>
  <c r="FL221" i="9"/>
  <c r="FK221" i="9"/>
  <c r="ES221" i="9"/>
  <c r="HY221" i="9" s="1"/>
  <c r="DY221" i="9"/>
  <c r="AH221" i="9"/>
  <c r="AB221" i="9"/>
  <c r="GQ220" i="9"/>
  <c r="GP220" i="9"/>
  <c r="GO220" i="9"/>
  <c r="GN220" i="9"/>
  <c r="GK220" i="9"/>
  <c r="FU220" i="9"/>
  <c r="FT220" i="9"/>
  <c r="FS220" i="9"/>
  <c r="FR220" i="9"/>
  <c r="FO220" i="9"/>
  <c r="FL220" i="9"/>
  <c r="FK220" i="9"/>
  <c r="DY220" i="9"/>
  <c r="ES220" i="9" s="1"/>
  <c r="AH220" i="9"/>
  <c r="AB220" i="9"/>
  <c r="GQ219" i="9"/>
  <c r="GP219" i="9"/>
  <c r="GO219" i="9"/>
  <c r="GN219" i="9"/>
  <c r="GK219" i="9"/>
  <c r="FU219" i="9"/>
  <c r="FT219" i="9"/>
  <c r="FS219" i="9"/>
  <c r="FR219" i="9"/>
  <c r="FO219" i="9"/>
  <c r="FL219" i="9"/>
  <c r="FK219" i="9"/>
  <c r="DY219" i="9"/>
  <c r="ES219" i="9" s="1"/>
  <c r="AH219" i="9"/>
  <c r="AB219" i="9"/>
  <c r="HB218" i="9"/>
  <c r="HA218" i="9"/>
  <c r="GZ218" i="9"/>
  <c r="GX218" i="9"/>
  <c r="GY218" i="9" s="1"/>
  <c r="GU218" i="9"/>
  <c r="GV218" i="9" s="1"/>
  <c r="GQ218" i="9"/>
  <c r="GP218" i="9"/>
  <c r="GO218" i="9"/>
  <c r="GM218" i="9"/>
  <c r="GN218" i="9" s="1"/>
  <c r="GJ218" i="9"/>
  <c r="GK218" i="9" s="1"/>
  <c r="FU218" i="9"/>
  <c r="FT218" i="9"/>
  <c r="FS218" i="9"/>
  <c r="FR218" i="9"/>
  <c r="FO218" i="9"/>
  <c r="FL218" i="9"/>
  <c r="FK218" i="9"/>
  <c r="DY218" i="9"/>
  <c r="ES218" i="9" s="1"/>
  <c r="AB218" i="9"/>
  <c r="HB217" i="9"/>
  <c r="HA217" i="9"/>
  <c r="GZ217" i="9"/>
  <c r="GX217" i="9"/>
  <c r="GY217" i="9" s="1"/>
  <c r="HC217" i="9" s="1"/>
  <c r="GU217" i="9"/>
  <c r="GV217" i="9" s="1"/>
  <c r="GQ217" i="9"/>
  <c r="GP217" i="9"/>
  <c r="GO217" i="9"/>
  <c r="GM217" i="9"/>
  <c r="GN217" i="9" s="1"/>
  <c r="GJ217" i="9"/>
  <c r="GK217" i="9" s="1"/>
  <c r="FU217" i="9"/>
  <c r="FT217" i="9"/>
  <c r="FS217" i="9"/>
  <c r="FR217" i="9"/>
  <c r="FO217" i="9"/>
  <c r="FL217" i="9"/>
  <c r="FK217" i="9"/>
  <c r="DY217" i="9"/>
  <c r="ES217" i="9" s="1"/>
  <c r="AB217" i="9"/>
  <c r="HB216" i="9"/>
  <c r="HA216" i="9"/>
  <c r="GZ216" i="9"/>
  <c r="GX216" i="9"/>
  <c r="GY216" i="9" s="1"/>
  <c r="GU216" i="9"/>
  <c r="GV216" i="9" s="1"/>
  <c r="GQ216" i="9"/>
  <c r="GP216" i="9"/>
  <c r="GO216" i="9"/>
  <c r="GN216" i="9"/>
  <c r="GM216" i="9"/>
  <c r="GJ216" i="9"/>
  <c r="GK216" i="9" s="1"/>
  <c r="FU216" i="9"/>
  <c r="FT216" i="9"/>
  <c r="FS216" i="9"/>
  <c r="FR216" i="9"/>
  <c r="FO216" i="9"/>
  <c r="FL216" i="9"/>
  <c r="FK216" i="9"/>
  <c r="DY216" i="9"/>
  <c r="ES216" i="9" s="1"/>
  <c r="AB216" i="9"/>
  <c r="GF215" i="9"/>
  <c r="GE215" i="9"/>
  <c r="GD215" i="9"/>
  <c r="GB215" i="9"/>
  <c r="GC215" i="9" s="1"/>
  <c r="FY215" i="9"/>
  <c r="FZ215" i="9" s="1"/>
  <c r="FU215" i="9"/>
  <c r="FT215" i="9"/>
  <c r="FS215" i="9"/>
  <c r="FQ215" i="9"/>
  <c r="FR215" i="9" s="1"/>
  <c r="FV215" i="9" s="1"/>
  <c r="FN215" i="9"/>
  <c r="FO215" i="9" s="1"/>
  <c r="FL215" i="9"/>
  <c r="FK215" i="9"/>
  <c r="DY215" i="9"/>
  <c r="ES215" i="9" s="1"/>
  <c r="AB215" i="9"/>
  <c r="HM214" i="9"/>
  <c r="HW214" i="9" s="1"/>
  <c r="HL214" i="9"/>
  <c r="HK214" i="9"/>
  <c r="HI214" i="9"/>
  <c r="HJ214" i="9" s="1"/>
  <c r="HF214" i="9"/>
  <c r="HG214" i="9" s="1"/>
  <c r="FU214" i="9"/>
  <c r="FT214" i="9"/>
  <c r="FS214" i="9"/>
  <c r="FR214" i="9"/>
  <c r="FO214" i="9"/>
  <c r="FL214" i="9"/>
  <c r="FK214" i="9"/>
  <c r="DY214" i="9"/>
  <c r="ES214" i="9" s="1"/>
  <c r="ET214" i="9" s="1"/>
  <c r="HZ214" i="9" s="1"/>
  <c r="AB214" i="9"/>
  <c r="HM213" i="9"/>
  <c r="HW213" i="9" s="1"/>
  <c r="HL213" i="9"/>
  <c r="HK213" i="9"/>
  <c r="HI213" i="9"/>
  <c r="HJ213" i="9" s="1"/>
  <c r="HF213" i="9"/>
  <c r="HG213" i="9" s="1"/>
  <c r="FU213" i="9"/>
  <c r="FT213" i="9"/>
  <c r="FS213" i="9"/>
  <c r="FR213" i="9"/>
  <c r="FO213" i="9"/>
  <c r="FL213" i="9"/>
  <c r="FK213" i="9"/>
  <c r="DY213" i="9"/>
  <c r="ES213" i="9" s="1"/>
  <c r="HY213" i="9" s="1"/>
  <c r="AB213" i="9"/>
  <c r="HM212" i="9"/>
  <c r="HW212" i="9" s="1"/>
  <c r="HL212" i="9"/>
  <c r="HK212" i="9"/>
  <c r="HI212" i="9"/>
  <c r="HJ212" i="9" s="1"/>
  <c r="HF212" i="9"/>
  <c r="HG212" i="9" s="1"/>
  <c r="FU212" i="9"/>
  <c r="FT212" i="9"/>
  <c r="FS212" i="9"/>
  <c r="FR212" i="9"/>
  <c r="FO212" i="9"/>
  <c r="FV212" i="9" s="1"/>
  <c r="FL212" i="9"/>
  <c r="FK212" i="9"/>
  <c r="DY212" i="9"/>
  <c r="ES212" i="9" s="1"/>
  <c r="AB212" i="9"/>
  <c r="HM211" i="9"/>
  <c r="HW211" i="9" s="1"/>
  <c r="HL211" i="9"/>
  <c r="HK211" i="9"/>
  <c r="HI211" i="9"/>
  <c r="HJ211" i="9" s="1"/>
  <c r="HF211" i="9"/>
  <c r="HG211" i="9" s="1"/>
  <c r="FU211" i="9"/>
  <c r="FT211" i="9"/>
  <c r="FS211" i="9"/>
  <c r="FR211" i="9"/>
  <c r="FO211" i="9"/>
  <c r="FL211" i="9"/>
  <c r="FK211" i="9"/>
  <c r="DY211" i="9"/>
  <c r="ES211" i="9" s="1"/>
  <c r="AB211" i="9"/>
  <c r="HW210" i="9"/>
  <c r="HM210" i="9"/>
  <c r="HL210" i="9"/>
  <c r="HK210" i="9"/>
  <c r="HI210" i="9"/>
  <c r="HJ210" i="9" s="1"/>
  <c r="HF210" i="9"/>
  <c r="HG210" i="9" s="1"/>
  <c r="FU210" i="9"/>
  <c r="FT210" i="9"/>
  <c r="FS210" i="9"/>
  <c r="FR210" i="9"/>
  <c r="FO210" i="9"/>
  <c r="FL210" i="9"/>
  <c r="FK210" i="9"/>
  <c r="AX210" i="9"/>
  <c r="AZ210" i="9" s="1"/>
  <c r="AB210" i="9"/>
  <c r="HM209" i="9"/>
  <c r="HW209" i="9" s="1"/>
  <c r="HL209" i="9"/>
  <c r="HK209" i="9"/>
  <c r="HI209" i="9"/>
  <c r="HJ209" i="9" s="1"/>
  <c r="HF209" i="9"/>
  <c r="HG209" i="9" s="1"/>
  <c r="FU209" i="9"/>
  <c r="FT209" i="9"/>
  <c r="FS209" i="9"/>
  <c r="FR209" i="9"/>
  <c r="FO209" i="9"/>
  <c r="FL209" i="9"/>
  <c r="FK209" i="9"/>
  <c r="AX209" i="9"/>
  <c r="AZ209" i="9" s="1"/>
  <c r="AB209" i="9"/>
  <c r="HM208" i="9"/>
  <c r="HW208" i="9" s="1"/>
  <c r="HL208" i="9"/>
  <c r="HK208" i="9"/>
  <c r="HI208" i="9"/>
  <c r="HJ208" i="9" s="1"/>
  <c r="HF208" i="9"/>
  <c r="HG208" i="9" s="1"/>
  <c r="FU208" i="9"/>
  <c r="FT208" i="9"/>
  <c r="FS208" i="9"/>
  <c r="FR208" i="9"/>
  <c r="FV208" i="9" s="1"/>
  <c r="FO208" i="9"/>
  <c r="FL208" i="9"/>
  <c r="FK208" i="9"/>
  <c r="AX208" i="9"/>
  <c r="AZ208" i="9" s="1"/>
  <c r="AB208" i="9"/>
  <c r="HM207" i="9"/>
  <c r="HW207" i="9" s="1"/>
  <c r="HL207" i="9"/>
  <c r="HK207" i="9"/>
  <c r="HI207" i="9"/>
  <c r="HJ207" i="9" s="1"/>
  <c r="HF207" i="9"/>
  <c r="HG207" i="9" s="1"/>
  <c r="FU207" i="9"/>
  <c r="FT207" i="9"/>
  <c r="FS207" i="9"/>
  <c r="FR207" i="9"/>
  <c r="FO207" i="9"/>
  <c r="FL207" i="9"/>
  <c r="FK207" i="9"/>
  <c r="AX207" i="9"/>
  <c r="AZ207" i="9" s="1"/>
  <c r="AB207" i="9"/>
  <c r="HM206" i="9"/>
  <c r="HW206" i="9" s="1"/>
  <c r="HL206" i="9"/>
  <c r="HK206" i="9"/>
  <c r="HI206" i="9"/>
  <c r="HJ206" i="9" s="1"/>
  <c r="HF206" i="9"/>
  <c r="HG206" i="9" s="1"/>
  <c r="FU206" i="9"/>
  <c r="FT206" i="9"/>
  <c r="FS206" i="9"/>
  <c r="FR206" i="9"/>
  <c r="FO206" i="9"/>
  <c r="FL206" i="9"/>
  <c r="FK206" i="9"/>
  <c r="AX206" i="9"/>
  <c r="AZ206" i="9" s="1"/>
  <c r="AB206" i="9"/>
  <c r="FU205" i="9"/>
  <c r="FT205" i="9"/>
  <c r="FS205" i="9"/>
  <c r="FR205" i="9"/>
  <c r="FV205" i="9" s="1"/>
  <c r="FO205" i="9"/>
  <c r="FL205" i="9"/>
  <c r="FK205" i="9"/>
  <c r="AX205" i="9"/>
  <c r="AZ205" i="9" s="1"/>
  <c r="AB205" i="9"/>
  <c r="FU204" i="9"/>
  <c r="FT204" i="9"/>
  <c r="FS204" i="9"/>
  <c r="FR204" i="9"/>
  <c r="FO204" i="9"/>
  <c r="FL204" i="9"/>
  <c r="FK204" i="9"/>
  <c r="AX204" i="9"/>
  <c r="AZ204" i="9" s="1"/>
  <c r="AB204" i="9"/>
  <c r="HM203" i="9"/>
  <c r="HW203" i="9" s="1"/>
  <c r="HL203" i="9"/>
  <c r="HK203" i="9"/>
  <c r="HJ203" i="9"/>
  <c r="HN203" i="9" s="1"/>
  <c r="HG203" i="9"/>
  <c r="GQ203" i="9"/>
  <c r="GP203" i="9"/>
  <c r="GO203" i="9"/>
  <c r="GN203" i="9"/>
  <c r="GK203" i="9"/>
  <c r="GF203" i="9"/>
  <c r="GE203" i="9"/>
  <c r="GD203" i="9"/>
  <c r="GC203" i="9"/>
  <c r="GG203" i="9" s="1"/>
  <c r="FZ203" i="9"/>
  <c r="FU203" i="9"/>
  <c r="FT203" i="9"/>
  <c r="FS203" i="9"/>
  <c r="FR203" i="9"/>
  <c r="FO203" i="9"/>
  <c r="FL203" i="9"/>
  <c r="FK203" i="9"/>
  <c r="DE203" i="9"/>
  <c r="DS203" i="9" s="1"/>
  <c r="AB203" i="9"/>
  <c r="HM202" i="9"/>
  <c r="HW202" i="9" s="1"/>
  <c r="HL202" i="9"/>
  <c r="HK202" i="9"/>
  <c r="HJ202" i="9"/>
  <c r="HG202" i="9"/>
  <c r="GQ202" i="9"/>
  <c r="GP202" i="9"/>
  <c r="GO202" i="9"/>
  <c r="GN202" i="9"/>
  <c r="GR202" i="9" s="1"/>
  <c r="GK202" i="9"/>
  <c r="GF202" i="9"/>
  <c r="GE202" i="9"/>
  <c r="GD202" i="9"/>
  <c r="GC202" i="9"/>
  <c r="GG202" i="9" s="1"/>
  <c r="FZ202" i="9"/>
  <c r="FU202" i="9"/>
  <c r="FT202" i="9"/>
  <c r="FS202" i="9"/>
  <c r="FR202" i="9"/>
  <c r="FO202" i="9"/>
  <c r="FL202" i="9"/>
  <c r="FK202" i="9"/>
  <c r="DE202" i="9"/>
  <c r="DS202" i="9" s="1"/>
  <c r="AB202" i="9"/>
  <c r="HM201" i="9"/>
  <c r="HW201" i="9" s="1"/>
  <c r="HL201" i="9"/>
  <c r="HK201" i="9"/>
  <c r="HJ201" i="9"/>
  <c r="HG201" i="9"/>
  <c r="GQ201" i="9"/>
  <c r="GP201" i="9"/>
  <c r="GO201" i="9"/>
  <c r="GN201" i="9"/>
  <c r="GK201" i="9"/>
  <c r="GF201" i="9"/>
  <c r="GE201" i="9"/>
  <c r="GD201" i="9"/>
  <c r="GC201" i="9"/>
  <c r="GG201" i="9" s="1"/>
  <c r="FZ201" i="9"/>
  <c r="FU201" i="9"/>
  <c r="FT201" i="9"/>
  <c r="FS201" i="9"/>
  <c r="FR201" i="9"/>
  <c r="FO201" i="9"/>
  <c r="FV201" i="9" s="1"/>
  <c r="FL201" i="9"/>
  <c r="FK201" i="9"/>
  <c r="DE201" i="9"/>
  <c r="DS201" i="9" s="1"/>
  <c r="DU201" i="9" s="1"/>
  <c r="HX201" i="9" s="1"/>
  <c r="AB201" i="9"/>
  <c r="HM200" i="9"/>
  <c r="HW200" i="9" s="1"/>
  <c r="HL200" i="9"/>
  <c r="HK200" i="9"/>
  <c r="HJ200" i="9"/>
  <c r="HG200" i="9"/>
  <c r="GQ200" i="9"/>
  <c r="GP200" i="9"/>
  <c r="GO200" i="9"/>
  <c r="GN200" i="9"/>
  <c r="GK200" i="9"/>
  <c r="GF200" i="9"/>
  <c r="GE200" i="9"/>
  <c r="GD200" i="9"/>
  <c r="GC200" i="9"/>
  <c r="GG200" i="9" s="1"/>
  <c r="FZ200" i="9"/>
  <c r="FU200" i="9"/>
  <c r="FT200" i="9"/>
  <c r="FS200" i="9"/>
  <c r="FR200" i="9"/>
  <c r="FO200" i="9"/>
  <c r="FL200" i="9"/>
  <c r="FK200" i="9"/>
  <c r="DE200" i="9"/>
  <c r="DS200" i="9" s="1"/>
  <c r="HY200" i="9" s="1"/>
  <c r="AB200" i="9"/>
  <c r="HM199" i="9"/>
  <c r="HW199" i="9" s="1"/>
  <c r="HL199" i="9"/>
  <c r="HK199" i="9"/>
  <c r="HJ199" i="9"/>
  <c r="HG199" i="9"/>
  <c r="GQ199" i="9"/>
  <c r="GP199" i="9"/>
  <c r="GO199" i="9"/>
  <c r="GN199" i="9"/>
  <c r="GK199" i="9"/>
  <c r="GF199" i="9"/>
  <c r="GE199" i="9"/>
  <c r="GD199" i="9"/>
  <c r="GC199" i="9"/>
  <c r="GG199" i="9" s="1"/>
  <c r="FZ199" i="9"/>
  <c r="FU199" i="9"/>
  <c r="FT199" i="9"/>
  <c r="FS199" i="9"/>
  <c r="FR199" i="9"/>
  <c r="FO199" i="9"/>
  <c r="FL199" i="9"/>
  <c r="FK199" i="9"/>
  <c r="DE199" i="9"/>
  <c r="DS199" i="9" s="1"/>
  <c r="AB199" i="9"/>
  <c r="HM198" i="9"/>
  <c r="HW198" i="9" s="1"/>
  <c r="HL198" i="9"/>
  <c r="HK198" i="9"/>
  <c r="HJ198" i="9"/>
  <c r="HG198" i="9"/>
  <c r="GQ198" i="9"/>
  <c r="GP198" i="9"/>
  <c r="GO198" i="9"/>
  <c r="GN198" i="9"/>
  <c r="GK198" i="9"/>
  <c r="GF198" i="9"/>
  <c r="GE198" i="9"/>
  <c r="GD198" i="9"/>
  <c r="GC198" i="9"/>
  <c r="GG198" i="9" s="1"/>
  <c r="FZ198" i="9"/>
  <c r="FU198" i="9"/>
  <c r="FT198" i="9"/>
  <c r="FS198" i="9"/>
  <c r="FR198" i="9"/>
  <c r="FO198" i="9"/>
  <c r="FL198" i="9"/>
  <c r="FK198" i="9"/>
  <c r="DE198" i="9"/>
  <c r="DS198" i="9" s="1"/>
  <c r="AB198" i="9"/>
  <c r="HM197" i="9"/>
  <c r="HW197" i="9" s="1"/>
  <c r="HL197" i="9"/>
  <c r="HK197" i="9"/>
  <c r="HJ197" i="9"/>
  <c r="HG197" i="9"/>
  <c r="GQ197" i="9"/>
  <c r="GP197" i="9"/>
  <c r="GO197" i="9"/>
  <c r="GN197" i="9"/>
  <c r="GK197" i="9"/>
  <c r="GF197" i="9"/>
  <c r="GE197" i="9"/>
  <c r="GD197" i="9"/>
  <c r="GC197" i="9"/>
  <c r="GG197" i="9" s="1"/>
  <c r="FZ197" i="9"/>
  <c r="FU197" i="9"/>
  <c r="FT197" i="9"/>
  <c r="FS197" i="9"/>
  <c r="FR197" i="9"/>
  <c r="FO197" i="9"/>
  <c r="FL197" i="9"/>
  <c r="FK197" i="9"/>
  <c r="DE197" i="9"/>
  <c r="DS197" i="9" s="1"/>
  <c r="AB197" i="9"/>
  <c r="HM196" i="9"/>
  <c r="HW196" i="9" s="1"/>
  <c r="HL196" i="9"/>
  <c r="HK196" i="9"/>
  <c r="HJ196" i="9"/>
  <c r="HG196" i="9"/>
  <c r="GQ196" i="9"/>
  <c r="GP196" i="9"/>
  <c r="GO196" i="9"/>
  <c r="GN196" i="9"/>
  <c r="GK196" i="9"/>
  <c r="GF196" i="9"/>
  <c r="GE196" i="9"/>
  <c r="GD196" i="9"/>
  <c r="GC196" i="9"/>
  <c r="FZ196" i="9"/>
  <c r="FU196" i="9"/>
  <c r="FT196" i="9"/>
  <c r="FS196" i="9"/>
  <c r="FR196" i="9"/>
  <c r="FO196" i="9"/>
  <c r="FV196" i="9" s="1"/>
  <c r="FL196" i="9"/>
  <c r="FK196" i="9"/>
  <c r="DS196" i="9"/>
  <c r="DT196" i="9" s="1"/>
  <c r="HZ196" i="9" s="1"/>
  <c r="DE196" i="9"/>
  <c r="AB196" i="9"/>
  <c r="HM195" i="9"/>
  <c r="HW195" i="9" s="1"/>
  <c r="HL195" i="9"/>
  <c r="HK195" i="9"/>
  <c r="HI195" i="9"/>
  <c r="HJ195" i="9" s="1"/>
  <c r="HF195" i="9"/>
  <c r="HG195" i="9" s="1"/>
  <c r="FU195" i="9"/>
  <c r="FT195" i="9"/>
  <c r="FS195" i="9"/>
  <c r="FQ195" i="9"/>
  <c r="FR195" i="9" s="1"/>
  <c r="FV195" i="9" s="1"/>
  <c r="FN195" i="9"/>
  <c r="FO195" i="9" s="1"/>
  <c r="FL195" i="9"/>
  <c r="FK195" i="9"/>
  <c r="BY195" i="9"/>
  <c r="CA195" i="9" s="1"/>
  <c r="BT195" i="9"/>
  <c r="AD195" i="9"/>
  <c r="AB195" i="9"/>
  <c r="HW194" i="9"/>
  <c r="HM194" i="9"/>
  <c r="HL194" i="9"/>
  <c r="HK194" i="9"/>
  <c r="HI194" i="9"/>
  <c r="HJ194" i="9" s="1"/>
  <c r="HF194" i="9"/>
  <c r="HG194" i="9" s="1"/>
  <c r="FU194" i="9"/>
  <c r="FT194" i="9"/>
  <c r="FS194" i="9"/>
  <c r="FQ194" i="9"/>
  <c r="FR194" i="9" s="1"/>
  <c r="FN194" i="9"/>
  <c r="FO194" i="9" s="1"/>
  <c r="FL194" i="9"/>
  <c r="FK194" i="9"/>
  <c r="BT194" i="9"/>
  <c r="BY194" i="9" s="1"/>
  <c r="AD194" i="9"/>
  <c r="AB194" i="9"/>
  <c r="HM193" i="9"/>
  <c r="HW193" i="9" s="1"/>
  <c r="HL193" i="9"/>
  <c r="HK193" i="9"/>
  <c r="HI193" i="9"/>
  <c r="HJ193" i="9" s="1"/>
  <c r="HF193" i="9"/>
  <c r="HG193" i="9" s="1"/>
  <c r="FU193" i="9"/>
  <c r="FT193" i="9"/>
  <c r="FS193" i="9"/>
  <c r="FQ193" i="9"/>
  <c r="FR193" i="9" s="1"/>
  <c r="FV193" i="9" s="1"/>
  <c r="FN193" i="9"/>
  <c r="FO193" i="9" s="1"/>
  <c r="FL193" i="9"/>
  <c r="FK193" i="9"/>
  <c r="BT193" i="9"/>
  <c r="BY193" i="9" s="1"/>
  <c r="AD193" i="9"/>
  <c r="AB193" i="9"/>
  <c r="HM192" i="9"/>
  <c r="HW192" i="9" s="1"/>
  <c r="HL192" i="9"/>
  <c r="HK192" i="9"/>
  <c r="HI192" i="9"/>
  <c r="HJ192" i="9" s="1"/>
  <c r="HF192" i="9"/>
  <c r="HG192" i="9" s="1"/>
  <c r="FU192" i="9"/>
  <c r="FT192" i="9"/>
  <c r="FS192" i="9"/>
  <c r="FQ192" i="9"/>
  <c r="FR192" i="9" s="1"/>
  <c r="FN192" i="9"/>
  <c r="FO192" i="9" s="1"/>
  <c r="FL192" i="9"/>
  <c r="FK192" i="9"/>
  <c r="BT192" i="9"/>
  <c r="BY192" i="9" s="1"/>
  <c r="AD192" i="9"/>
  <c r="AB192" i="9"/>
  <c r="HM191" i="9"/>
  <c r="HW191" i="9" s="1"/>
  <c r="HL191" i="9"/>
  <c r="HK191" i="9"/>
  <c r="HI191" i="9"/>
  <c r="HJ191" i="9" s="1"/>
  <c r="HF191" i="9"/>
  <c r="HG191" i="9" s="1"/>
  <c r="FU191" i="9"/>
  <c r="FT191" i="9"/>
  <c r="FS191" i="9"/>
  <c r="FQ191" i="9"/>
  <c r="FR191" i="9" s="1"/>
  <c r="FN191" i="9"/>
  <c r="FO191" i="9" s="1"/>
  <c r="FL191" i="9"/>
  <c r="FK191" i="9"/>
  <c r="AZ191" i="9"/>
  <c r="AX191" i="9"/>
  <c r="AD191" i="9"/>
  <c r="AB191" i="9"/>
  <c r="HM190" i="9"/>
  <c r="HW190" i="9" s="1"/>
  <c r="HL190" i="9"/>
  <c r="HK190" i="9"/>
  <c r="HI190" i="9"/>
  <c r="HJ190" i="9" s="1"/>
  <c r="HG190" i="9"/>
  <c r="HF190" i="9"/>
  <c r="FU190" i="9"/>
  <c r="FT190" i="9"/>
  <c r="FS190" i="9"/>
  <c r="FQ190" i="9"/>
  <c r="FR190" i="9" s="1"/>
  <c r="FN190" i="9"/>
  <c r="FO190" i="9" s="1"/>
  <c r="FL190" i="9"/>
  <c r="FK190" i="9"/>
  <c r="AX190" i="9"/>
  <c r="AZ190" i="9" s="1"/>
  <c r="AD190" i="9"/>
  <c r="AB190" i="9"/>
  <c r="HM189" i="9"/>
  <c r="HW189" i="9" s="1"/>
  <c r="HL189" i="9"/>
  <c r="HK189" i="9"/>
  <c r="HI189" i="9"/>
  <c r="HJ189" i="9" s="1"/>
  <c r="HF189" i="9"/>
  <c r="HG189" i="9" s="1"/>
  <c r="FU189" i="9"/>
  <c r="FT189" i="9"/>
  <c r="FS189" i="9"/>
  <c r="FQ189" i="9"/>
  <c r="FR189" i="9" s="1"/>
  <c r="FN189" i="9"/>
  <c r="FO189" i="9" s="1"/>
  <c r="FL189" i="9"/>
  <c r="FK189" i="9"/>
  <c r="AX189" i="9"/>
  <c r="AZ189" i="9" s="1"/>
  <c r="AD189" i="9"/>
  <c r="AB189" i="9"/>
  <c r="HM188" i="9"/>
  <c r="HW188" i="9" s="1"/>
  <c r="HL188" i="9"/>
  <c r="HK188" i="9"/>
  <c r="HI188" i="9"/>
  <c r="HJ188" i="9" s="1"/>
  <c r="HF188" i="9"/>
  <c r="HG188" i="9" s="1"/>
  <c r="FU188" i="9"/>
  <c r="FT188" i="9"/>
  <c r="FS188" i="9"/>
  <c r="FQ188" i="9"/>
  <c r="FR188" i="9" s="1"/>
  <c r="FN188" i="9"/>
  <c r="FO188" i="9" s="1"/>
  <c r="FL188" i="9"/>
  <c r="FK188" i="9"/>
  <c r="AX188" i="9"/>
  <c r="AZ188" i="9" s="1"/>
  <c r="BB188" i="9" s="1"/>
  <c r="AD188" i="9"/>
  <c r="AB188" i="9"/>
  <c r="HM187" i="9"/>
  <c r="HW187" i="9" s="1"/>
  <c r="HL187" i="9"/>
  <c r="HK187" i="9"/>
  <c r="HI187" i="9"/>
  <c r="HJ187" i="9" s="1"/>
  <c r="HF187" i="9"/>
  <c r="HG187" i="9" s="1"/>
  <c r="FU187" i="9"/>
  <c r="FT187" i="9"/>
  <c r="FS187" i="9"/>
  <c r="FQ187" i="9"/>
  <c r="FR187" i="9" s="1"/>
  <c r="FN187" i="9"/>
  <c r="FO187" i="9" s="1"/>
  <c r="FL187" i="9"/>
  <c r="FK187" i="9"/>
  <c r="BT187" i="9"/>
  <c r="BY187" i="9" s="1"/>
  <c r="CA187" i="9" s="1"/>
  <c r="AD187" i="9"/>
  <c r="AB187" i="9"/>
  <c r="HM186" i="9"/>
  <c r="HW186" i="9" s="1"/>
  <c r="HL186" i="9"/>
  <c r="HK186" i="9"/>
  <c r="HI186" i="9"/>
  <c r="HJ186" i="9" s="1"/>
  <c r="HF186" i="9"/>
  <c r="HG186" i="9" s="1"/>
  <c r="FU186" i="9"/>
  <c r="FT186" i="9"/>
  <c r="FS186" i="9"/>
  <c r="FQ186" i="9"/>
  <c r="FR186" i="9" s="1"/>
  <c r="FO186" i="9"/>
  <c r="FN186" i="9"/>
  <c r="FL186" i="9"/>
  <c r="FK186" i="9"/>
  <c r="BT186" i="9"/>
  <c r="BY186" i="9" s="1"/>
  <c r="AD186" i="9"/>
  <c r="AB186" i="9"/>
  <c r="HM185" i="9"/>
  <c r="HW185" i="9" s="1"/>
  <c r="HL185" i="9"/>
  <c r="HK185" i="9"/>
  <c r="HI185" i="9"/>
  <c r="HJ185" i="9" s="1"/>
  <c r="HF185" i="9"/>
  <c r="HG185" i="9" s="1"/>
  <c r="FU185" i="9"/>
  <c r="FT185" i="9"/>
  <c r="FS185" i="9"/>
  <c r="FQ185" i="9"/>
  <c r="FR185" i="9" s="1"/>
  <c r="FV185" i="9" s="1"/>
  <c r="FN185" i="9"/>
  <c r="FO185" i="9" s="1"/>
  <c r="FL185" i="9"/>
  <c r="FK185" i="9"/>
  <c r="BT185" i="9"/>
  <c r="BY185" i="9" s="1"/>
  <c r="AD185" i="9"/>
  <c r="AB185" i="9"/>
  <c r="HM184" i="9"/>
  <c r="HW184" i="9" s="1"/>
  <c r="HL184" i="9"/>
  <c r="HK184" i="9"/>
  <c r="HI184" i="9"/>
  <c r="HJ184" i="9" s="1"/>
  <c r="HF184" i="9"/>
  <c r="HG184" i="9" s="1"/>
  <c r="FU184" i="9"/>
  <c r="FT184" i="9"/>
  <c r="FS184" i="9"/>
  <c r="FQ184" i="9"/>
  <c r="FR184" i="9" s="1"/>
  <c r="FN184" i="9"/>
  <c r="FO184" i="9" s="1"/>
  <c r="FL184" i="9"/>
  <c r="FK184" i="9"/>
  <c r="BT184" i="9"/>
  <c r="BY184" i="9" s="1"/>
  <c r="CA184" i="9" s="1"/>
  <c r="HX184" i="9" s="1"/>
  <c r="AD184" i="9"/>
  <c r="AB184" i="9"/>
  <c r="HM183" i="9"/>
  <c r="HW183" i="9" s="1"/>
  <c r="HL183" i="9"/>
  <c r="HK183" i="9"/>
  <c r="HJ183" i="9"/>
  <c r="HI183" i="9"/>
  <c r="HF183" i="9"/>
  <c r="HG183" i="9" s="1"/>
  <c r="FU183" i="9"/>
  <c r="FT183" i="9"/>
  <c r="FS183" i="9"/>
  <c r="FQ183" i="9"/>
  <c r="FR183" i="9" s="1"/>
  <c r="FN183" i="9"/>
  <c r="FO183" i="9" s="1"/>
  <c r="FL183" i="9"/>
  <c r="FK183" i="9"/>
  <c r="AX183" i="9"/>
  <c r="AZ183" i="9" s="1"/>
  <c r="BB183" i="9" s="1"/>
  <c r="AD183" i="9"/>
  <c r="AB183" i="9"/>
  <c r="HM182" i="9"/>
  <c r="HW182" i="9" s="1"/>
  <c r="HL182" i="9"/>
  <c r="HK182" i="9"/>
  <c r="HI182" i="9"/>
  <c r="HJ182" i="9" s="1"/>
  <c r="HF182" i="9"/>
  <c r="HG182" i="9" s="1"/>
  <c r="FU182" i="9"/>
  <c r="FT182" i="9"/>
  <c r="FS182" i="9"/>
  <c r="FQ182" i="9"/>
  <c r="FR182" i="9" s="1"/>
  <c r="FN182" i="9"/>
  <c r="FO182" i="9" s="1"/>
  <c r="FL182" i="9"/>
  <c r="FK182" i="9"/>
  <c r="AX182" i="9"/>
  <c r="AZ182" i="9" s="1"/>
  <c r="AD182" i="9"/>
  <c r="AB182" i="9"/>
  <c r="HM181" i="9"/>
  <c r="HW181" i="9" s="1"/>
  <c r="HL181" i="9"/>
  <c r="HK181" i="9"/>
  <c r="HI181" i="9"/>
  <c r="HJ181" i="9" s="1"/>
  <c r="HF181" i="9"/>
  <c r="HG181" i="9" s="1"/>
  <c r="FU181" i="9"/>
  <c r="FT181" i="9"/>
  <c r="FS181" i="9"/>
  <c r="FQ181" i="9"/>
  <c r="FR181" i="9" s="1"/>
  <c r="FN181" i="9"/>
  <c r="FO181" i="9" s="1"/>
  <c r="FL181" i="9"/>
  <c r="FK181" i="9"/>
  <c r="AX181" i="9"/>
  <c r="AZ181" i="9" s="1"/>
  <c r="AD181" i="9"/>
  <c r="AB181" i="9"/>
  <c r="HM180" i="9"/>
  <c r="HW180" i="9" s="1"/>
  <c r="HL180" i="9"/>
  <c r="HK180" i="9"/>
  <c r="HI180" i="9"/>
  <c r="HJ180" i="9" s="1"/>
  <c r="HF180" i="9"/>
  <c r="HG180" i="9" s="1"/>
  <c r="FU180" i="9"/>
  <c r="FT180" i="9"/>
  <c r="FS180" i="9"/>
  <c r="FQ180" i="9"/>
  <c r="FR180" i="9" s="1"/>
  <c r="FN180" i="9"/>
  <c r="FO180" i="9" s="1"/>
  <c r="FL180" i="9"/>
  <c r="FK180" i="9"/>
  <c r="AX180" i="9"/>
  <c r="AZ180" i="9" s="1"/>
  <c r="BB180" i="9" s="1"/>
  <c r="AD180" i="9"/>
  <c r="AB180" i="9"/>
  <c r="HM179" i="9"/>
  <c r="HW179" i="9" s="1"/>
  <c r="HL179" i="9"/>
  <c r="HK179" i="9"/>
  <c r="HJ179" i="9"/>
  <c r="HG179" i="9"/>
  <c r="FU179" i="9"/>
  <c r="FT179" i="9"/>
  <c r="FS179" i="9"/>
  <c r="FR179" i="9"/>
  <c r="FO179" i="9"/>
  <c r="FL179" i="9"/>
  <c r="FK179" i="9"/>
  <c r="CF179" i="9"/>
  <c r="EW179" i="9" s="1"/>
  <c r="HY179" i="9" s="1"/>
  <c r="AD179" i="9"/>
  <c r="AB179" i="9"/>
  <c r="HM178" i="9"/>
  <c r="HW178" i="9" s="1"/>
  <c r="HL178" i="9"/>
  <c r="HK178" i="9"/>
  <c r="HJ178" i="9"/>
  <c r="HG178" i="9"/>
  <c r="FU178" i="9"/>
  <c r="FT178" i="9"/>
  <c r="FS178" i="9"/>
  <c r="FR178" i="9"/>
  <c r="FO178" i="9"/>
  <c r="FL178" i="9"/>
  <c r="FK178" i="9"/>
  <c r="CF178" i="9"/>
  <c r="AD178" i="9"/>
  <c r="AB178" i="9"/>
  <c r="HM177" i="9"/>
  <c r="HW177" i="9" s="1"/>
  <c r="HL177" i="9"/>
  <c r="HK177" i="9"/>
  <c r="HJ177" i="9"/>
  <c r="HG177" i="9"/>
  <c r="FU177" i="9"/>
  <c r="FT177" i="9"/>
  <c r="FS177" i="9"/>
  <c r="FR177" i="9"/>
  <c r="FO177" i="9"/>
  <c r="FL177" i="9"/>
  <c r="FK177" i="9"/>
  <c r="CF177" i="9"/>
  <c r="EW177" i="9" s="1"/>
  <c r="HY177" i="9" s="1"/>
  <c r="AD177" i="9"/>
  <c r="AB177" i="9"/>
  <c r="HM176" i="9"/>
  <c r="HW176" i="9" s="1"/>
  <c r="HL176" i="9"/>
  <c r="HK176" i="9"/>
  <c r="HJ176" i="9"/>
  <c r="HG176" i="9"/>
  <c r="FU176" i="9"/>
  <c r="FT176" i="9"/>
  <c r="FS176" i="9"/>
  <c r="FR176" i="9"/>
  <c r="FO176" i="9"/>
  <c r="FL176" i="9"/>
  <c r="FK176" i="9"/>
  <c r="CF176" i="9"/>
  <c r="AD176" i="9"/>
  <c r="AB176" i="9"/>
  <c r="HM175" i="9"/>
  <c r="HW175" i="9" s="1"/>
  <c r="HL175" i="9"/>
  <c r="HK175" i="9"/>
  <c r="HJ175" i="9"/>
  <c r="HG175" i="9"/>
  <c r="FU175" i="9"/>
  <c r="FT175" i="9"/>
  <c r="FS175" i="9"/>
  <c r="FR175" i="9"/>
  <c r="FO175" i="9"/>
  <c r="FL175" i="9"/>
  <c r="FK175" i="9"/>
  <c r="EW175" i="9"/>
  <c r="HY175" i="9" s="1"/>
  <c r="CF175" i="9"/>
  <c r="CY175" i="9" s="1"/>
  <c r="AD175" i="9"/>
  <c r="AB175" i="9"/>
  <c r="HM174" i="9"/>
  <c r="HW174" i="9" s="1"/>
  <c r="HL174" i="9"/>
  <c r="HK174" i="9"/>
  <c r="HJ174" i="9"/>
  <c r="HG174" i="9"/>
  <c r="FU174" i="9"/>
  <c r="FT174" i="9"/>
  <c r="FS174" i="9"/>
  <c r="FR174" i="9"/>
  <c r="FO174" i="9"/>
  <c r="FL174" i="9"/>
  <c r="FK174" i="9"/>
  <c r="CF174" i="9"/>
  <c r="EW174" i="9" s="1"/>
  <c r="HY174" i="9" s="1"/>
  <c r="AD174" i="9"/>
  <c r="AB174" i="9"/>
  <c r="HM173" i="9"/>
  <c r="HW173" i="9" s="1"/>
  <c r="HL173" i="9"/>
  <c r="HK173" i="9"/>
  <c r="HJ173" i="9"/>
  <c r="HG173" i="9"/>
  <c r="FU173" i="9"/>
  <c r="FT173" i="9"/>
  <c r="FS173" i="9"/>
  <c r="FR173" i="9"/>
  <c r="FO173" i="9"/>
  <c r="FL173" i="9"/>
  <c r="FK173" i="9"/>
  <c r="CF173" i="9"/>
  <c r="EW173" i="9" s="1"/>
  <c r="HY173" i="9" s="1"/>
  <c r="AD173" i="9"/>
  <c r="AB173" i="9"/>
  <c r="HM172" i="9"/>
  <c r="HW172" i="9" s="1"/>
  <c r="HL172" i="9"/>
  <c r="HK172" i="9"/>
  <c r="HJ172" i="9"/>
  <c r="HN172" i="9" s="1"/>
  <c r="HG172" i="9"/>
  <c r="FU172" i="9"/>
  <c r="FT172" i="9"/>
  <c r="FS172" i="9"/>
  <c r="FR172" i="9"/>
  <c r="FV172" i="9" s="1"/>
  <c r="FO172" i="9"/>
  <c r="FL172" i="9"/>
  <c r="FK172" i="9"/>
  <c r="CF172" i="9"/>
  <c r="AD172" i="9"/>
  <c r="AB172" i="9"/>
  <c r="HM171" i="9"/>
  <c r="HW171" i="9" s="1"/>
  <c r="HL171" i="9"/>
  <c r="HK171" i="9"/>
  <c r="HJ171" i="9"/>
  <c r="HG171" i="9"/>
  <c r="FU171" i="9"/>
  <c r="FT171" i="9"/>
  <c r="FS171" i="9"/>
  <c r="FR171" i="9"/>
  <c r="FO171" i="9"/>
  <c r="FL171" i="9"/>
  <c r="FK171" i="9"/>
  <c r="AX171" i="9"/>
  <c r="AZ171" i="9" s="1"/>
  <c r="HY171" i="9" s="1"/>
  <c r="AD171" i="9"/>
  <c r="AB171" i="9"/>
  <c r="HM170" i="9"/>
  <c r="HW170" i="9" s="1"/>
  <c r="HL170" i="9"/>
  <c r="HK170" i="9"/>
  <c r="HJ170" i="9"/>
  <c r="HG170" i="9"/>
  <c r="FU170" i="9"/>
  <c r="FT170" i="9"/>
  <c r="FS170" i="9"/>
  <c r="FR170" i="9"/>
  <c r="FO170" i="9"/>
  <c r="FL170" i="9"/>
  <c r="FK170" i="9"/>
  <c r="AX170" i="9"/>
  <c r="AZ170" i="9" s="1"/>
  <c r="AD170" i="9"/>
  <c r="AB170" i="9"/>
  <c r="HM169" i="9"/>
  <c r="HW169" i="9" s="1"/>
  <c r="HL169" i="9"/>
  <c r="HK169" i="9"/>
  <c r="HJ169" i="9"/>
  <c r="HN169" i="9" s="1"/>
  <c r="HG169" i="9"/>
  <c r="FU169" i="9"/>
  <c r="FT169" i="9"/>
  <c r="FS169" i="9"/>
  <c r="FR169" i="9"/>
  <c r="FO169" i="9"/>
  <c r="FL169" i="9"/>
  <c r="FK169" i="9"/>
  <c r="CF169" i="9"/>
  <c r="CY169" i="9" s="1"/>
  <c r="AD169" i="9"/>
  <c r="AB169" i="9"/>
  <c r="HM168" i="9"/>
  <c r="HW168" i="9" s="1"/>
  <c r="HL168" i="9"/>
  <c r="HK168" i="9"/>
  <c r="HJ168" i="9"/>
  <c r="HG168" i="9"/>
  <c r="FU168" i="9"/>
  <c r="FT168" i="9"/>
  <c r="FS168" i="9"/>
  <c r="FR168" i="9"/>
  <c r="FO168" i="9"/>
  <c r="FL168" i="9"/>
  <c r="FK168" i="9"/>
  <c r="CF168" i="9"/>
  <c r="CY168" i="9" s="1"/>
  <c r="HY168" i="9" s="1"/>
  <c r="AD168" i="9"/>
  <c r="AB168" i="9"/>
  <c r="HM167" i="9"/>
  <c r="HW167" i="9" s="1"/>
  <c r="HL167" i="9"/>
  <c r="HK167" i="9"/>
  <c r="HJ167" i="9"/>
  <c r="HG167" i="9"/>
  <c r="FU167" i="9"/>
  <c r="FT167" i="9"/>
  <c r="FS167" i="9"/>
  <c r="FR167" i="9"/>
  <c r="FO167" i="9"/>
  <c r="FL167" i="9"/>
  <c r="FK167" i="9"/>
  <c r="CF167" i="9"/>
  <c r="CY167" i="9" s="1"/>
  <c r="HY167" i="9" s="1"/>
  <c r="AD167" i="9"/>
  <c r="AB167" i="9"/>
  <c r="HM166" i="9"/>
  <c r="HW166" i="9" s="1"/>
  <c r="HL166" i="9"/>
  <c r="HK166" i="9"/>
  <c r="HJ166" i="9"/>
  <c r="HN166" i="9" s="1"/>
  <c r="HG166" i="9"/>
  <c r="FU166" i="9"/>
  <c r="FT166" i="9"/>
  <c r="FS166" i="9"/>
  <c r="FR166" i="9"/>
  <c r="FV166" i="9" s="1"/>
  <c r="FO166" i="9"/>
  <c r="FL166" i="9"/>
  <c r="FK166" i="9"/>
  <c r="CF166" i="9"/>
  <c r="CY166" i="9" s="1"/>
  <c r="AD166" i="9"/>
  <c r="AB166" i="9"/>
  <c r="GY165" i="9"/>
  <c r="GW165" i="9"/>
  <c r="GV165" i="9"/>
  <c r="GT165" i="9"/>
  <c r="GL165" i="9"/>
  <c r="GI165" i="9"/>
  <c r="GJ165" i="9" s="1"/>
  <c r="GK165" i="9" s="1"/>
  <c r="FU165" i="9"/>
  <c r="FT165" i="9"/>
  <c r="FS165" i="9"/>
  <c r="FR165" i="9"/>
  <c r="FO165" i="9"/>
  <c r="FL165" i="9"/>
  <c r="FK165" i="9"/>
  <c r="EO165" i="9"/>
  <c r="DY165" i="9"/>
  <c r="ES165" i="9" s="1"/>
  <c r="CY165" i="9"/>
  <c r="CU165" i="9"/>
  <c r="CF165" i="9"/>
  <c r="AB165" i="9"/>
  <c r="GY164" i="9"/>
  <c r="GW164" i="9"/>
  <c r="GV164" i="9"/>
  <c r="GT164" i="9"/>
  <c r="GL164" i="9"/>
  <c r="GI164" i="9"/>
  <c r="FU164" i="9"/>
  <c r="FT164" i="9"/>
  <c r="FS164" i="9"/>
  <c r="FR164" i="9"/>
  <c r="FO164" i="9"/>
  <c r="FL164" i="9"/>
  <c r="FK164" i="9"/>
  <c r="EO164" i="9"/>
  <c r="DY164" i="9"/>
  <c r="ES164" i="9" s="1"/>
  <c r="CU164" i="9"/>
  <c r="CF164" i="9"/>
  <c r="AB164" i="9"/>
  <c r="GY163" i="9"/>
  <c r="GW163" i="9"/>
  <c r="GV163" i="9"/>
  <c r="GT163" i="9"/>
  <c r="GL163" i="9"/>
  <c r="GM163" i="9" s="1"/>
  <c r="GN163" i="9" s="1"/>
  <c r="GI163" i="9"/>
  <c r="GJ163" i="9" s="1"/>
  <c r="GK163" i="9" s="1"/>
  <c r="FU163" i="9"/>
  <c r="FT163" i="9"/>
  <c r="FS163" i="9"/>
  <c r="FR163" i="9"/>
  <c r="FO163" i="9"/>
  <c r="FL163" i="9"/>
  <c r="FK163" i="9"/>
  <c r="CU163" i="9"/>
  <c r="CF163" i="9"/>
  <c r="CY163" i="9" s="1"/>
  <c r="AB163" i="9"/>
  <c r="GY162" i="9"/>
  <c r="GW162" i="9"/>
  <c r="GV162" i="9"/>
  <c r="GT162" i="9"/>
  <c r="GL162" i="9"/>
  <c r="GI162" i="9"/>
  <c r="GJ162" i="9" s="1"/>
  <c r="GK162" i="9" s="1"/>
  <c r="FU162" i="9"/>
  <c r="FT162" i="9"/>
  <c r="FS162" i="9"/>
  <c r="FR162" i="9"/>
  <c r="FO162" i="9"/>
  <c r="FL162" i="9"/>
  <c r="FK162" i="9"/>
  <c r="CU162" i="9"/>
  <c r="CF162" i="9"/>
  <c r="CY162" i="9" s="1"/>
  <c r="DA162" i="9" s="1"/>
  <c r="IA162" i="9" s="1"/>
  <c r="AB162" i="9"/>
  <c r="GY161" i="9"/>
  <c r="GW161" i="9"/>
  <c r="GV161" i="9"/>
  <c r="GT161" i="9"/>
  <c r="GL161" i="9"/>
  <c r="GI161" i="9"/>
  <c r="GJ161" i="9" s="1"/>
  <c r="GK161" i="9" s="1"/>
  <c r="FU161" i="9"/>
  <c r="FT161" i="9"/>
  <c r="FS161" i="9"/>
  <c r="FR161" i="9"/>
  <c r="FO161" i="9"/>
  <c r="FL161" i="9"/>
  <c r="FK161" i="9"/>
  <c r="CU161" i="9"/>
  <c r="CF161" i="9"/>
  <c r="CY161" i="9" s="1"/>
  <c r="HY161" i="9" s="1"/>
  <c r="AB161" i="9"/>
  <c r="GY160" i="9"/>
  <c r="GW160" i="9"/>
  <c r="GZ160" i="9" s="1"/>
  <c r="GV160" i="9"/>
  <c r="GT160" i="9"/>
  <c r="GL160" i="9"/>
  <c r="GI160" i="9"/>
  <c r="GJ160" i="9" s="1"/>
  <c r="GK160" i="9" s="1"/>
  <c r="FU160" i="9"/>
  <c r="FT160" i="9"/>
  <c r="FS160" i="9"/>
  <c r="FR160" i="9"/>
  <c r="FO160" i="9"/>
  <c r="FL160" i="9"/>
  <c r="FK160" i="9"/>
  <c r="CU160" i="9"/>
  <c r="CF160" i="9"/>
  <c r="CY160" i="9" s="1"/>
  <c r="CZ160" i="9" s="1"/>
  <c r="HZ160" i="9" s="1"/>
  <c r="AB160" i="9"/>
  <c r="GY159" i="9"/>
  <c r="GW159" i="9"/>
  <c r="GV159" i="9"/>
  <c r="GT159" i="9"/>
  <c r="GL159" i="9"/>
  <c r="GI159" i="9"/>
  <c r="GQ159" i="9" s="1"/>
  <c r="FU159" i="9"/>
  <c r="FT159" i="9"/>
  <c r="FS159" i="9"/>
  <c r="FR159" i="9"/>
  <c r="FO159" i="9"/>
  <c r="FV159" i="9" s="1"/>
  <c r="FL159" i="9"/>
  <c r="FK159" i="9"/>
  <c r="EO159" i="9"/>
  <c r="DY159" i="9"/>
  <c r="ES159" i="9" s="1"/>
  <c r="AB159" i="9"/>
  <c r="HY158" i="9"/>
  <c r="GY158" i="9"/>
  <c r="GW158" i="9"/>
  <c r="GV158" i="9"/>
  <c r="GT158" i="9"/>
  <c r="GL158" i="9"/>
  <c r="GI158" i="9"/>
  <c r="GJ158" i="9" s="1"/>
  <c r="GK158" i="9" s="1"/>
  <c r="FU158" i="9"/>
  <c r="FT158" i="9"/>
  <c r="FS158" i="9"/>
  <c r="FR158" i="9"/>
  <c r="FO158" i="9"/>
  <c r="FL158" i="9"/>
  <c r="FK158" i="9"/>
  <c r="EO158" i="9"/>
  <c r="DY158" i="9"/>
  <c r="ES158" i="9" s="1"/>
  <c r="AB158" i="9"/>
  <c r="IA157" i="9"/>
  <c r="HZ157" i="9"/>
  <c r="HY157" i="9"/>
  <c r="GY157" i="9"/>
  <c r="GW157" i="9"/>
  <c r="GV157" i="9"/>
  <c r="GT157" i="9"/>
  <c r="GL157" i="9"/>
  <c r="GO157" i="9" s="1"/>
  <c r="GJ157" i="9"/>
  <c r="GK157" i="9" s="1"/>
  <c r="GI157" i="9"/>
  <c r="GP157" i="9" s="1"/>
  <c r="FU157" i="9"/>
  <c r="FT157" i="9"/>
  <c r="FS157" i="9"/>
  <c r="FR157" i="9"/>
  <c r="FO157" i="9"/>
  <c r="FL157" i="9"/>
  <c r="FK157" i="9"/>
  <c r="AB157" i="9"/>
  <c r="GQ156" i="9"/>
  <c r="GP156" i="9"/>
  <c r="GO156" i="9"/>
  <c r="GN156" i="9"/>
  <c r="GK156" i="9"/>
  <c r="GF156" i="9"/>
  <c r="GE156" i="9"/>
  <c r="GD156" i="9"/>
  <c r="GC156" i="9"/>
  <c r="FZ156" i="9"/>
  <c r="FU156" i="9"/>
  <c r="FT156" i="9"/>
  <c r="FS156" i="9"/>
  <c r="FR156" i="9"/>
  <c r="FO156" i="9"/>
  <c r="CT156" i="9"/>
  <c r="CL156" i="9"/>
  <c r="CF156" i="9"/>
  <c r="CY156" i="9" s="1"/>
  <c r="GQ155" i="9"/>
  <c r="GP155" i="9"/>
  <c r="GO155" i="9"/>
  <c r="GN155" i="9"/>
  <c r="GK155" i="9"/>
  <c r="GF155" i="9"/>
  <c r="GE155" i="9"/>
  <c r="GD155" i="9"/>
  <c r="GC155" i="9"/>
  <c r="FZ155" i="9"/>
  <c r="FU155" i="9"/>
  <c r="FT155" i="9"/>
  <c r="FS155" i="9"/>
  <c r="FR155" i="9"/>
  <c r="FO155" i="9"/>
  <c r="CT155" i="9"/>
  <c r="CL155" i="9"/>
  <c r="CF155" i="9"/>
  <c r="CY155" i="9" s="1"/>
  <c r="GQ154" i="9"/>
  <c r="GP154" i="9"/>
  <c r="GO154" i="9"/>
  <c r="GN154" i="9"/>
  <c r="GR154" i="9" s="1"/>
  <c r="GK154" i="9"/>
  <c r="GF154" i="9"/>
  <c r="GE154" i="9"/>
  <c r="GD154" i="9"/>
  <c r="GC154" i="9"/>
  <c r="FZ154" i="9"/>
  <c r="FU154" i="9"/>
  <c r="FT154" i="9"/>
  <c r="FS154" i="9"/>
  <c r="FR154" i="9"/>
  <c r="FO154" i="9"/>
  <c r="DP154" i="9"/>
  <c r="DK154" i="9"/>
  <c r="DE154" i="9"/>
  <c r="DS154" i="9" s="1"/>
  <c r="HY154" i="9" s="1"/>
  <c r="GQ153" i="9"/>
  <c r="GP153" i="9"/>
  <c r="GO153" i="9"/>
  <c r="GN153" i="9"/>
  <c r="GK153" i="9"/>
  <c r="GF153" i="9"/>
  <c r="GE153" i="9"/>
  <c r="GD153" i="9"/>
  <c r="GC153" i="9"/>
  <c r="FZ153" i="9"/>
  <c r="FU153" i="9"/>
  <c r="FT153" i="9"/>
  <c r="FS153" i="9"/>
  <c r="FR153" i="9"/>
  <c r="FO153" i="9"/>
  <c r="CT153" i="9"/>
  <c r="CL153" i="9"/>
  <c r="CF153" i="9"/>
  <c r="CY153" i="9" s="1"/>
  <c r="GQ152" i="9"/>
  <c r="GP152" i="9"/>
  <c r="GO152" i="9"/>
  <c r="GN152" i="9"/>
  <c r="GK152" i="9"/>
  <c r="GF152" i="9"/>
  <c r="GE152" i="9"/>
  <c r="GD152" i="9"/>
  <c r="GC152" i="9"/>
  <c r="FZ152" i="9"/>
  <c r="FU152" i="9"/>
  <c r="FT152" i="9"/>
  <c r="FS152" i="9"/>
  <c r="FR152" i="9"/>
  <c r="FO152" i="9"/>
  <c r="CT152" i="9"/>
  <c r="CL152" i="9"/>
  <c r="CF152" i="9"/>
  <c r="CY152" i="9" s="1"/>
  <c r="GQ151" i="9"/>
  <c r="GP151" i="9"/>
  <c r="GO151" i="9"/>
  <c r="GN151" i="9"/>
  <c r="GK151" i="9"/>
  <c r="GF151" i="9"/>
  <c r="GE151" i="9"/>
  <c r="GD151" i="9"/>
  <c r="GC151" i="9"/>
  <c r="FZ151" i="9"/>
  <c r="FU151" i="9"/>
  <c r="FT151" i="9"/>
  <c r="FS151" i="9"/>
  <c r="FQ151" i="9"/>
  <c r="FR151" i="9" s="1"/>
  <c r="FO151" i="9"/>
  <c r="DP151" i="9"/>
  <c r="DK151" i="9"/>
  <c r="DE151" i="9"/>
  <c r="DS151" i="9" s="1"/>
  <c r="GW150" i="9"/>
  <c r="GT150" i="9"/>
  <c r="GU150" i="9" s="1"/>
  <c r="GV150" i="9" s="1"/>
  <c r="FU150" i="9"/>
  <c r="FT150" i="9"/>
  <c r="FS150" i="9"/>
  <c r="FQ150" i="9"/>
  <c r="FR150" i="9" s="1"/>
  <c r="FN150" i="9"/>
  <c r="FO150" i="9" s="1"/>
  <c r="FL150" i="9"/>
  <c r="FK150" i="9"/>
  <c r="CY150" i="9"/>
  <c r="CF150" i="9"/>
  <c r="AB150" i="9"/>
  <c r="GW149" i="9"/>
  <c r="GT149" i="9"/>
  <c r="GU149" i="9" s="1"/>
  <c r="GV149" i="9" s="1"/>
  <c r="FU149" i="9"/>
  <c r="FT149" i="9"/>
  <c r="FS149" i="9"/>
  <c r="FQ149" i="9"/>
  <c r="FR149" i="9" s="1"/>
  <c r="FV149" i="9" s="1"/>
  <c r="FN149" i="9"/>
  <c r="FO149" i="9" s="1"/>
  <c r="FL149" i="9"/>
  <c r="FK149" i="9"/>
  <c r="CF149" i="9"/>
  <c r="CY149" i="9" s="1"/>
  <c r="AB149" i="9"/>
  <c r="GZ148" i="9"/>
  <c r="GW148" i="9"/>
  <c r="GX148" i="9" s="1"/>
  <c r="GY148" i="9" s="1"/>
  <c r="GT148" i="9"/>
  <c r="GU148" i="9" s="1"/>
  <c r="GV148" i="9" s="1"/>
  <c r="FU148" i="9"/>
  <c r="FT148" i="9"/>
  <c r="FS148" i="9"/>
  <c r="FQ148" i="9"/>
  <c r="FR148" i="9" s="1"/>
  <c r="FN148" i="9"/>
  <c r="FO148" i="9" s="1"/>
  <c r="FL148" i="9"/>
  <c r="FK148" i="9"/>
  <c r="CF148" i="9"/>
  <c r="CY148" i="9" s="1"/>
  <c r="AB148" i="9"/>
  <c r="GW147" i="9"/>
  <c r="GX147" i="9" s="1"/>
  <c r="GY147" i="9" s="1"/>
  <c r="GT147" i="9"/>
  <c r="GU147" i="9" s="1"/>
  <c r="GV147" i="9" s="1"/>
  <c r="FU147" i="9"/>
  <c r="FT147" i="9"/>
  <c r="FS147" i="9"/>
  <c r="FQ147" i="9"/>
  <c r="FR147" i="9" s="1"/>
  <c r="FN147" i="9"/>
  <c r="FO147" i="9" s="1"/>
  <c r="FL147" i="9"/>
  <c r="FK147" i="9"/>
  <c r="CF147" i="9"/>
  <c r="CY147" i="9" s="1"/>
  <c r="AB147" i="9"/>
  <c r="GW146" i="9"/>
  <c r="GT146" i="9"/>
  <c r="GU146" i="9" s="1"/>
  <c r="GV146" i="9" s="1"/>
  <c r="FU146" i="9"/>
  <c r="FT146" i="9"/>
  <c r="FS146" i="9"/>
  <c r="FQ146" i="9"/>
  <c r="FR146" i="9" s="1"/>
  <c r="FN146" i="9"/>
  <c r="FO146" i="9" s="1"/>
  <c r="FL146" i="9"/>
  <c r="FK146" i="9"/>
  <c r="CF146" i="9"/>
  <c r="CY146" i="9" s="1"/>
  <c r="AB146" i="9"/>
  <c r="GW145" i="9"/>
  <c r="GT145" i="9"/>
  <c r="GU145" i="9" s="1"/>
  <c r="GV145" i="9" s="1"/>
  <c r="FU145" i="9"/>
  <c r="FT145" i="9"/>
  <c r="FS145" i="9"/>
  <c r="FQ145" i="9"/>
  <c r="FR145" i="9" s="1"/>
  <c r="FN145" i="9"/>
  <c r="FO145" i="9" s="1"/>
  <c r="FL145" i="9"/>
  <c r="FK145" i="9"/>
  <c r="CF145" i="9"/>
  <c r="CY145" i="9" s="1"/>
  <c r="CZ145" i="9" s="1"/>
  <c r="HZ145" i="9" s="1"/>
  <c r="AB145" i="9"/>
  <c r="GW144" i="9"/>
  <c r="GT144" i="9"/>
  <c r="GU144" i="9" s="1"/>
  <c r="GV144" i="9" s="1"/>
  <c r="FU144" i="9"/>
  <c r="FT144" i="9"/>
  <c r="FS144" i="9"/>
  <c r="FQ144" i="9"/>
  <c r="FR144" i="9" s="1"/>
  <c r="FV144" i="9" s="1"/>
  <c r="FN144" i="9"/>
  <c r="FO144" i="9" s="1"/>
  <c r="FL144" i="9"/>
  <c r="FK144" i="9"/>
  <c r="CF144" i="9"/>
  <c r="CY144" i="9" s="1"/>
  <c r="AB144" i="9"/>
  <c r="GW143" i="9"/>
  <c r="GT143" i="9"/>
  <c r="GU143" i="9" s="1"/>
  <c r="GV143" i="9" s="1"/>
  <c r="FU143" i="9"/>
  <c r="FT143" i="9"/>
  <c r="FS143" i="9"/>
  <c r="FQ143" i="9"/>
  <c r="FR143" i="9" s="1"/>
  <c r="FN143" i="9"/>
  <c r="FO143" i="9" s="1"/>
  <c r="FL143" i="9"/>
  <c r="FK143" i="9"/>
  <c r="CF143" i="9"/>
  <c r="CY143" i="9" s="1"/>
  <c r="AB143" i="9"/>
  <c r="GW142" i="9"/>
  <c r="GX142" i="9" s="1"/>
  <c r="GY142" i="9" s="1"/>
  <c r="GT142" i="9"/>
  <c r="GU142" i="9" s="1"/>
  <c r="GV142" i="9" s="1"/>
  <c r="FU142" i="9"/>
  <c r="FT142" i="9"/>
  <c r="FS142" i="9"/>
  <c r="FQ142" i="9"/>
  <c r="FR142" i="9" s="1"/>
  <c r="FN142" i="9"/>
  <c r="FO142" i="9" s="1"/>
  <c r="FL142" i="9"/>
  <c r="FK142" i="9"/>
  <c r="CF142" i="9"/>
  <c r="CY142" i="9" s="1"/>
  <c r="AB142" i="9"/>
  <c r="GW141" i="9"/>
  <c r="GX141" i="9" s="1"/>
  <c r="GY141" i="9" s="1"/>
  <c r="GT141" i="9"/>
  <c r="GU141" i="9" s="1"/>
  <c r="GV141" i="9" s="1"/>
  <c r="FU141" i="9"/>
  <c r="FT141" i="9"/>
  <c r="FS141" i="9"/>
  <c r="FQ141" i="9"/>
  <c r="FR141" i="9" s="1"/>
  <c r="FN141" i="9"/>
  <c r="FO141" i="9" s="1"/>
  <c r="FL141" i="9"/>
  <c r="FK141" i="9"/>
  <c r="CF141" i="9"/>
  <c r="CY141" i="9" s="1"/>
  <c r="AB141" i="9"/>
  <c r="GF140" i="9"/>
  <c r="GE140" i="9"/>
  <c r="GD140" i="9"/>
  <c r="GC140" i="9"/>
  <c r="FZ140" i="9"/>
  <c r="FU140" i="9"/>
  <c r="FT140" i="9"/>
  <c r="FS140" i="9"/>
  <c r="FR140" i="9"/>
  <c r="FV140" i="9" s="1"/>
  <c r="FO140" i="9"/>
  <c r="FL140" i="9"/>
  <c r="FK140" i="9"/>
  <c r="AX140" i="9"/>
  <c r="AZ140" i="9" s="1"/>
  <c r="AB140" i="9"/>
  <c r="GF139" i="9"/>
  <c r="GE139" i="9"/>
  <c r="GD139" i="9"/>
  <c r="GC139" i="9"/>
  <c r="FZ139" i="9"/>
  <c r="FU139" i="9"/>
  <c r="FT139" i="9"/>
  <c r="FS139" i="9"/>
  <c r="FR139" i="9"/>
  <c r="FO139" i="9"/>
  <c r="FL139" i="9"/>
  <c r="FK139" i="9"/>
  <c r="AX139" i="9"/>
  <c r="AZ139" i="9" s="1"/>
  <c r="AB139" i="9"/>
  <c r="GF138" i="9"/>
  <c r="GE138" i="9"/>
  <c r="GD138" i="9"/>
  <c r="GC138" i="9"/>
  <c r="FZ138" i="9"/>
  <c r="FU138" i="9"/>
  <c r="FT138" i="9"/>
  <c r="FS138" i="9"/>
  <c r="FR138" i="9"/>
  <c r="FO138" i="9"/>
  <c r="FL138" i="9"/>
  <c r="FK138" i="9"/>
  <c r="BB138" i="9"/>
  <c r="IA138" i="9" s="1"/>
  <c r="AX138" i="9"/>
  <c r="AZ138" i="9" s="1"/>
  <c r="HY138" i="9" s="1"/>
  <c r="AB138" i="9"/>
  <c r="GF137" i="9"/>
  <c r="GE137" i="9"/>
  <c r="GD137" i="9"/>
  <c r="GC137" i="9"/>
  <c r="FZ137" i="9"/>
  <c r="FU137" i="9"/>
  <c r="FT137" i="9"/>
  <c r="FS137" i="9"/>
  <c r="FR137" i="9"/>
  <c r="FO137" i="9"/>
  <c r="FL137" i="9"/>
  <c r="FK137" i="9"/>
  <c r="CF137" i="9"/>
  <c r="CY137" i="9" s="1"/>
  <c r="DA137" i="9" s="1"/>
  <c r="IA137" i="9" s="1"/>
  <c r="AB137" i="9"/>
  <c r="GF136" i="9"/>
  <c r="GE136" i="9"/>
  <c r="GD136" i="9"/>
  <c r="GC136" i="9"/>
  <c r="FZ136" i="9"/>
  <c r="FU136" i="9"/>
  <c r="FT136" i="9"/>
  <c r="FS136" i="9"/>
  <c r="FR136" i="9"/>
  <c r="FO136" i="9"/>
  <c r="FL136" i="9"/>
  <c r="FK136" i="9"/>
  <c r="CF136" i="9"/>
  <c r="CY136" i="9" s="1"/>
  <c r="AB136" i="9"/>
  <c r="GF135" i="9"/>
  <c r="GE135" i="9"/>
  <c r="GD135" i="9"/>
  <c r="GC135" i="9"/>
  <c r="FZ135" i="9"/>
  <c r="FU135" i="9"/>
  <c r="FT135" i="9"/>
  <c r="FS135" i="9"/>
  <c r="FR135" i="9"/>
  <c r="FO135" i="9"/>
  <c r="FL135" i="9"/>
  <c r="FK135" i="9"/>
  <c r="CF135" i="9"/>
  <c r="CY135" i="9" s="1"/>
  <c r="AB135" i="9"/>
  <c r="GF134" i="9"/>
  <c r="GE134" i="9"/>
  <c r="GD134" i="9"/>
  <c r="GC134" i="9"/>
  <c r="GG134" i="9" s="1"/>
  <c r="FZ134" i="9"/>
  <c r="FU134" i="9"/>
  <c r="FT134" i="9"/>
  <c r="FS134" i="9"/>
  <c r="FR134" i="9"/>
  <c r="FO134" i="9"/>
  <c r="FL134" i="9"/>
  <c r="FK134" i="9"/>
  <c r="CF134" i="9"/>
  <c r="CY134" i="9" s="1"/>
  <c r="CZ134" i="9" s="1"/>
  <c r="HZ134" i="9" s="1"/>
  <c r="AB134" i="9"/>
  <c r="GG133" i="9"/>
  <c r="GF133" i="9"/>
  <c r="GE133" i="9"/>
  <c r="GD133" i="9"/>
  <c r="GC133" i="9"/>
  <c r="FZ133" i="9"/>
  <c r="FU133" i="9"/>
  <c r="FT133" i="9"/>
  <c r="FS133" i="9"/>
  <c r="FR133" i="9"/>
  <c r="FO133" i="9"/>
  <c r="FL133" i="9"/>
  <c r="FK133" i="9"/>
  <c r="CF133" i="9"/>
  <c r="CY133" i="9" s="1"/>
  <c r="DA133" i="9" s="1"/>
  <c r="IA133" i="9" s="1"/>
  <c r="AB133" i="9"/>
  <c r="GF132" i="9"/>
  <c r="GE132" i="9"/>
  <c r="GD132" i="9"/>
  <c r="GC132" i="9"/>
  <c r="FZ132" i="9"/>
  <c r="FU132" i="9"/>
  <c r="FT132" i="9"/>
  <c r="FS132" i="9"/>
  <c r="FR132" i="9"/>
  <c r="FO132" i="9"/>
  <c r="FL132" i="9"/>
  <c r="FK132" i="9"/>
  <c r="CF132" i="9"/>
  <c r="CY132" i="9" s="1"/>
  <c r="AB132" i="9"/>
  <c r="GF131" i="9"/>
  <c r="GE131" i="9"/>
  <c r="GD131" i="9"/>
  <c r="GC131" i="9"/>
  <c r="FZ131" i="9"/>
  <c r="FU131" i="9"/>
  <c r="FT131" i="9"/>
  <c r="FS131" i="9"/>
  <c r="FR131" i="9"/>
  <c r="FO131" i="9"/>
  <c r="FL131" i="9"/>
  <c r="FK131" i="9"/>
  <c r="CF131" i="9"/>
  <c r="CY131" i="9" s="1"/>
  <c r="AD131" i="9"/>
  <c r="AB131" i="9"/>
  <c r="GF130" i="9"/>
  <c r="GE130" i="9"/>
  <c r="GD130" i="9"/>
  <c r="GC130" i="9"/>
  <c r="FZ130" i="9"/>
  <c r="FU130" i="9"/>
  <c r="FT130" i="9"/>
  <c r="FS130" i="9"/>
  <c r="FR130" i="9"/>
  <c r="FO130" i="9"/>
  <c r="FL130" i="9"/>
  <c r="FK130" i="9"/>
  <c r="CF130" i="9"/>
  <c r="CY130" i="9" s="1"/>
  <c r="HY130" i="9" s="1"/>
  <c r="AD130" i="9"/>
  <c r="AB130" i="9"/>
  <c r="GF129" i="9"/>
  <c r="GE129" i="9"/>
  <c r="GD129" i="9"/>
  <c r="GC129" i="9"/>
  <c r="FZ129" i="9"/>
  <c r="FU129" i="9"/>
  <c r="FT129" i="9"/>
  <c r="FS129" i="9"/>
  <c r="FR129" i="9"/>
  <c r="FO129" i="9"/>
  <c r="FL129" i="9"/>
  <c r="FK129" i="9"/>
  <c r="CF129" i="9"/>
  <c r="CY129" i="9" s="1"/>
  <c r="AD129" i="9"/>
  <c r="AB129" i="9"/>
  <c r="GF128" i="9"/>
  <c r="GE128" i="9"/>
  <c r="GD128" i="9"/>
  <c r="GC128" i="9"/>
  <c r="GG128" i="9" s="1"/>
  <c r="FZ128" i="9"/>
  <c r="FU128" i="9"/>
  <c r="FT128" i="9"/>
  <c r="FS128" i="9"/>
  <c r="FR128" i="9"/>
  <c r="FO128" i="9"/>
  <c r="FL128" i="9"/>
  <c r="FK128" i="9"/>
  <c r="CF128" i="9"/>
  <c r="CY128" i="9" s="1"/>
  <c r="DA128" i="9" s="1"/>
  <c r="IA128" i="9" s="1"/>
  <c r="AD128" i="9"/>
  <c r="AB128" i="9"/>
  <c r="GF127" i="9"/>
  <c r="GE127" i="9"/>
  <c r="GD127" i="9"/>
  <c r="GC127" i="9"/>
  <c r="FZ127" i="9"/>
  <c r="FU127" i="9"/>
  <c r="FT127" i="9"/>
  <c r="FS127" i="9"/>
  <c r="FR127" i="9"/>
  <c r="FO127" i="9"/>
  <c r="FL127" i="9"/>
  <c r="FK127" i="9"/>
  <c r="CF127" i="9"/>
  <c r="CY127" i="9" s="1"/>
  <c r="AD127" i="9"/>
  <c r="AB127" i="9"/>
  <c r="GF126" i="9"/>
  <c r="GE126" i="9"/>
  <c r="GD126" i="9"/>
  <c r="GC126" i="9"/>
  <c r="GG126" i="9" s="1"/>
  <c r="FZ126" i="9"/>
  <c r="FU126" i="9"/>
  <c r="FT126" i="9"/>
  <c r="FS126" i="9"/>
  <c r="FR126" i="9"/>
  <c r="FO126" i="9"/>
  <c r="FL126" i="9"/>
  <c r="FK126" i="9"/>
  <c r="CF126" i="9"/>
  <c r="CY126" i="9" s="1"/>
  <c r="AD126" i="9"/>
  <c r="AB126" i="9"/>
  <c r="GF125" i="9"/>
  <c r="GE125" i="9"/>
  <c r="GD125" i="9"/>
  <c r="GC125" i="9"/>
  <c r="FZ125" i="9"/>
  <c r="FU125" i="9"/>
  <c r="FT125" i="9"/>
  <c r="FS125" i="9"/>
  <c r="FR125" i="9"/>
  <c r="FO125" i="9"/>
  <c r="FL125" i="9"/>
  <c r="FK125" i="9"/>
  <c r="CF125" i="9"/>
  <c r="CY125" i="9" s="1"/>
  <c r="AD125" i="9"/>
  <c r="AB125" i="9"/>
  <c r="GF124" i="9"/>
  <c r="GE124" i="9"/>
  <c r="GD124" i="9"/>
  <c r="GC124" i="9"/>
  <c r="GG124" i="9" s="1"/>
  <c r="FZ124" i="9"/>
  <c r="FU124" i="9"/>
  <c r="FT124" i="9"/>
  <c r="FS124" i="9"/>
  <c r="FR124" i="9"/>
  <c r="FO124" i="9"/>
  <c r="FL124" i="9"/>
  <c r="FK124" i="9"/>
  <c r="CF124" i="9"/>
  <c r="CY124" i="9" s="1"/>
  <c r="AD124" i="9"/>
  <c r="AB124" i="9"/>
  <c r="GF123" i="9"/>
  <c r="GE123" i="9"/>
  <c r="GD123" i="9"/>
  <c r="GC123" i="9"/>
  <c r="FZ123" i="9"/>
  <c r="FU123" i="9"/>
  <c r="FT123" i="9"/>
  <c r="FS123" i="9"/>
  <c r="FR123" i="9"/>
  <c r="FO123" i="9"/>
  <c r="FL123" i="9"/>
  <c r="FK123" i="9"/>
  <c r="CF123" i="9"/>
  <c r="CY123" i="9" s="1"/>
  <c r="AD123" i="9"/>
  <c r="AB123" i="9"/>
  <c r="FU122" i="9"/>
  <c r="FT122" i="9"/>
  <c r="FS122" i="9"/>
  <c r="FR122" i="9"/>
  <c r="FO122" i="9"/>
  <c r="FL122" i="9"/>
  <c r="FK122" i="9"/>
  <c r="CF122" i="9"/>
  <c r="CY122" i="9" s="1"/>
  <c r="AB122" i="9"/>
  <c r="FU121" i="9"/>
  <c r="FT121" i="9"/>
  <c r="FS121" i="9"/>
  <c r="FR121" i="9"/>
  <c r="FO121" i="9"/>
  <c r="FL121" i="9"/>
  <c r="FK121" i="9"/>
  <c r="CF121" i="9"/>
  <c r="CY121" i="9" s="1"/>
  <c r="AB121" i="9"/>
  <c r="FU120" i="9"/>
  <c r="FT120" i="9"/>
  <c r="FS120" i="9"/>
  <c r="FR120" i="9"/>
  <c r="FV120" i="9" s="1"/>
  <c r="FO120" i="9"/>
  <c r="FL120" i="9"/>
  <c r="FK120" i="9"/>
  <c r="CF120" i="9"/>
  <c r="CY120" i="9" s="1"/>
  <c r="AB120" i="9"/>
  <c r="FU119" i="9"/>
  <c r="FT119" i="9"/>
  <c r="FS119" i="9"/>
  <c r="FR119" i="9"/>
  <c r="FO119" i="9"/>
  <c r="FL119" i="9"/>
  <c r="FK119" i="9"/>
  <c r="CF119" i="9"/>
  <c r="CY119" i="9" s="1"/>
  <c r="AH119" i="9"/>
  <c r="AF119" i="9"/>
  <c r="AD119" i="9"/>
  <c r="AB119" i="9"/>
  <c r="FU118" i="9"/>
  <c r="FT118" i="9"/>
  <c r="FS118" i="9"/>
  <c r="FR118" i="9"/>
  <c r="FO118" i="9"/>
  <c r="FL118" i="9"/>
  <c r="FK118" i="9"/>
  <c r="CF118" i="9"/>
  <c r="CY118" i="9" s="1"/>
  <c r="AH118" i="9"/>
  <c r="AF118" i="9"/>
  <c r="AD118" i="9"/>
  <c r="AB118" i="9"/>
  <c r="FU117" i="9"/>
  <c r="FT117" i="9"/>
  <c r="FS117" i="9"/>
  <c r="FR117" i="9"/>
  <c r="FO117" i="9"/>
  <c r="FL117" i="9"/>
  <c r="FK117" i="9"/>
  <c r="CF117" i="9"/>
  <c r="CY117" i="9" s="1"/>
  <c r="DA117" i="9" s="1"/>
  <c r="IA117" i="9" s="1"/>
  <c r="AH117" i="9"/>
  <c r="AF117" i="9"/>
  <c r="AD117" i="9"/>
  <c r="AB117" i="9"/>
  <c r="FU116" i="9"/>
  <c r="FT116" i="9"/>
  <c r="FS116" i="9"/>
  <c r="FR116" i="9"/>
  <c r="FO116" i="9"/>
  <c r="FL116" i="9"/>
  <c r="FK116" i="9"/>
  <c r="CF116" i="9"/>
  <c r="CY116" i="9" s="1"/>
  <c r="AH116" i="9"/>
  <c r="AF116" i="9"/>
  <c r="AD116" i="9"/>
  <c r="AB116" i="9"/>
  <c r="FU115" i="9"/>
  <c r="FT115" i="9"/>
  <c r="FS115" i="9"/>
  <c r="FR115" i="9"/>
  <c r="FO115" i="9"/>
  <c r="FL115" i="9"/>
  <c r="FK115" i="9"/>
  <c r="CF115" i="9"/>
  <c r="CY115" i="9" s="1"/>
  <c r="AH115" i="9"/>
  <c r="AF115" i="9"/>
  <c r="AD115" i="9"/>
  <c r="AB115" i="9"/>
  <c r="FU114" i="9"/>
  <c r="FT114" i="9"/>
  <c r="FS114" i="9"/>
  <c r="FR114" i="9"/>
  <c r="FO114" i="9"/>
  <c r="FL114" i="9"/>
  <c r="FK114" i="9"/>
  <c r="CF114" i="9"/>
  <c r="CY114" i="9" s="1"/>
  <c r="AH114" i="9"/>
  <c r="AF114" i="9"/>
  <c r="AD114" i="9"/>
  <c r="AB114" i="9"/>
  <c r="FU113" i="9"/>
  <c r="FT113" i="9"/>
  <c r="FS113" i="9"/>
  <c r="FR113" i="9"/>
  <c r="FO113" i="9"/>
  <c r="FL113" i="9"/>
  <c r="FK113" i="9"/>
  <c r="CF113" i="9"/>
  <c r="CY113" i="9" s="1"/>
  <c r="AH113" i="9"/>
  <c r="AF113" i="9"/>
  <c r="AD113" i="9"/>
  <c r="AB113" i="9"/>
  <c r="FU112" i="9"/>
  <c r="FT112" i="9"/>
  <c r="FS112" i="9"/>
  <c r="FR112" i="9"/>
  <c r="FO112" i="9"/>
  <c r="FL112" i="9"/>
  <c r="FK112" i="9"/>
  <c r="CF112" i="9"/>
  <c r="CY112" i="9" s="1"/>
  <c r="CZ112" i="9" s="1"/>
  <c r="HZ112" i="9" s="1"/>
  <c r="AH112" i="9"/>
  <c r="AF112" i="9"/>
  <c r="AD112" i="9"/>
  <c r="AB112" i="9"/>
  <c r="FU111" i="9"/>
  <c r="FT111" i="9"/>
  <c r="FS111" i="9"/>
  <c r="FR111" i="9"/>
  <c r="FO111" i="9"/>
  <c r="FL111" i="9"/>
  <c r="FK111" i="9"/>
  <c r="CF111" i="9"/>
  <c r="CY111" i="9" s="1"/>
  <c r="AH111" i="9"/>
  <c r="AF111" i="9"/>
  <c r="AD111" i="9"/>
  <c r="AB111" i="9"/>
  <c r="FU110" i="9"/>
  <c r="FT110" i="9"/>
  <c r="FS110" i="9"/>
  <c r="FR110" i="9"/>
  <c r="FO110" i="9"/>
  <c r="FL110" i="9"/>
  <c r="FK110" i="9"/>
  <c r="CS110" i="9"/>
  <c r="CR110" i="9"/>
  <c r="CQ110" i="9"/>
  <c r="CP110" i="9"/>
  <c r="CF110" i="9"/>
  <c r="CY110" i="9" s="1"/>
  <c r="AH110" i="9"/>
  <c r="AF110" i="9"/>
  <c r="AD110" i="9"/>
  <c r="AB110" i="9"/>
  <c r="FU109" i="9"/>
  <c r="FT109" i="9"/>
  <c r="FS109" i="9"/>
  <c r="FR109" i="9"/>
  <c r="FV109" i="9" s="1"/>
  <c r="FO109" i="9"/>
  <c r="FL109" i="9"/>
  <c r="FK109" i="9"/>
  <c r="CS109" i="9"/>
  <c r="CR109" i="9"/>
  <c r="CQ109" i="9"/>
  <c r="CP109" i="9"/>
  <c r="CF109" i="9"/>
  <c r="CY109" i="9" s="1"/>
  <c r="AH109" i="9"/>
  <c r="AF109" i="9"/>
  <c r="AD109" i="9"/>
  <c r="AB109" i="9"/>
  <c r="FU108" i="9"/>
  <c r="FT108" i="9"/>
  <c r="FS108" i="9"/>
  <c r="FR108" i="9"/>
  <c r="FO108" i="9"/>
  <c r="FL108" i="9"/>
  <c r="FK108" i="9"/>
  <c r="CF108" i="9"/>
  <c r="CY108" i="9" s="1"/>
  <c r="AH108" i="9"/>
  <c r="AF108" i="9"/>
  <c r="AD108" i="9"/>
  <c r="AB108" i="9"/>
  <c r="HW107" i="9"/>
  <c r="HM107" i="9"/>
  <c r="HL107" i="9"/>
  <c r="HK107" i="9"/>
  <c r="HJ107" i="9"/>
  <c r="HG107" i="9"/>
  <c r="GC107" i="9"/>
  <c r="GA107" i="9"/>
  <c r="FZ107" i="9"/>
  <c r="FX107" i="9"/>
  <c r="FU107" i="9"/>
  <c r="FT107" i="9"/>
  <c r="FS107" i="9"/>
  <c r="FR107" i="9"/>
  <c r="FO107" i="9"/>
  <c r="FL107" i="9"/>
  <c r="FK107" i="9"/>
  <c r="CF107" i="9"/>
  <c r="CY107" i="9" s="1"/>
  <c r="HY107" i="9" s="1"/>
  <c r="AD107" i="9"/>
  <c r="AB107" i="9"/>
  <c r="HM106" i="9"/>
  <c r="HW106" i="9" s="1"/>
  <c r="HL106" i="9"/>
  <c r="HK106" i="9"/>
  <c r="HJ106" i="9"/>
  <c r="HG106" i="9"/>
  <c r="GC106" i="9"/>
  <c r="GA106" i="9"/>
  <c r="FZ106" i="9"/>
  <c r="FX106" i="9"/>
  <c r="FU106" i="9"/>
  <c r="FT106" i="9"/>
  <c r="FS106" i="9"/>
  <c r="FR106" i="9"/>
  <c r="FO106" i="9"/>
  <c r="FL106" i="9"/>
  <c r="FK106" i="9"/>
  <c r="CF106" i="9"/>
  <c r="CY106" i="9" s="1"/>
  <c r="AD106" i="9"/>
  <c r="AB106" i="9"/>
  <c r="HM105" i="9"/>
  <c r="HW105" i="9" s="1"/>
  <c r="HL105" i="9"/>
  <c r="HK105" i="9"/>
  <c r="HJ105" i="9"/>
  <c r="HG105" i="9"/>
  <c r="GC105" i="9"/>
  <c r="GA105" i="9"/>
  <c r="FZ105" i="9"/>
  <c r="FX105" i="9"/>
  <c r="FU105" i="9"/>
  <c r="FT105" i="9"/>
  <c r="FS105" i="9"/>
  <c r="FR105" i="9"/>
  <c r="FO105" i="9"/>
  <c r="FL105" i="9"/>
  <c r="FK105" i="9"/>
  <c r="CF105" i="9"/>
  <c r="CY105" i="9" s="1"/>
  <c r="AD105" i="9"/>
  <c r="AB105" i="9"/>
  <c r="HM104" i="9"/>
  <c r="HW104" i="9" s="1"/>
  <c r="HL104" i="9"/>
  <c r="HK104" i="9"/>
  <c r="HJ104" i="9"/>
  <c r="HN104" i="9" s="1"/>
  <c r="HG104" i="9"/>
  <c r="GC104" i="9"/>
  <c r="GA104" i="9"/>
  <c r="FZ104" i="9"/>
  <c r="FX104" i="9"/>
  <c r="FU104" i="9"/>
  <c r="FT104" i="9"/>
  <c r="FS104" i="9"/>
  <c r="FR104" i="9"/>
  <c r="FO104" i="9"/>
  <c r="FL104" i="9"/>
  <c r="FK104" i="9"/>
  <c r="CF104" i="9"/>
  <c r="CY104" i="9" s="1"/>
  <c r="AD104" i="9"/>
  <c r="AB104" i="9"/>
  <c r="HM103" i="9"/>
  <c r="HW103" i="9" s="1"/>
  <c r="HL103" i="9"/>
  <c r="HK103" i="9"/>
  <c r="HJ103" i="9"/>
  <c r="HG103" i="9"/>
  <c r="GG103" i="9"/>
  <c r="GF103" i="9"/>
  <c r="GE103" i="9"/>
  <c r="GD103" i="9"/>
  <c r="GC103" i="9"/>
  <c r="FZ103" i="9"/>
  <c r="FU103" i="9"/>
  <c r="FT103" i="9"/>
  <c r="FS103" i="9"/>
  <c r="FR103" i="9"/>
  <c r="FO103" i="9"/>
  <c r="FL103" i="9"/>
  <c r="FK103" i="9"/>
  <c r="CF103" i="9"/>
  <c r="CY103" i="9" s="1"/>
  <c r="AD103" i="9"/>
  <c r="AB103" i="9"/>
  <c r="HC102" i="9"/>
  <c r="HB102" i="9"/>
  <c r="HA102" i="9"/>
  <c r="GZ102" i="9"/>
  <c r="GY102" i="9"/>
  <c r="GV102" i="9"/>
  <c r="GQ102" i="9"/>
  <c r="GP102" i="9"/>
  <c r="GO102" i="9"/>
  <c r="GN102" i="9"/>
  <c r="GK102" i="9"/>
  <c r="FU102" i="9"/>
  <c r="FT102" i="9"/>
  <c r="FS102" i="9"/>
  <c r="FR102" i="9"/>
  <c r="FO102" i="9"/>
  <c r="FL102" i="9"/>
  <c r="FK102" i="9"/>
  <c r="DE102" i="9"/>
  <c r="DS102" i="9" s="1"/>
  <c r="AB102" i="9"/>
  <c r="HB101" i="9"/>
  <c r="HA101" i="9"/>
  <c r="GZ101" i="9"/>
  <c r="GY101" i="9"/>
  <c r="HC101" i="9" s="1"/>
  <c r="GV101" i="9"/>
  <c r="GQ101" i="9"/>
  <c r="GP101" i="9"/>
  <c r="GO101" i="9"/>
  <c r="GN101" i="9"/>
  <c r="GK101" i="9"/>
  <c r="FU101" i="9"/>
  <c r="FT101" i="9"/>
  <c r="FS101" i="9"/>
  <c r="FR101" i="9"/>
  <c r="FO101" i="9"/>
  <c r="FL101" i="9"/>
  <c r="FK101" i="9"/>
  <c r="DE101" i="9"/>
  <c r="DS101" i="9" s="1"/>
  <c r="CY101" i="9"/>
  <c r="DA101" i="9" s="1"/>
  <c r="CF101" i="9"/>
  <c r="AB101" i="9"/>
  <c r="HB100" i="9"/>
  <c r="HA100" i="9"/>
  <c r="GZ100" i="9"/>
  <c r="GY100" i="9"/>
  <c r="GV100" i="9"/>
  <c r="GQ100" i="9"/>
  <c r="GP100" i="9"/>
  <c r="GO100" i="9"/>
  <c r="GN100" i="9"/>
  <c r="GK100" i="9"/>
  <c r="FU100" i="9"/>
  <c r="FT100" i="9"/>
  <c r="FS100" i="9"/>
  <c r="FR100" i="9"/>
  <c r="FV100" i="9" s="1"/>
  <c r="FO100" i="9"/>
  <c r="FL100" i="9"/>
  <c r="FK100" i="9"/>
  <c r="CF100" i="9"/>
  <c r="CY100" i="9" s="1"/>
  <c r="AB100" i="9"/>
  <c r="GQ99" i="9"/>
  <c r="GP99" i="9"/>
  <c r="GO99" i="9"/>
  <c r="GN99" i="9"/>
  <c r="GK99" i="9"/>
  <c r="FU99" i="9"/>
  <c r="FT99" i="9"/>
  <c r="FS99" i="9"/>
  <c r="FR99" i="9"/>
  <c r="FO99" i="9"/>
  <c r="FL99" i="9"/>
  <c r="FK99" i="9"/>
  <c r="CF99" i="9"/>
  <c r="CY99" i="9" s="1"/>
  <c r="AB99" i="9"/>
  <c r="GQ98" i="9"/>
  <c r="GP98" i="9"/>
  <c r="GO98" i="9"/>
  <c r="GN98" i="9"/>
  <c r="GK98" i="9"/>
  <c r="FU98" i="9"/>
  <c r="FT98" i="9"/>
  <c r="FS98" i="9"/>
  <c r="FR98" i="9"/>
  <c r="FV98" i="9" s="1"/>
  <c r="FO98" i="9"/>
  <c r="FL98" i="9"/>
  <c r="FK98" i="9"/>
  <c r="CF98" i="9"/>
  <c r="CY98" i="9" s="1"/>
  <c r="DA98" i="9" s="1"/>
  <c r="IA98" i="9" s="1"/>
  <c r="AB98" i="9"/>
  <c r="GQ97" i="9"/>
  <c r="GP97" i="9"/>
  <c r="GO97" i="9"/>
  <c r="GN97" i="9"/>
  <c r="GK97" i="9"/>
  <c r="FU97" i="9"/>
  <c r="FT97" i="9"/>
  <c r="FS97" i="9"/>
  <c r="FR97" i="9"/>
  <c r="FO97" i="9"/>
  <c r="FL97" i="9"/>
  <c r="FK97" i="9"/>
  <c r="CF97" i="9"/>
  <c r="CY97" i="9" s="1"/>
  <c r="AB97" i="9"/>
  <c r="GQ96" i="9"/>
  <c r="GP96" i="9"/>
  <c r="GO96" i="9"/>
  <c r="GN96" i="9"/>
  <c r="GK96" i="9"/>
  <c r="FU96" i="9"/>
  <c r="FT96" i="9"/>
  <c r="FS96" i="9"/>
  <c r="FR96" i="9"/>
  <c r="FO96" i="9"/>
  <c r="FL96" i="9"/>
  <c r="FK96" i="9"/>
  <c r="CF96" i="9"/>
  <c r="CY96" i="9" s="1"/>
  <c r="AB96" i="9"/>
  <c r="GQ95" i="9"/>
  <c r="GP95" i="9"/>
  <c r="GO95" i="9"/>
  <c r="GN95" i="9"/>
  <c r="GK95" i="9"/>
  <c r="FU95" i="9"/>
  <c r="FT95" i="9"/>
  <c r="FS95" i="9"/>
  <c r="FR95" i="9"/>
  <c r="FO95" i="9"/>
  <c r="FL95" i="9"/>
  <c r="FK95" i="9"/>
  <c r="CF95" i="9"/>
  <c r="CY95" i="9" s="1"/>
  <c r="CZ95" i="9" s="1"/>
  <c r="HZ95" i="9" s="1"/>
  <c r="AB95" i="9"/>
  <c r="GQ94" i="9"/>
  <c r="GP94" i="9"/>
  <c r="GO94" i="9"/>
  <c r="GN94" i="9"/>
  <c r="GR94" i="9" s="1"/>
  <c r="GK94" i="9"/>
  <c r="FU94" i="9"/>
  <c r="FT94" i="9"/>
  <c r="FS94" i="9"/>
  <c r="FR94" i="9"/>
  <c r="FO94" i="9"/>
  <c r="FL94" i="9"/>
  <c r="FK94" i="9"/>
  <c r="CF94" i="9"/>
  <c r="CY94" i="9" s="1"/>
  <c r="AB94" i="9"/>
  <c r="GQ93" i="9"/>
  <c r="GP93" i="9"/>
  <c r="GO93" i="9"/>
  <c r="GN93" i="9"/>
  <c r="GK93" i="9"/>
  <c r="FU93" i="9"/>
  <c r="FT93" i="9"/>
  <c r="FS93" i="9"/>
  <c r="FR93" i="9"/>
  <c r="FO93" i="9"/>
  <c r="FL93" i="9"/>
  <c r="FK93" i="9"/>
  <c r="CF93" i="9"/>
  <c r="CY93" i="9" s="1"/>
  <c r="AB93" i="9"/>
  <c r="GQ92" i="9"/>
  <c r="GP92" i="9"/>
  <c r="GO92" i="9"/>
  <c r="GN92" i="9"/>
  <c r="GK92" i="9"/>
  <c r="FU92" i="9"/>
  <c r="FT92" i="9"/>
  <c r="FS92" i="9"/>
  <c r="FR92" i="9"/>
  <c r="FO92" i="9"/>
  <c r="FL92" i="9"/>
  <c r="FK92" i="9"/>
  <c r="CF92" i="9"/>
  <c r="CY92" i="9" s="1"/>
  <c r="AB92" i="9"/>
  <c r="FU91" i="9"/>
  <c r="FT91" i="9"/>
  <c r="FS91" i="9"/>
  <c r="FR91" i="9"/>
  <c r="FO91" i="9"/>
  <c r="FL91" i="9"/>
  <c r="FK91" i="9"/>
  <c r="AX91" i="9"/>
  <c r="AZ91" i="9" s="1"/>
  <c r="AH91" i="9"/>
  <c r="AB91" i="9"/>
  <c r="FU90" i="9"/>
  <c r="FT90" i="9"/>
  <c r="FS90" i="9"/>
  <c r="FR90" i="9"/>
  <c r="FO90" i="9"/>
  <c r="FL90" i="9"/>
  <c r="FK90" i="9"/>
  <c r="AX90" i="9"/>
  <c r="AZ90" i="9" s="1"/>
  <c r="AH90" i="9"/>
  <c r="AB90" i="9"/>
  <c r="FU89" i="9"/>
  <c r="FT89" i="9"/>
  <c r="FS89" i="9"/>
  <c r="FR89" i="9"/>
  <c r="FO89" i="9"/>
  <c r="FL89" i="9"/>
  <c r="FK89" i="9"/>
  <c r="CU89" i="9"/>
  <c r="CF89" i="9"/>
  <c r="CY89" i="9" s="1"/>
  <c r="AH89" i="9"/>
  <c r="AB89" i="9"/>
  <c r="FU88" i="9"/>
  <c r="FT88" i="9"/>
  <c r="FS88" i="9"/>
  <c r="FR88" i="9"/>
  <c r="FO88" i="9"/>
  <c r="FL88" i="9"/>
  <c r="FK88" i="9"/>
  <c r="CU88" i="9"/>
  <c r="CF88" i="9"/>
  <c r="CY88" i="9" s="1"/>
  <c r="AH88" i="9"/>
  <c r="AB88" i="9"/>
  <c r="GF87" i="9"/>
  <c r="GE87" i="9"/>
  <c r="GD87" i="9"/>
  <c r="GC87" i="9"/>
  <c r="GG87" i="9" s="1"/>
  <c r="FZ87" i="9"/>
  <c r="FU87" i="9"/>
  <c r="FT87" i="9"/>
  <c r="FS87" i="9"/>
  <c r="FR87" i="9"/>
  <c r="FO87" i="9"/>
  <c r="FL87" i="9"/>
  <c r="FK87" i="9"/>
  <c r="AX87" i="9"/>
  <c r="AZ87" i="9" s="1"/>
  <c r="AB87" i="9"/>
  <c r="GF86" i="9"/>
  <c r="GE86" i="9"/>
  <c r="GD86" i="9"/>
  <c r="GC86" i="9"/>
  <c r="GG86" i="9" s="1"/>
  <c r="FZ86" i="9"/>
  <c r="FU86" i="9"/>
  <c r="FT86" i="9"/>
  <c r="FS86" i="9"/>
  <c r="FR86" i="9"/>
  <c r="FO86" i="9"/>
  <c r="FL86" i="9"/>
  <c r="FK86" i="9"/>
  <c r="AX86" i="9"/>
  <c r="AZ86" i="9" s="1"/>
  <c r="AB86" i="9"/>
  <c r="GF85" i="9"/>
  <c r="GE85" i="9"/>
  <c r="GD85" i="9"/>
  <c r="GC85" i="9"/>
  <c r="FZ85" i="9"/>
  <c r="FU85" i="9"/>
  <c r="FT85" i="9"/>
  <c r="FS85" i="9"/>
  <c r="FR85" i="9"/>
  <c r="FO85" i="9"/>
  <c r="FL85" i="9"/>
  <c r="FK85" i="9"/>
  <c r="AX85" i="9"/>
  <c r="AZ85" i="9" s="1"/>
  <c r="BB85" i="9" s="1"/>
  <c r="IA85" i="9" s="1"/>
  <c r="AB85" i="9"/>
  <c r="HM84" i="9"/>
  <c r="HW84" i="9" s="1"/>
  <c r="HL84" i="9"/>
  <c r="HK84" i="9"/>
  <c r="HI84" i="9"/>
  <c r="HJ84" i="9" s="1"/>
  <c r="HG84" i="9"/>
  <c r="HF84" i="9"/>
  <c r="GW84" i="9"/>
  <c r="GT84" i="9"/>
  <c r="GU84" i="9" s="1"/>
  <c r="GV84" i="9" s="1"/>
  <c r="GQ84" i="9"/>
  <c r="GL84" i="9"/>
  <c r="GI84" i="9"/>
  <c r="GJ84" i="9" s="1"/>
  <c r="GK84" i="9" s="1"/>
  <c r="FU84" i="9"/>
  <c r="FT84" i="9"/>
  <c r="FS84" i="9"/>
  <c r="FQ84" i="9"/>
  <c r="FR84" i="9" s="1"/>
  <c r="FN84" i="9"/>
  <c r="FO84" i="9" s="1"/>
  <c r="FL84" i="9"/>
  <c r="FK84" i="9"/>
  <c r="CU84" i="9"/>
  <c r="CF84" i="9"/>
  <c r="CY84" i="9" s="1"/>
  <c r="CZ84" i="9" s="1"/>
  <c r="HZ84" i="9" s="1"/>
  <c r="AB84" i="9"/>
  <c r="HM83" i="9"/>
  <c r="HW83" i="9" s="1"/>
  <c r="HL83" i="9"/>
  <c r="HK83" i="9"/>
  <c r="HI83" i="9"/>
  <c r="HJ83" i="9" s="1"/>
  <c r="HF83" i="9"/>
  <c r="HG83" i="9" s="1"/>
  <c r="GW83" i="9"/>
  <c r="GT83" i="9"/>
  <c r="HB83" i="9" s="1"/>
  <c r="GL83" i="9"/>
  <c r="GI83" i="9"/>
  <c r="GJ83" i="9" s="1"/>
  <c r="GK83" i="9" s="1"/>
  <c r="FU83" i="9"/>
  <c r="FT83" i="9"/>
  <c r="FS83" i="9"/>
  <c r="FQ83" i="9"/>
  <c r="FR83" i="9" s="1"/>
  <c r="FN83" i="9"/>
  <c r="FO83" i="9" s="1"/>
  <c r="FL83" i="9"/>
  <c r="FK83" i="9"/>
  <c r="CU83" i="9"/>
  <c r="CF83" i="9"/>
  <c r="CY83" i="9" s="1"/>
  <c r="AB83" i="9"/>
  <c r="HM82" i="9"/>
  <c r="HW82" i="9" s="1"/>
  <c r="HL82" i="9"/>
  <c r="HK82" i="9"/>
  <c r="HJ82" i="9"/>
  <c r="HI82" i="9"/>
  <c r="HF82" i="9"/>
  <c r="HG82" i="9" s="1"/>
  <c r="HN82" i="9" s="1"/>
  <c r="GW82" i="9"/>
  <c r="GU82" i="9"/>
  <c r="GV82" i="9" s="1"/>
  <c r="GT82" i="9"/>
  <c r="GL82" i="9"/>
  <c r="GI82" i="9"/>
  <c r="GJ82" i="9" s="1"/>
  <c r="GK82" i="9" s="1"/>
  <c r="FU82" i="9"/>
  <c r="FT82" i="9"/>
  <c r="FS82" i="9"/>
  <c r="FQ82" i="9"/>
  <c r="FR82" i="9" s="1"/>
  <c r="FO82" i="9"/>
  <c r="FN82" i="9"/>
  <c r="FL82" i="9"/>
  <c r="FK82" i="9"/>
  <c r="CU82" i="9"/>
  <c r="CF82" i="9"/>
  <c r="CY82" i="9" s="1"/>
  <c r="AB82" i="9"/>
  <c r="HM81" i="9"/>
  <c r="HW81" i="9" s="1"/>
  <c r="HL81" i="9"/>
  <c r="HK81" i="9"/>
  <c r="HI81" i="9"/>
  <c r="HJ81" i="9" s="1"/>
  <c r="HF81" i="9"/>
  <c r="HG81" i="9" s="1"/>
  <c r="GW81" i="9"/>
  <c r="GT81" i="9"/>
  <c r="GU81" i="9" s="1"/>
  <c r="GV81" i="9" s="1"/>
  <c r="GL81" i="9"/>
  <c r="GI81" i="9"/>
  <c r="GJ81" i="9" s="1"/>
  <c r="GK81" i="9" s="1"/>
  <c r="FU81" i="9"/>
  <c r="FT81" i="9"/>
  <c r="FS81" i="9"/>
  <c r="FQ81" i="9"/>
  <c r="FR81" i="9" s="1"/>
  <c r="FV81" i="9" s="1"/>
  <c r="FN81" i="9"/>
  <c r="FO81" i="9" s="1"/>
  <c r="FL81" i="9"/>
  <c r="FK81" i="9"/>
  <c r="BW81" i="9"/>
  <c r="BX81" i="9" s="1"/>
  <c r="BT81" i="9"/>
  <c r="BY81" i="9" s="1"/>
  <c r="AB81" i="9"/>
  <c r="HM80" i="9"/>
  <c r="HW80" i="9" s="1"/>
  <c r="HL80" i="9"/>
  <c r="HK80" i="9"/>
  <c r="HI80" i="9"/>
  <c r="HJ80" i="9" s="1"/>
  <c r="HN80" i="9" s="1"/>
  <c r="HF80" i="9"/>
  <c r="HG80" i="9" s="1"/>
  <c r="GW80" i="9"/>
  <c r="GX80" i="9" s="1"/>
  <c r="GY80" i="9" s="1"/>
  <c r="GT80" i="9"/>
  <c r="GU80" i="9" s="1"/>
  <c r="GV80" i="9" s="1"/>
  <c r="GL80" i="9"/>
  <c r="GJ80" i="9"/>
  <c r="GK80" i="9" s="1"/>
  <c r="GI80" i="9"/>
  <c r="FU80" i="9"/>
  <c r="FT80" i="9"/>
  <c r="FS80" i="9"/>
  <c r="FQ80" i="9"/>
  <c r="FR80" i="9" s="1"/>
  <c r="FN80" i="9"/>
  <c r="FO80" i="9" s="1"/>
  <c r="FL80" i="9"/>
  <c r="FK80" i="9"/>
  <c r="BW80" i="9"/>
  <c r="BX80" i="9" s="1"/>
  <c r="BT80" i="9"/>
  <c r="BY80" i="9" s="1"/>
  <c r="AB80" i="9"/>
  <c r="HM79" i="9"/>
  <c r="HW79" i="9" s="1"/>
  <c r="HL79" i="9"/>
  <c r="HK79" i="9"/>
  <c r="HI79" i="9"/>
  <c r="HJ79" i="9" s="1"/>
  <c r="HF79" i="9"/>
  <c r="HG79" i="9" s="1"/>
  <c r="GW79" i="9"/>
  <c r="GT79" i="9"/>
  <c r="GU79" i="9" s="1"/>
  <c r="GV79" i="9" s="1"/>
  <c r="GL79" i="9"/>
  <c r="GM79" i="9" s="1"/>
  <c r="GN79" i="9" s="1"/>
  <c r="GI79" i="9"/>
  <c r="GJ79" i="9" s="1"/>
  <c r="GK79" i="9" s="1"/>
  <c r="FU79" i="9"/>
  <c r="FT79" i="9"/>
  <c r="FS79" i="9"/>
  <c r="FQ79" i="9"/>
  <c r="FR79" i="9" s="1"/>
  <c r="FN79" i="9"/>
  <c r="FO79" i="9" s="1"/>
  <c r="FL79" i="9"/>
  <c r="FK79" i="9"/>
  <c r="BW79" i="9"/>
  <c r="BX79" i="9" s="1"/>
  <c r="BT79" i="9"/>
  <c r="BY79" i="9" s="1"/>
  <c r="AB79" i="9"/>
  <c r="HM78" i="9"/>
  <c r="HW78" i="9" s="1"/>
  <c r="HL78" i="9"/>
  <c r="HK78" i="9"/>
  <c r="HJ78" i="9"/>
  <c r="HI78" i="9"/>
  <c r="HF78" i="9"/>
  <c r="HG78" i="9" s="1"/>
  <c r="GX78" i="9"/>
  <c r="GY78" i="9" s="1"/>
  <c r="GW78" i="9"/>
  <c r="GT78" i="9"/>
  <c r="HA78" i="9" s="1"/>
  <c r="GL78" i="9"/>
  <c r="GM78" i="9" s="1"/>
  <c r="GN78" i="9" s="1"/>
  <c r="GI78" i="9"/>
  <c r="FU78" i="9"/>
  <c r="FT78" i="9"/>
  <c r="FS78" i="9"/>
  <c r="FQ78" i="9"/>
  <c r="FR78" i="9" s="1"/>
  <c r="FN78" i="9"/>
  <c r="FO78" i="9" s="1"/>
  <c r="FL78" i="9"/>
  <c r="FK78" i="9"/>
  <c r="AX78" i="9"/>
  <c r="AZ78" i="9" s="1"/>
  <c r="BB78" i="9" s="1"/>
  <c r="IA78" i="9" s="1"/>
  <c r="AB78" i="9"/>
  <c r="HM77" i="9"/>
  <c r="HW77" i="9" s="1"/>
  <c r="HL77" i="9"/>
  <c r="HK77" i="9"/>
  <c r="HI77" i="9"/>
  <c r="HJ77" i="9" s="1"/>
  <c r="HN77" i="9" s="1"/>
  <c r="HF77" i="9"/>
  <c r="HG77" i="9" s="1"/>
  <c r="GA77" i="9"/>
  <c r="GB77" i="9" s="1"/>
  <c r="GC77" i="9" s="1"/>
  <c r="FX77" i="9"/>
  <c r="FU77" i="9"/>
  <c r="FT77" i="9"/>
  <c r="FS77" i="9"/>
  <c r="FR77" i="9"/>
  <c r="FO77" i="9"/>
  <c r="FL77" i="9"/>
  <c r="FK77" i="9"/>
  <c r="BS77" i="9"/>
  <c r="BT77" i="9" s="1"/>
  <c r="BY77" i="9" s="1"/>
  <c r="AD77" i="9"/>
  <c r="AB77" i="9"/>
  <c r="HM76" i="9"/>
  <c r="HW76" i="9" s="1"/>
  <c r="HL76" i="9"/>
  <c r="HK76" i="9"/>
  <c r="HI76" i="9"/>
  <c r="HJ76" i="9" s="1"/>
  <c r="HF76" i="9"/>
  <c r="HG76" i="9" s="1"/>
  <c r="GA76" i="9"/>
  <c r="FX76" i="9"/>
  <c r="FY76" i="9" s="1"/>
  <c r="FZ76" i="9" s="1"/>
  <c r="FU76" i="9"/>
  <c r="FT76" i="9"/>
  <c r="FS76" i="9"/>
  <c r="FR76" i="9"/>
  <c r="FO76" i="9"/>
  <c r="FL76" i="9"/>
  <c r="FK76" i="9"/>
  <c r="BS76" i="9"/>
  <c r="BT76" i="9" s="1"/>
  <c r="BY76" i="9" s="1"/>
  <c r="AD76" i="9"/>
  <c r="AB76" i="9"/>
  <c r="HM75" i="9"/>
  <c r="HW75" i="9" s="1"/>
  <c r="HL75" i="9"/>
  <c r="HK75" i="9"/>
  <c r="HI75" i="9"/>
  <c r="HJ75" i="9" s="1"/>
  <c r="HF75" i="9"/>
  <c r="HG75" i="9" s="1"/>
  <c r="GA75" i="9"/>
  <c r="GB75" i="9" s="1"/>
  <c r="GC75" i="9" s="1"/>
  <c r="FX75" i="9"/>
  <c r="FU75" i="9"/>
  <c r="FT75" i="9"/>
  <c r="FS75" i="9"/>
  <c r="FR75" i="9"/>
  <c r="FO75" i="9"/>
  <c r="FL75" i="9"/>
  <c r="FK75" i="9"/>
  <c r="BS75" i="9"/>
  <c r="BT75" i="9" s="1"/>
  <c r="BY75" i="9" s="1"/>
  <c r="AD75" i="9"/>
  <c r="AB75" i="9"/>
  <c r="HM74" i="9"/>
  <c r="HW74" i="9" s="1"/>
  <c r="HL74" i="9"/>
  <c r="HK74" i="9"/>
  <c r="HI74" i="9"/>
  <c r="HJ74" i="9" s="1"/>
  <c r="HF74" i="9"/>
  <c r="HG74" i="9" s="1"/>
  <c r="GA74" i="9"/>
  <c r="FX74" i="9"/>
  <c r="FY74" i="9" s="1"/>
  <c r="FZ74" i="9" s="1"/>
  <c r="FU74" i="9"/>
  <c r="FT74" i="9"/>
  <c r="FS74" i="9"/>
  <c r="FR74" i="9"/>
  <c r="FO74" i="9"/>
  <c r="FL74" i="9"/>
  <c r="FK74" i="9"/>
  <c r="BS74" i="9"/>
  <c r="BT74" i="9" s="1"/>
  <c r="BY74" i="9" s="1"/>
  <c r="HY74" i="9" s="1"/>
  <c r="AD74" i="9"/>
  <c r="AB74" i="9"/>
  <c r="HM73" i="9"/>
  <c r="HW73" i="9" s="1"/>
  <c r="HL73" i="9"/>
  <c r="HK73" i="9"/>
  <c r="HI73" i="9"/>
  <c r="HJ73" i="9" s="1"/>
  <c r="HG73" i="9"/>
  <c r="HF73" i="9"/>
  <c r="GF73" i="9"/>
  <c r="GE73" i="9"/>
  <c r="GD73" i="9"/>
  <c r="GB73" i="9"/>
  <c r="GC73" i="9" s="1"/>
  <c r="FY73" i="9"/>
  <c r="FZ73" i="9" s="1"/>
  <c r="FU73" i="9"/>
  <c r="FT73" i="9"/>
  <c r="FS73" i="9"/>
  <c r="FR73" i="9"/>
  <c r="FO73" i="9"/>
  <c r="FL73" i="9"/>
  <c r="FK73" i="9"/>
  <c r="FH73" i="9"/>
  <c r="FG73" i="9"/>
  <c r="FF73" i="9"/>
  <c r="FD73" i="9"/>
  <c r="FE73" i="9" s="1"/>
  <c r="FB73" i="9"/>
  <c r="FA73" i="9"/>
  <c r="BS73" i="9"/>
  <c r="BT73" i="9" s="1"/>
  <c r="BY73" i="9" s="1"/>
  <c r="AB73" i="9"/>
  <c r="HM72" i="9"/>
  <c r="HW72" i="9" s="1"/>
  <c r="HL72" i="9"/>
  <c r="HK72" i="9"/>
  <c r="HI72" i="9"/>
  <c r="HJ72" i="9" s="1"/>
  <c r="HF72" i="9"/>
  <c r="HG72" i="9" s="1"/>
  <c r="GF72" i="9"/>
  <c r="GE72" i="9"/>
  <c r="GD72" i="9"/>
  <c r="GB72" i="9"/>
  <c r="GC72" i="9" s="1"/>
  <c r="FY72" i="9"/>
  <c r="FZ72" i="9" s="1"/>
  <c r="FU72" i="9"/>
  <c r="FT72" i="9"/>
  <c r="FS72" i="9"/>
  <c r="FR72" i="9"/>
  <c r="FV72" i="9" s="1"/>
  <c r="FO72" i="9"/>
  <c r="FL72" i="9"/>
  <c r="FK72" i="9"/>
  <c r="FH72" i="9"/>
  <c r="FG72" i="9"/>
  <c r="FF72" i="9"/>
  <c r="FD72" i="9"/>
  <c r="FE72" i="9" s="1"/>
  <c r="FA72" i="9"/>
  <c r="FB72" i="9" s="1"/>
  <c r="BS72" i="9"/>
  <c r="BT72" i="9" s="1"/>
  <c r="BY72" i="9" s="1"/>
  <c r="AB72" i="9"/>
  <c r="HW71" i="9"/>
  <c r="HM71" i="9"/>
  <c r="HL71" i="9"/>
  <c r="HK71" i="9"/>
  <c r="HI71" i="9"/>
  <c r="HJ71" i="9" s="1"/>
  <c r="HF71" i="9"/>
  <c r="HG71" i="9" s="1"/>
  <c r="GF71" i="9"/>
  <c r="GE71" i="9"/>
  <c r="GD71" i="9"/>
  <c r="GB71" i="9"/>
  <c r="GC71" i="9" s="1"/>
  <c r="FY71" i="9"/>
  <c r="FZ71" i="9" s="1"/>
  <c r="FU71" i="9"/>
  <c r="FT71" i="9"/>
  <c r="FS71" i="9"/>
  <c r="FR71" i="9"/>
  <c r="FO71" i="9"/>
  <c r="FL71" i="9"/>
  <c r="FK71" i="9"/>
  <c r="FH71" i="9"/>
  <c r="FG71" i="9"/>
  <c r="FF71" i="9"/>
  <c r="FD71" i="9"/>
  <c r="FE71" i="9" s="1"/>
  <c r="FA71" i="9"/>
  <c r="FB71" i="9" s="1"/>
  <c r="BS71" i="9"/>
  <c r="BT71" i="9" s="1"/>
  <c r="BY71" i="9" s="1"/>
  <c r="AB71" i="9"/>
  <c r="HM70" i="9"/>
  <c r="HW70" i="9" s="1"/>
  <c r="HL70" i="9"/>
  <c r="HK70" i="9"/>
  <c r="HJ70" i="9"/>
  <c r="HI70" i="9"/>
  <c r="HF70" i="9"/>
  <c r="HG70" i="9" s="1"/>
  <c r="GF70" i="9"/>
  <c r="GE70" i="9"/>
  <c r="GD70" i="9"/>
  <c r="GB70" i="9"/>
  <c r="GC70" i="9" s="1"/>
  <c r="FY70" i="9"/>
  <c r="FZ70" i="9" s="1"/>
  <c r="FU70" i="9"/>
  <c r="FT70" i="9"/>
  <c r="FS70" i="9"/>
  <c r="FR70" i="9"/>
  <c r="FV70" i="9" s="1"/>
  <c r="FO70" i="9"/>
  <c r="FL70" i="9"/>
  <c r="FK70" i="9"/>
  <c r="FH70" i="9"/>
  <c r="FG70" i="9"/>
  <c r="FF70" i="9"/>
  <c r="FD70" i="9"/>
  <c r="FE70" i="9" s="1"/>
  <c r="FA70" i="9"/>
  <c r="FB70" i="9" s="1"/>
  <c r="BS70" i="9"/>
  <c r="BT70" i="9" s="1"/>
  <c r="BY70" i="9" s="1"/>
  <c r="AB70" i="9"/>
  <c r="GC69" i="9"/>
  <c r="GA69" i="9"/>
  <c r="GF69" i="9" s="1"/>
  <c r="FZ69" i="9"/>
  <c r="FX69" i="9"/>
  <c r="FU69" i="9"/>
  <c r="FT69" i="9"/>
  <c r="FS69" i="9"/>
  <c r="FR69" i="9"/>
  <c r="FO69" i="9"/>
  <c r="FL69" i="9"/>
  <c r="FK69" i="9"/>
  <c r="DE69" i="9"/>
  <c r="DS69" i="9" s="1"/>
  <c r="AD69" i="9"/>
  <c r="AB69" i="9"/>
  <c r="GC68" i="9"/>
  <c r="GA68" i="9"/>
  <c r="FZ68" i="9"/>
  <c r="FX68" i="9"/>
  <c r="FU68" i="9"/>
  <c r="FT68" i="9"/>
  <c r="FS68" i="9"/>
  <c r="FR68" i="9"/>
  <c r="FO68" i="9"/>
  <c r="FL68" i="9"/>
  <c r="FK68" i="9"/>
  <c r="DS68" i="9"/>
  <c r="DU68" i="9" s="1"/>
  <c r="IA68" i="9" s="1"/>
  <c r="DE68" i="9"/>
  <c r="AD68" i="9"/>
  <c r="AB68" i="9"/>
  <c r="GC67" i="9"/>
  <c r="GA67" i="9"/>
  <c r="FZ67" i="9"/>
  <c r="FX67" i="9"/>
  <c r="GD67" i="9" s="1"/>
  <c r="FU67" i="9"/>
  <c r="FT67" i="9"/>
  <c r="FS67" i="9"/>
  <c r="FR67" i="9"/>
  <c r="FO67" i="9"/>
  <c r="FL67" i="9"/>
  <c r="FK67" i="9"/>
  <c r="DE67" i="9"/>
  <c r="DS67" i="9" s="1"/>
  <c r="AD67" i="9"/>
  <c r="AB67" i="9"/>
  <c r="GC66" i="9"/>
  <c r="GA66" i="9"/>
  <c r="GD66" i="9" s="1"/>
  <c r="FZ66" i="9"/>
  <c r="FX66" i="9"/>
  <c r="FU66" i="9"/>
  <c r="FT66" i="9"/>
  <c r="FS66" i="9"/>
  <c r="FR66" i="9"/>
  <c r="FO66" i="9"/>
  <c r="FL66" i="9"/>
  <c r="FK66" i="9"/>
  <c r="CF66" i="9"/>
  <c r="CY66" i="9" s="1"/>
  <c r="AD66" i="9"/>
  <c r="AB66" i="9"/>
  <c r="GC65" i="9"/>
  <c r="GA65" i="9"/>
  <c r="FZ65" i="9"/>
  <c r="FX65" i="9"/>
  <c r="FU65" i="9"/>
  <c r="FT65" i="9"/>
  <c r="FS65" i="9"/>
  <c r="FR65" i="9"/>
  <c r="FO65" i="9"/>
  <c r="FL65" i="9"/>
  <c r="FK65" i="9"/>
  <c r="CF65" i="9"/>
  <c r="CY65" i="9" s="1"/>
  <c r="AD65" i="9"/>
  <c r="AB65" i="9"/>
  <c r="GC64" i="9"/>
  <c r="GA64" i="9"/>
  <c r="GE64" i="9" s="1"/>
  <c r="FZ64" i="9"/>
  <c r="FX64" i="9"/>
  <c r="FU64" i="9"/>
  <c r="FT64" i="9"/>
  <c r="FS64" i="9"/>
  <c r="FR64" i="9"/>
  <c r="FO64" i="9"/>
  <c r="FL64" i="9"/>
  <c r="FK64" i="9"/>
  <c r="CF64" i="9"/>
  <c r="CY64" i="9" s="1"/>
  <c r="CZ64" i="9" s="1"/>
  <c r="HZ64" i="9" s="1"/>
  <c r="AD64" i="9"/>
  <c r="AB64" i="9"/>
  <c r="FU63" i="9"/>
  <c r="FT63" i="9"/>
  <c r="FS63" i="9"/>
  <c r="FR63" i="9"/>
  <c r="FO63" i="9"/>
  <c r="FL63" i="9"/>
  <c r="FK63" i="9"/>
  <c r="AX63" i="9"/>
  <c r="AZ63" i="9" s="1"/>
  <c r="HY63" i="9" s="1"/>
  <c r="AD63" i="9"/>
  <c r="AB63" i="9"/>
  <c r="FU62" i="9"/>
  <c r="FT62" i="9"/>
  <c r="FS62" i="9"/>
  <c r="FR62" i="9"/>
  <c r="FO62" i="9"/>
  <c r="FL62" i="9"/>
  <c r="FK62" i="9"/>
  <c r="AZ62" i="9"/>
  <c r="BB62" i="9" s="1"/>
  <c r="IA62" i="9" s="1"/>
  <c r="AX62" i="9"/>
  <c r="AD62" i="9"/>
  <c r="AB62" i="9"/>
  <c r="FU61" i="9"/>
  <c r="FT61" i="9"/>
  <c r="FS61" i="9"/>
  <c r="FR61" i="9"/>
  <c r="FO61" i="9"/>
  <c r="FL61" i="9"/>
  <c r="FK61" i="9"/>
  <c r="AX61" i="9"/>
  <c r="AZ61" i="9" s="1"/>
  <c r="AD61" i="9"/>
  <c r="AB61" i="9"/>
  <c r="HM60" i="9"/>
  <c r="HW60" i="9" s="1"/>
  <c r="HL60" i="9"/>
  <c r="HK60" i="9"/>
  <c r="HJ60" i="9"/>
  <c r="HG60" i="9"/>
  <c r="FU60" i="9"/>
  <c r="FT60" i="9"/>
  <c r="FS60" i="9"/>
  <c r="FR60" i="9"/>
  <c r="FV60" i="9" s="1"/>
  <c r="FO60" i="9"/>
  <c r="FL60" i="9"/>
  <c r="FK60" i="9"/>
  <c r="AX60" i="9"/>
  <c r="AZ60" i="9" s="1"/>
  <c r="AB60" i="9"/>
  <c r="HM59" i="9"/>
  <c r="HW59" i="9" s="1"/>
  <c r="HL59" i="9"/>
  <c r="HK59" i="9"/>
  <c r="HJ59" i="9"/>
  <c r="HG59" i="9"/>
  <c r="FU59" i="9"/>
  <c r="FT59" i="9"/>
  <c r="FS59" i="9"/>
  <c r="FR59" i="9"/>
  <c r="FO59" i="9"/>
  <c r="FL59" i="9"/>
  <c r="FK59" i="9"/>
  <c r="AX59" i="9"/>
  <c r="AZ59" i="9" s="1"/>
  <c r="AB59" i="9"/>
  <c r="HM58" i="9"/>
  <c r="HW58" i="9" s="1"/>
  <c r="HL58" i="9"/>
  <c r="HK58" i="9"/>
  <c r="HJ58" i="9"/>
  <c r="HG58" i="9"/>
  <c r="FU58" i="9"/>
  <c r="FT58" i="9"/>
  <c r="FS58" i="9"/>
  <c r="FR58" i="9"/>
  <c r="FV58" i="9" s="1"/>
  <c r="FO58" i="9"/>
  <c r="FL58" i="9"/>
  <c r="FK58" i="9"/>
  <c r="AZ58" i="9"/>
  <c r="AX58" i="9"/>
  <c r="AB58" i="9"/>
  <c r="HM57" i="9"/>
  <c r="HW57" i="9" s="1"/>
  <c r="HL57" i="9"/>
  <c r="HK57" i="9"/>
  <c r="HJ57" i="9"/>
  <c r="HG57" i="9"/>
  <c r="FU57" i="9"/>
  <c r="FT57" i="9"/>
  <c r="FS57" i="9"/>
  <c r="FR57" i="9"/>
  <c r="FO57" i="9"/>
  <c r="FL57" i="9"/>
  <c r="FK57" i="9"/>
  <c r="AX57" i="9"/>
  <c r="AZ57" i="9" s="1"/>
  <c r="BA57" i="9" s="1"/>
  <c r="HZ57" i="9" s="1"/>
  <c r="AB57" i="9"/>
  <c r="HB56" i="9"/>
  <c r="HA56" i="9"/>
  <c r="GZ56" i="9"/>
  <c r="GY56" i="9"/>
  <c r="GV56" i="9"/>
  <c r="GL56" i="9"/>
  <c r="GM56" i="9" s="1"/>
  <c r="GN56" i="9" s="1"/>
  <c r="GI56" i="9"/>
  <c r="GJ56" i="9" s="1"/>
  <c r="GK56" i="9" s="1"/>
  <c r="GC56" i="9"/>
  <c r="GA56" i="9"/>
  <c r="GE56" i="9" s="1"/>
  <c r="FZ56" i="9"/>
  <c r="FX56" i="9"/>
  <c r="FU56" i="9"/>
  <c r="FT56" i="9"/>
  <c r="FS56" i="9"/>
  <c r="FR56" i="9"/>
  <c r="FO56" i="9"/>
  <c r="FL56" i="9"/>
  <c r="FK56" i="9"/>
  <c r="AX56" i="9"/>
  <c r="AZ56" i="9" s="1"/>
  <c r="AB56" i="9"/>
  <c r="HB55" i="9"/>
  <c r="HA55" i="9"/>
  <c r="GZ55" i="9"/>
  <c r="GY55" i="9"/>
  <c r="GV55" i="9"/>
  <c r="GL55" i="9"/>
  <c r="GQ55" i="9" s="1"/>
  <c r="GI55" i="9"/>
  <c r="GJ55" i="9" s="1"/>
  <c r="GK55" i="9" s="1"/>
  <c r="GC55" i="9"/>
  <c r="GA55" i="9"/>
  <c r="FZ55" i="9"/>
  <c r="FX55" i="9"/>
  <c r="GD55" i="9" s="1"/>
  <c r="FU55" i="9"/>
  <c r="FT55" i="9"/>
  <c r="FS55" i="9"/>
  <c r="FR55" i="9"/>
  <c r="FO55" i="9"/>
  <c r="FL55" i="9"/>
  <c r="FK55" i="9"/>
  <c r="AX55" i="9"/>
  <c r="AZ55" i="9" s="1"/>
  <c r="BA55" i="9" s="1"/>
  <c r="HZ55" i="9" s="1"/>
  <c r="AB55" i="9"/>
  <c r="HB54" i="9"/>
  <c r="HA54" i="9"/>
  <c r="GZ54" i="9"/>
  <c r="GY54" i="9"/>
  <c r="HC54" i="9" s="1"/>
  <c r="GV54" i="9"/>
  <c r="GL54" i="9"/>
  <c r="GI54" i="9"/>
  <c r="GJ54" i="9" s="1"/>
  <c r="GK54" i="9" s="1"/>
  <c r="GC54" i="9"/>
  <c r="GA54" i="9"/>
  <c r="FZ54" i="9"/>
  <c r="FX54" i="9"/>
  <c r="FU54" i="9"/>
  <c r="FT54" i="9"/>
  <c r="FS54" i="9"/>
  <c r="FR54" i="9"/>
  <c r="FO54" i="9"/>
  <c r="FL54" i="9"/>
  <c r="FK54" i="9"/>
  <c r="AX54" i="9"/>
  <c r="AZ54" i="9" s="1"/>
  <c r="BA54" i="9" s="1"/>
  <c r="HZ54" i="9" s="1"/>
  <c r="AB54" i="9"/>
  <c r="HB53" i="9"/>
  <c r="HA53" i="9"/>
  <c r="GZ53" i="9"/>
  <c r="GY53" i="9"/>
  <c r="GV53" i="9"/>
  <c r="GL53" i="9"/>
  <c r="GI53" i="9"/>
  <c r="GJ53" i="9" s="1"/>
  <c r="GK53" i="9" s="1"/>
  <c r="GD53" i="9"/>
  <c r="GC53" i="9"/>
  <c r="GA53" i="9"/>
  <c r="GF53" i="9" s="1"/>
  <c r="FZ53" i="9"/>
  <c r="FX53" i="9"/>
  <c r="FU53" i="9"/>
  <c r="FT53" i="9"/>
  <c r="FS53" i="9"/>
  <c r="FR53" i="9"/>
  <c r="FV53" i="9" s="1"/>
  <c r="FO53" i="9"/>
  <c r="FL53" i="9"/>
  <c r="FK53" i="9"/>
  <c r="BA53" i="9"/>
  <c r="HZ53" i="9" s="1"/>
  <c r="AX53" i="9"/>
  <c r="AZ53" i="9" s="1"/>
  <c r="AB53" i="9"/>
  <c r="HB52" i="9"/>
  <c r="HA52" i="9"/>
  <c r="GZ52" i="9"/>
  <c r="GY52" i="9"/>
  <c r="HC52" i="9" s="1"/>
  <c r="GV52" i="9"/>
  <c r="GM52" i="9"/>
  <c r="GN52" i="9" s="1"/>
  <c r="GL52" i="9"/>
  <c r="GI52" i="9"/>
  <c r="GO52" i="9" s="1"/>
  <c r="GC52" i="9"/>
  <c r="GA52" i="9"/>
  <c r="GE52" i="9" s="1"/>
  <c r="FZ52" i="9"/>
  <c r="FX52" i="9"/>
  <c r="FU52" i="9"/>
  <c r="FT52" i="9"/>
  <c r="FS52" i="9"/>
  <c r="FR52" i="9"/>
  <c r="FO52" i="9"/>
  <c r="FL52" i="9"/>
  <c r="FK52" i="9"/>
  <c r="AX52" i="9"/>
  <c r="AZ52" i="9" s="1"/>
  <c r="AB52" i="9"/>
  <c r="HB51" i="9"/>
  <c r="HA51" i="9"/>
  <c r="GZ51" i="9"/>
  <c r="GY51" i="9"/>
  <c r="GV51" i="9"/>
  <c r="GL51" i="9"/>
  <c r="GM51" i="9" s="1"/>
  <c r="GN51" i="9" s="1"/>
  <c r="GI51" i="9"/>
  <c r="GC51" i="9"/>
  <c r="GA51" i="9"/>
  <c r="FZ51" i="9"/>
  <c r="FX51" i="9"/>
  <c r="FU51" i="9"/>
  <c r="FT51" i="9"/>
  <c r="FS51" i="9"/>
  <c r="FR51" i="9"/>
  <c r="FO51" i="9"/>
  <c r="FL51" i="9"/>
  <c r="FK51" i="9"/>
  <c r="AX51" i="9"/>
  <c r="AZ51" i="9" s="1"/>
  <c r="BA51" i="9" s="1"/>
  <c r="HZ51" i="9" s="1"/>
  <c r="AB51" i="9"/>
  <c r="HB50" i="9"/>
  <c r="HA50" i="9"/>
  <c r="GZ50" i="9"/>
  <c r="GY50" i="9"/>
  <c r="GV50" i="9"/>
  <c r="GL50" i="9"/>
  <c r="GI50" i="9"/>
  <c r="GJ50" i="9" s="1"/>
  <c r="GK50" i="9" s="1"/>
  <c r="GC50" i="9"/>
  <c r="GA50" i="9"/>
  <c r="FZ50" i="9"/>
  <c r="FX50" i="9"/>
  <c r="GD50" i="9" s="1"/>
  <c r="FU50" i="9"/>
  <c r="FT50" i="9"/>
  <c r="FS50" i="9"/>
  <c r="FR50" i="9"/>
  <c r="FO50" i="9"/>
  <c r="FL50" i="9"/>
  <c r="FK50" i="9"/>
  <c r="AX50" i="9"/>
  <c r="AZ50" i="9" s="1"/>
  <c r="BA50" i="9" s="1"/>
  <c r="HZ50" i="9" s="1"/>
  <c r="AB50" i="9"/>
  <c r="HB49" i="9"/>
  <c r="HA49" i="9"/>
  <c r="GZ49" i="9"/>
  <c r="GY49" i="9"/>
  <c r="GV49" i="9"/>
  <c r="GM49" i="9"/>
  <c r="GN49" i="9" s="1"/>
  <c r="GL49" i="9"/>
  <c r="GI49" i="9"/>
  <c r="GO49" i="9" s="1"/>
  <c r="GC49" i="9"/>
  <c r="GA49" i="9"/>
  <c r="FZ49" i="9"/>
  <c r="FX49" i="9"/>
  <c r="FU49" i="9"/>
  <c r="FT49" i="9"/>
  <c r="FS49" i="9"/>
  <c r="FR49" i="9"/>
  <c r="FO49" i="9"/>
  <c r="FL49" i="9"/>
  <c r="FK49" i="9"/>
  <c r="AX49" i="9"/>
  <c r="AZ49" i="9" s="1"/>
  <c r="BA49" i="9" s="1"/>
  <c r="HZ49" i="9" s="1"/>
  <c r="AB49" i="9"/>
  <c r="HM48" i="9"/>
  <c r="HW48" i="9" s="1"/>
  <c r="HL48" i="9"/>
  <c r="HK48" i="9"/>
  <c r="HJ48" i="9"/>
  <c r="HN48" i="9" s="1"/>
  <c r="HG48" i="9"/>
  <c r="FU48" i="9"/>
  <c r="FT48" i="9"/>
  <c r="FS48" i="9"/>
  <c r="FR48" i="9"/>
  <c r="FO48" i="9"/>
  <c r="FL48" i="9"/>
  <c r="FK48" i="9"/>
  <c r="AX48" i="9"/>
  <c r="AZ48" i="9" s="1"/>
  <c r="HY48" i="9" s="1"/>
  <c r="AB48" i="9"/>
  <c r="HM47" i="9"/>
  <c r="HW47" i="9" s="1"/>
  <c r="HL47" i="9"/>
  <c r="HK47" i="9"/>
  <c r="HJ47" i="9"/>
  <c r="HG47" i="9"/>
  <c r="FU47" i="9"/>
  <c r="FT47" i="9"/>
  <c r="FS47" i="9"/>
  <c r="FR47" i="9"/>
  <c r="FO47" i="9"/>
  <c r="FL47" i="9"/>
  <c r="FK47" i="9"/>
  <c r="AX47" i="9"/>
  <c r="AZ47" i="9" s="1"/>
  <c r="HY47" i="9" s="1"/>
  <c r="AB47" i="9"/>
  <c r="HW46" i="9"/>
  <c r="HM46" i="9"/>
  <c r="HL46" i="9"/>
  <c r="HK46" i="9"/>
  <c r="HJ46" i="9"/>
  <c r="HG46" i="9"/>
  <c r="FU46" i="9"/>
  <c r="FT46" i="9"/>
  <c r="FS46" i="9"/>
  <c r="FR46" i="9"/>
  <c r="FO46" i="9"/>
  <c r="FL46" i="9"/>
  <c r="FK46" i="9"/>
  <c r="AX46" i="9"/>
  <c r="AZ46" i="9" s="1"/>
  <c r="HY46" i="9" s="1"/>
  <c r="AB46" i="9"/>
  <c r="HM45" i="9"/>
  <c r="HW45" i="9" s="1"/>
  <c r="HL45" i="9"/>
  <c r="HK45" i="9"/>
  <c r="HJ45" i="9"/>
  <c r="HG45" i="9"/>
  <c r="FU45" i="9"/>
  <c r="FT45" i="9"/>
  <c r="FS45" i="9"/>
  <c r="FR45" i="9"/>
  <c r="FO45" i="9"/>
  <c r="FL45" i="9"/>
  <c r="FK45" i="9"/>
  <c r="AX45" i="9"/>
  <c r="AZ45" i="9" s="1"/>
  <c r="BB45" i="9" s="1"/>
  <c r="AB45" i="9"/>
  <c r="HM44" i="9"/>
  <c r="HW44" i="9" s="1"/>
  <c r="HL44" i="9"/>
  <c r="HK44" i="9"/>
  <c r="HJ44" i="9"/>
  <c r="HG44" i="9"/>
  <c r="FU44" i="9"/>
  <c r="FT44" i="9"/>
  <c r="FS44" i="9"/>
  <c r="FR44" i="9"/>
  <c r="FO44" i="9"/>
  <c r="FL44" i="9"/>
  <c r="FK44" i="9"/>
  <c r="AX44" i="9"/>
  <c r="AZ44" i="9" s="1"/>
  <c r="AB44" i="9"/>
  <c r="HM43" i="9"/>
  <c r="HW43" i="9" s="1"/>
  <c r="HL43" i="9"/>
  <c r="HK43" i="9"/>
  <c r="HJ43" i="9"/>
  <c r="HG43" i="9"/>
  <c r="FU43" i="9"/>
  <c r="FT43" i="9"/>
  <c r="FS43" i="9"/>
  <c r="FR43" i="9"/>
  <c r="FO43" i="9"/>
  <c r="FL43" i="9"/>
  <c r="FK43" i="9"/>
  <c r="AX43" i="9"/>
  <c r="AZ43" i="9" s="1"/>
  <c r="AB43" i="9"/>
  <c r="HM42" i="9"/>
  <c r="HW42" i="9" s="1"/>
  <c r="HL42" i="9"/>
  <c r="HK42" i="9"/>
  <c r="HJ42" i="9"/>
  <c r="HG42" i="9"/>
  <c r="FU42" i="9"/>
  <c r="FT42" i="9"/>
  <c r="FS42" i="9"/>
  <c r="FR42" i="9"/>
  <c r="FO42" i="9"/>
  <c r="FL42" i="9"/>
  <c r="FK42" i="9"/>
  <c r="AX42" i="9"/>
  <c r="AZ42" i="9" s="1"/>
  <c r="AB42" i="9"/>
  <c r="HM41" i="9"/>
  <c r="HW41" i="9" s="1"/>
  <c r="HL41" i="9"/>
  <c r="HK41" i="9"/>
  <c r="HJ41" i="9"/>
  <c r="HN41" i="9" s="1"/>
  <c r="HG41" i="9"/>
  <c r="FU41" i="9"/>
  <c r="FT41" i="9"/>
  <c r="FS41" i="9"/>
  <c r="FR41" i="9"/>
  <c r="FO41" i="9"/>
  <c r="FL41" i="9"/>
  <c r="FK41" i="9"/>
  <c r="AX41" i="9"/>
  <c r="AZ41" i="9" s="1"/>
  <c r="BA41" i="9" s="1"/>
  <c r="HZ41" i="9" s="1"/>
  <c r="AB41" i="9"/>
  <c r="HB40" i="9"/>
  <c r="HA40" i="9"/>
  <c r="GZ40" i="9"/>
  <c r="GY40" i="9"/>
  <c r="GV40" i="9"/>
  <c r="GC40" i="9"/>
  <c r="GA40" i="9"/>
  <c r="FZ40" i="9"/>
  <c r="FX40" i="9"/>
  <c r="FU40" i="9"/>
  <c r="FT40" i="9"/>
  <c r="FS40" i="9"/>
  <c r="FR40" i="9"/>
  <c r="FO40" i="9"/>
  <c r="FL40" i="9"/>
  <c r="FK40" i="9"/>
  <c r="AX40" i="9"/>
  <c r="AZ40" i="9" s="1"/>
  <c r="AD40" i="9"/>
  <c r="AB40" i="9"/>
  <c r="HB39" i="9"/>
  <c r="HA39" i="9"/>
  <c r="GZ39" i="9"/>
  <c r="GY39" i="9"/>
  <c r="GV39" i="9"/>
  <c r="GC39" i="9"/>
  <c r="GA39" i="9"/>
  <c r="FZ39" i="9"/>
  <c r="FX39" i="9"/>
  <c r="FU39" i="9"/>
  <c r="FT39" i="9"/>
  <c r="FS39" i="9"/>
  <c r="FR39" i="9"/>
  <c r="FO39" i="9"/>
  <c r="FL39" i="9"/>
  <c r="FK39" i="9"/>
  <c r="AX39" i="9"/>
  <c r="AZ39" i="9" s="1"/>
  <c r="AD39" i="9"/>
  <c r="AB39" i="9"/>
  <c r="HB38" i="9"/>
  <c r="HA38" i="9"/>
  <c r="GZ38" i="9"/>
  <c r="GY38" i="9"/>
  <c r="GV38" i="9"/>
  <c r="GC38" i="9"/>
  <c r="GA38" i="9"/>
  <c r="FZ38" i="9"/>
  <c r="FX38" i="9"/>
  <c r="FU38" i="9"/>
  <c r="FT38" i="9"/>
  <c r="FS38" i="9"/>
  <c r="FR38" i="9"/>
  <c r="FO38" i="9"/>
  <c r="FL38" i="9"/>
  <c r="FK38" i="9"/>
  <c r="AX38" i="9"/>
  <c r="AZ38" i="9" s="1"/>
  <c r="BB38" i="9" s="1"/>
  <c r="IA38" i="9" s="1"/>
  <c r="AD38" i="9"/>
  <c r="AB38" i="9"/>
  <c r="HB37" i="9"/>
  <c r="HA37" i="9"/>
  <c r="GZ37" i="9"/>
  <c r="GY37" i="9"/>
  <c r="GV37" i="9"/>
  <c r="GC37" i="9"/>
  <c r="GA37" i="9"/>
  <c r="FZ37" i="9"/>
  <c r="FX37" i="9"/>
  <c r="FU37" i="9"/>
  <c r="FT37" i="9"/>
  <c r="FS37" i="9"/>
  <c r="FR37" i="9"/>
  <c r="FO37" i="9"/>
  <c r="FL37" i="9"/>
  <c r="FK37" i="9"/>
  <c r="AX37" i="9"/>
  <c r="AZ37" i="9" s="1"/>
  <c r="AD37" i="9"/>
  <c r="AB37" i="9"/>
  <c r="HB36" i="9"/>
  <c r="HA36" i="9"/>
  <c r="GZ36" i="9"/>
  <c r="GY36" i="9"/>
  <c r="GV36" i="9"/>
  <c r="GC36" i="9"/>
  <c r="GA36" i="9"/>
  <c r="FZ36" i="9"/>
  <c r="FX36" i="9"/>
  <c r="FU36" i="9"/>
  <c r="FT36" i="9"/>
  <c r="FS36" i="9"/>
  <c r="FR36" i="9"/>
  <c r="FO36" i="9"/>
  <c r="FL36" i="9"/>
  <c r="FK36" i="9"/>
  <c r="AX36" i="9"/>
  <c r="AZ36" i="9" s="1"/>
  <c r="BB36" i="9" s="1"/>
  <c r="IA36" i="9" s="1"/>
  <c r="AD36" i="9"/>
  <c r="AB36" i="9"/>
  <c r="HB35" i="9"/>
  <c r="HA35" i="9"/>
  <c r="GZ35" i="9"/>
  <c r="GY35" i="9"/>
  <c r="HC35" i="9" s="1"/>
  <c r="GV35" i="9"/>
  <c r="GC35" i="9"/>
  <c r="GA35" i="9"/>
  <c r="FZ35" i="9"/>
  <c r="FX35" i="9"/>
  <c r="FU35" i="9"/>
  <c r="FT35" i="9"/>
  <c r="FS35" i="9"/>
  <c r="FR35" i="9"/>
  <c r="FO35" i="9"/>
  <c r="FL35" i="9"/>
  <c r="FK35" i="9"/>
  <c r="AX35" i="9"/>
  <c r="AZ35" i="9" s="1"/>
  <c r="AD35" i="9"/>
  <c r="AB35" i="9"/>
  <c r="HB34" i="9"/>
  <c r="HA34" i="9"/>
  <c r="GZ34" i="9"/>
  <c r="GY34" i="9"/>
  <c r="HC34" i="9" s="1"/>
  <c r="GV34" i="9"/>
  <c r="GQ34" i="9"/>
  <c r="GP34" i="9"/>
  <c r="GO34" i="9"/>
  <c r="GN34" i="9"/>
  <c r="GK34" i="9"/>
  <c r="FU34" i="9"/>
  <c r="FT34" i="9"/>
  <c r="FS34" i="9"/>
  <c r="FR34" i="9"/>
  <c r="FO34" i="9"/>
  <c r="FL34" i="9"/>
  <c r="FK34" i="9"/>
  <c r="CF34" i="9"/>
  <c r="CY34" i="9" s="1"/>
  <c r="BX34" i="9"/>
  <c r="BW34" i="9"/>
  <c r="BT34" i="9"/>
  <c r="BY34" i="9" s="1"/>
  <c r="AX34" i="9"/>
  <c r="AZ34" i="9" s="1"/>
  <c r="AB34" i="9"/>
  <c r="HC33" i="9"/>
  <c r="HB33" i="9"/>
  <c r="HA33" i="9"/>
  <c r="GZ33" i="9"/>
  <c r="GY33" i="9"/>
  <c r="GV33" i="9"/>
  <c r="GQ33" i="9"/>
  <c r="GP33" i="9"/>
  <c r="GO33" i="9"/>
  <c r="GN33" i="9"/>
  <c r="GR33" i="9" s="1"/>
  <c r="GK33" i="9"/>
  <c r="FU33" i="9"/>
  <c r="FT33" i="9"/>
  <c r="FS33" i="9"/>
  <c r="FR33" i="9"/>
  <c r="FO33" i="9"/>
  <c r="FL33" i="9"/>
  <c r="FK33" i="9"/>
  <c r="CF33" i="9"/>
  <c r="CY33" i="9" s="1"/>
  <c r="AX33" i="9"/>
  <c r="AZ33" i="9" s="1"/>
  <c r="AB33" i="9"/>
  <c r="HB32" i="9"/>
  <c r="HA32" i="9"/>
  <c r="GZ32" i="9"/>
  <c r="GY32" i="9"/>
  <c r="GV32" i="9"/>
  <c r="GQ32" i="9"/>
  <c r="GP32" i="9"/>
  <c r="GO32" i="9"/>
  <c r="GN32" i="9"/>
  <c r="GK32" i="9"/>
  <c r="FU32" i="9"/>
  <c r="FT32" i="9"/>
  <c r="FS32" i="9"/>
  <c r="FR32" i="9"/>
  <c r="FO32" i="9"/>
  <c r="FL32" i="9"/>
  <c r="FK32" i="9"/>
  <c r="BX32" i="9"/>
  <c r="BW32" i="9"/>
  <c r="BT32" i="9"/>
  <c r="BY32" i="9" s="1"/>
  <c r="CA32" i="9" s="1"/>
  <c r="AX32" i="9"/>
  <c r="AB32" i="9"/>
  <c r="HB31" i="9"/>
  <c r="HA31" i="9"/>
  <c r="GZ31" i="9"/>
  <c r="GY31" i="9"/>
  <c r="HC31" i="9" s="1"/>
  <c r="GV31" i="9"/>
  <c r="GQ31" i="9"/>
  <c r="GP31" i="9"/>
  <c r="GO31" i="9"/>
  <c r="GN31" i="9"/>
  <c r="GK31" i="9"/>
  <c r="FU31" i="9"/>
  <c r="FT31" i="9"/>
  <c r="FS31" i="9"/>
  <c r="FR31" i="9"/>
  <c r="FV31" i="9" s="1"/>
  <c r="FO31" i="9"/>
  <c r="FL31" i="9"/>
  <c r="FK31" i="9"/>
  <c r="CF31" i="9"/>
  <c r="BX31" i="9"/>
  <c r="BW31" i="9"/>
  <c r="BT31" i="9"/>
  <c r="BY31" i="9" s="1"/>
  <c r="AB31" i="9"/>
  <c r="HB30" i="9"/>
  <c r="HA30" i="9"/>
  <c r="GZ30" i="9"/>
  <c r="GY30" i="9"/>
  <c r="GV30" i="9"/>
  <c r="GQ30" i="9"/>
  <c r="GP30" i="9"/>
  <c r="GO30" i="9"/>
  <c r="GN30" i="9"/>
  <c r="GK30" i="9"/>
  <c r="FU30" i="9"/>
  <c r="FT30" i="9"/>
  <c r="FS30" i="9"/>
  <c r="FR30" i="9"/>
  <c r="FO30" i="9"/>
  <c r="FL30" i="9"/>
  <c r="FK30" i="9"/>
  <c r="AZ30" i="9"/>
  <c r="BB30" i="9" s="1"/>
  <c r="IA30" i="9" s="1"/>
  <c r="AX30" i="9"/>
  <c r="AB30" i="9"/>
  <c r="HB29" i="9"/>
  <c r="HA29" i="9"/>
  <c r="GZ29" i="9"/>
  <c r="GY29" i="9"/>
  <c r="GV29" i="9"/>
  <c r="GQ29" i="9"/>
  <c r="GP29" i="9"/>
  <c r="GO29" i="9"/>
  <c r="GN29" i="9"/>
  <c r="GK29" i="9"/>
  <c r="FU29" i="9"/>
  <c r="FT29" i="9"/>
  <c r="FS29" i="9"/>
  <c r="FR29" i="9"/>
  <c r="FV29" i="9" s="1"/>
  <c r="FO29" i="9"/>
  <c r="FL29" i="9"/>
  <c r="FK29" i="9"/>
  <c r="BX29" i="9"/>
  <c r="BW29" i="9"/>
  <c r="BT29" i="9"/>
  <c r="BY29" i="9" s="1"/>
  <c r="AB29" i="9"/>
  <c r="HB28" i="9"/>
  <c r="HA28" i="9"/>
  <c r="GZ28" i="9"/>
  <c r="GY28" i="9"/>
  <c r="GV28" i="9"/>
  <c r="GQ28" i="9"/>
  <c r="GP28" i="9"/>
  <c r="GO28" i="9"/>
  <c r="GN28" i="9"/>
  <c r="GK28" i="9"/>
  <c r="FU28" i="9"/>
  <c r="FT28" i="9"/>
  <c r="FS28" i="9"/>
  <c r="FR28" i="9"/>
  <c r="FO28" i="9"/>
  <c r="FL28" i="9"/>
  <c r="FK28" i="9"/>
  <c r="CF28" i="9"/>
  <c r="CY28" i="9" s="1"/>
  <c r="HY28" i="9" s="1"/>
  <c r="AB28" i="9"/>
  <c r="HB27" i="9"/>
  <c r="HA27" i="9"/>
  <c r="GZ27" i="9"/>
  <c r="GY27" i="9"/>
  <c r="GV27" i="9"/>
  <c r="GQ27" i="9"/>
  <c r="GP27" i="9"/>
  <c r="GO27" i="9"/>
  <c r="GN27" i="9"/>
  <c r="GK27" i="9"/>
  <c r="FU27" i="9"/>
  <c r="FT27" i="9"/>
  <c r="FS27" i="9"/>
  <c r="FR27" i="9"/>
  <c r="FO27" i="9"/>
  <c r="FL27" i="9"/>
  <c r="FK27" i="9"/>
  <c r="CF27" i="9"/>
  <c r="CY27" i="9" s="1"/>
  <c r="HY27" i="9" s="1"/>
  <c r="AB27" i="9"/>
  <c r="HM26" i="9"/>
  <c r="HW26" i="9" s="1"/>
  <c r="HL26" i="9"/>
  <c r="HK26" i="9"/>
  <c r="HJ26" i="9"/>
  <c r="HN26" i="9" s="1"/>
  <c r="HG26" i="9"/>
  <c r="FU26" i="9"/>
  <c r="FT26" i="9"/>
  <c r="FS26" i="9"/>
  <c r="FR26" i="9"/>
  <c r="FV26" i="9" s="1"/>
  <c r="FO26" i="9"/>
  <c r="FL26" i="9"/>
  <c r="FK26" i="9"/>
  <c r="CF26" i="9"/>
  <c r="CY26" i="9" s="1"/>
  <c r="HY26" i="9" s="1"/>
  <c r="AD26" i="9"/>
  <c r="AB26" i="9"/>
  <c r="HM25" i="9"/>
  <c r="HW25" i="9" s="1"/>
  <c r="HL25" i="9"/>
  <c r="HK25" i="9"/>
  <c r="HJ25" i="9"/>
  <c r="HG25" i="9"/>
  <c r="FU25" i="9"/>
  <c r="FT25" i="9"/>
  <c r="FS25" i="9"/>
  <c r="FR25" i="9"/>
  <c r="FO25" i="9"/>
  <c r="FL25" i="9"/>
  <c r="FK25" i="9"/>
  <c r="CF25" i="9"/>
  <c r="CY25" i="9" s="1"/>
  <c r="HY25" i="9" s="1"/>
  <c r="AD25" i="9"/>
  <c r="AB25" i="9"/>
  <c r="HM24" i="9"/>
  <c r="HW24" i="9" s="1"/>
  <c r="HL24" i="9"/>
  <c r="HK24" i="9"/>
  <c r="HJ24" i="9"/>
  <c r="HG24" i="9"/>
  <c r="FU24" i="9"/>
  <c r="FT24" i="9"/>
  <c r="FS24" i="9"/>
  <c r="FR24" i="9"/>
  <c r="FO24" i="9"/>
  <c r="FL24" i="9"/>
  <c r="FK24" i="9"/>
  <c r="CY24" i="9"/>
  <c r="CF24" i="9"/>
  <c r="AD24" i="9"/>
  <c r="AB24" i="9"/>
  <c r="HM23" i="9"/>
  <c r="HW23" i="9" s="1"/>
  <c r="HL23" i="9"/>
  <c r="HK23" i="9"/>
  <c r="HJ23" i="9"/>
  <c r="HG23" i="9"/>
  <c r="FU23" i="9"/>
  <c r="FT23" i="9"/>
  <c r="FS23" i="9"/>
  <c r="FR23" i="9"/>
  <c r="FO23" i="9"/>
  <c r="FL23" i="9"/>
  <c r="FK23" i="9"/>
  <c r="AZ23" i="9"/>
  <c r="HY23" i="9" s="1"/>
  <c r="AX23" i="9"/>
  <c r="AD23" i="9"/>
  <c r="AB23" i="9"/>
  <c r="HM22" i="9"/>
  <c r="HW22" i="9" s="1"/>
  <c r="HL22" i="9"/>
  <c r="HK22" i="9"/>
  <c r="HJ22" i="9"/>
  <c r="HN22" i="9" s="1"/>
  <c r="HG22" i="9"/>
  <c r="FU22" i="9"/>
  <c r="FT22" i="9"/>
  <c r="FS22" i="9"/>
  <c r="FR22" i="9"/>
  <c r="FV22" i="9" s="1"/>
  <c r="FO22" i="9"/>
  <c r="FL22" i="9"/>
  <c r="FK22" i="9"/>
  <c r="AX22" i="9"/>
  <c r="AZ22" i="9" s="1"/>
  <c r="HY22" i="9" s="1"/>
  <c r="AD22" i="9"/>
  <c r="AB22" i="9"/>
  <c r="HM21" i="9"/>
  <c r="HW21" i="9" s="1"/>
  <c r="HL21" i="9"/>
  <c r="HK21" i="9"/>
  <c r="HJ21" i="9"/>
  <c r="HG21" i="9"/>
  <c r="FU21" i="9"/>
  <c r="FT21" i="9"/>
  <c r="FS21" i="9"/>
  <c r="FR21" i="9"/>
  <c r="FO21" i="9"/>
  <c r="FL21" i="9"/>
  <c r="FK21" i="9"/>
  <c r="AX21" i="9"/>
  <c r="AZ21" i="9" s="1"/>
  <c r="AD21" i="9"/>
  <c r="AB21" i="9"/>
  <c r="HM20" i="9"/>
  <c r="HW20" i="9" s="1"/>
  <c r="HL20" i="9"/>
  <c r="HK20" i="9"/>
  <c r="HJ20" i="9"/>
  <c r="HG20" i="9"/>
  <c r="GC20" i="9"/>
  <c r="GA20" i="9"/>
  <c r="FZ20" i="9"/>
  <c r="FX20" i="9"/>
  <c r="GE20" i="9" s="1"/>
  <c r="FU20" i="9"/>
  <c r="FT20" i="9"/>
  <c r="FS20" i="9"/>
  <c r="FR20" i="9"/>
  <c r="FO20" i="9"/>
  <c r="FL20" i="9"/>
  <c r="FK20" i="9"/>
  <c r="AX20" i="9"/>
  <c r="AZ20" i="9" s="1"/>
  <c r="AD20" i="9"/>
  <c r="AB20" i="9"/>
  <c r="HM19" i="9"/>
  <c r="HW19" i="9" s="1"/>
  <c r="HL19" i="9"/>
  <c r="HK19" i="9"/>
  <c r="HJ19" i="9"/>
  <c r="HG19" i="9"/>
  <c r="GC19" i="9"/>
  <c r="GA19" i="9"/>
  <c r="FZ19" i="9"/>
  <c r="FX19" i="9"/>
  <c r="FU19" i="9"/>
  <c r="FT19" i="9"/>
  <c r="FS19" i="9"/>
  <c r="FR19" i="9"/>
  <c r="FO19" i="9"/>
  <c r="FL19" i="9"/>
  <c r="FK19" i="9"/>
  <c r="CF19" i="9"/>
  <c r="CY19" i="9" s="1"/>
  <c r="AD19" i="9"/>
  <c r="AB19" i="9"/>
  <c r="HM18" i="9"/>
  <c r="HW18" i="9" s="1"/>
  <c r="HL18" i="9"/>
  <c r="HK18" i="9"/>
  <c r="HJ18" i="9"/>
  <c r="HG18" i="9"/>
  <c r="GC18" i="9"/>
  <c r="GA18" i="9"/>
  <c r="FZ18" i="9"/>
  <c r="FX18" i="9"/>
  <c r="FU18" i="9"/>
  <c r="FT18" i="9"/>
  <c r="FS18" i="9"/>
  <c r="FR18" i="9"/>
  <c r="FV18" i="9" s="1"/>
  <c r="FO18" i="9"/>
  <c r="FL18" i="9"/>
  <c r="FK18" i="9"/>
  <c r="CF18" i="9"/>
  <c r="CY18" i="9" s="1"/>
  <c r="HY18" i="9" s="1"/>
  <c r="AD18" i="9"/>
  <c r="AB18" i="9"/>
  <c r="HM17" i="9"/>
  <c r="HW17" i="9" s="1"/>
  <c r="HL17" i="9"/>
  <c r="HK17" i="9"/>
  <c r="HJ17" i="9"/>
  <c r="HG17" i="9"/>
  <c r="GC17" i="9"/>
  <c r="GA17" i="9"/>
  <c r="FZ17" i="9"/>
  <c r="FX17" i="9"/>
  <c r="FU17" i="9"/>
  <c r="FT17" i="9"/>
  <c r="FS17" i="9"/>
  <c r="FR17" i="9"/>
  <c r="FO17" i="9"/>
  <c r="FL17" i="9"/>
  <c r="FK17" i="9"/>
  <c r="CF17" i="9"/>
  <c r="CY17" i="9" s="1"/>
  <c r="AD17" i="9"/>
  <c r="AB17" i="9"/>
  <c r="GQ16" i="9"/>
  <c r="GP16" i="9"/>
  <c r="GO16" i="9"/>
  <c r="GN16" i="9"/>
  <c r="GK16" i="9"/>
  <c r="FU16" i="9"/>
  <c r="FT16" i="9"/>
  <c r="FS16" i="9"/>
  <c r="FR16" i="9"/>
  <c r="FO16" i="9"/>
  <c r="FL16" i="9"/>
  <c r="FK16" i="9"/>
  <c r="AX16" i="9"/>
  <c r="AZ16" i="9" s="1"/>
  <c r="BB16" i="9" s="1"/>
  <c r="IA16" i="9" s="1"/>
  <c r="AB16" i="9"/>
  <c r="GQ15" i="9"/>
  <c r="GP15" i="9"/>
  <c r="GO15" i="9"/>
  <c r="GN15" i="9"/>
  <c r="GK15" i="9"/>
  <c r="FU15" i="9"/>
  <c r="FT15" i="9"/>
  <c r="FS15" i="9"/>
  <c r="FR15" i="9"/>
  <c r="FO15" i="9"/>
  <c r="FL15" i="9"/>
  <c r="FK15" i="9"/>
  <c r="AX15" i="9"/>
  <c r="AZ15" i="9" s="1"/>
  <c r="AB15" i="9"/>
  <c r="GQ14" i="9"/>
  <c r="GP14" i="9"/>
  <c r="GO14" i="9"/>
  <c r="GN14" i="9"/>
  <c r="GK14" i="9"/>
  <c r="FU14" i="9"/>
  <c r="FT14" i="9"/>
  <c r="FS14" i="9"/>
  <c r="FR14" i="9"/>
  <c r="FO14" i="9"/>
  <c r="FL14" i="9"/>
  <c r="FK14" i="9"/>
  <c r="AX14" i="9"/>
  <c r="AZ14" i="9" s="1"/>
  <c r="BB14" i="9" s="1"/>
  <c r="IA14" i="9" s="1"/>
  <c r="AB14" i="9"/>
  <c r="HM13" i="9"/>
  <c r="HW13" i="9" s="1"/>
  <c r="HL13" i="9"/>
  <c r="HK13" i="9"/>
  <c r="HJ13" i="9"/>
  <c r="HG13" i="9"/>
  <c r="HB13" i="9"/>
  <c r="HA13" i="9"/>
  <c r="GZ13" i="9"/>
  <c r="GY13" i="9"/>
  <c r="GV13" i="9"/>
  <c r="GQ13" i="9"/>
  <c r="GP13" i="9"/>
  <c r="GO13" i="9"/>
  <c r="GN13" i="9"/>
  <c r="GK13" i="9"/>
  <c r="FU13" i="9"/>
  <c r="FT13" i="9"/>
  <c r="FS13" i="9"/>
  <c r="FR13" i="9"/>
  <c r="FO13" i="9"/>
  <c r="FL13" i="9"/>
  <c r="FK13" i="9"/>
  <c r="BX13" i="9"/>
  <c r="BW13" i="9"/>
  <c r="BT13" i="9"/>
  <c r="BY13" i="9" s="1"/>
  <c r="CA13" i="9" s="1"/>
  <c r="AX13" i="9"/>
  <c r="AB13" i="9"/>
  <c r="HM12" i="9"/>
  <c r="HW12" i="9" s="1"/>
  <c r="HL12" i="9"/>
  <c r="HK12" i="9"/>
  <c r="HJ12" i="9"/>
  <c r="HG12" i="9"/>
  <c r="HB12" i="9"/>
  <c r="HA12" i="9"/>
  <c r="GZ12" i="9"/>
  <c r="GY12" i="9"/>
  <c r="GV12" i="9"/>
  <c r="GQ12" i="9"/>
  <c r="GP12" i="9"/>
  <c r="GO12" i="9"/>
  <c r="GN12" i="9"/>
  <c r="GK12" i="9"/>
  <c r="FU12" i="9"/>
  <c r="FT12" i="9"/>
  <c r="FS12" i="9"/>
  <c r="FR12" i="9"/>
  <c r="FO12" i="9"/>
  <c r="FL12" i="9"/>
  <c r="FK12" i="9"/>
  <c r="BX12" i="9"/>
  <c r="BW12" i="9"/>
  <c r="BT12" i="9"/>
  <c r="AX12" i="9"/>
  <c r="AZ12" i="9" s="1"/>
  <c r="BB12" i="9" s="1"/>
  <c r="AB12" i="9"/>
  <c r="HM11" i="9"/>
  <c r="HW11" i="9" s="1"/>
  <c r="HL11" i="9"/>
  <c r="HK11" i="9"/>
  <c r="HJ11" i="9"/>
  <c r="HG11" i="9"/>
  <c r="HB11" i="9"/>
  <c r="HA11" i="9"/>
  <c r="GZ11" i="9"/>
  <c r="GY11" i="9"/>
  <c r="GV11" i="9"/>
  <c r="GQ11" i="9"/>
  <c r="GP11" i="9"/>
  <c r="GO11" i="9"/>
  <c r="GN11" i="9"/>
  <c r="GK11" i="9"/>
  <c r="FU11" i="9"/>
  <c r="FT11" i="9"/>
  <c r="FS11" i="9"/>
  <c r="FR11" i="9"/>
  <c r="FO11" i="9"/>
  <c r="FV11" i="9" s="1"/>
  <c r="FL11" i="9"/>
  <c r="FK11" i="9"/>
  <c r="BY11" i="9"/>
  <c r="HY11" i="9" s="1"/>
  <c r="BX11" i="9"/>
  <c r="BW11" i="9"/>
  <c r="BT11" i="9"/>
  <c r="AB11" i="9"/>
  <c r="HM10" i="9"/>
  <c r="HW10" i="9" s="1"/>
  <c r="HL10" i="9"/>
  <c r="HK10" i="9"/>
  <c r="HJ10" i="9"/>
  <c r="HG10" i="9"/>
  <c r="HB10" i="9"/>
  <c r="HA10" i="9"/>
  <c r="GZ10" i="9"/>
  <c r="GY10" i="9"/>
  <c r="GV10" i="9"/>
  <c r="GQ10" i="9"/>
  <c r="GP10" i="9"/>
  <c r="GO10" i="9"/>
  <c r="GN10" i="9"/>
  <c r="GK10" i="9"/>
  <c r="FU10" i="9"/>
  <c r="FT10" i="9"/>
  <c r="FS10" i="9"/>
  <c r="FR10" i="9"/>
  <c r="FO10" i="9"/>
  <c r="FL10" i="9"/>
  <c r="FK10" i="9"/>
  <c r="BX10" i="9"/>
  <c r="BW10" i="9"/>
  <c r="BT10" i="9"/>
  <c r="BY10" i="9" s="1"/>
  <c r="BZ10" i="9" s="1"/>
  <c r="HZ10" i="9" s="1"/>
  <c r="AB10" i="9"/>
  <c r="HM9" i="9"/>
  <c r="HW9" i="9" s="1"/>
  <c r="HL9" i="9"/>
  <c r="HK9" i="9"/>
  <c r="HJ9" i="9"/>
  <c r="HG9" i="9"/>
  <c r="HB9" i="9"/>
  <c r="HA9" i="9"/>
  <c r="GZ9" i="9"/>
  <c r="GY9" i="9"/>
  <c r="GV9" i="9"/>
  <c r="GQ9" i="9"/>
  <c r="GP9" i="9"/>
  <c r="GO9" i="9"/>
  <c r="GN9" i="9"/>
  <c r="GK9" i="9"/>
  <c r="FU9" i="9"/>
  <c r="FT9" i="9"/>
  <c r="FS9" i="9"/>
  <c r="FR9" i="9"/>
  <c r="FO9" i="9"/>
  <c r="FL9" i="9"/>
  <c r="FK9" i="9"/>
  <c r="AX9" i="9"/>
  <c r="AZ9" i="9" s="1"/>
  <c r="HY9" i="9" s="1"/>
  <c r="AB9" i="9"/>
  <c r="HM8" i="9"/>
  <c r="HW8" i="9" s="1"/>
  <c r="HL8" i="9"/>
  <c r="HK8" i="9"/>
  <c r="HJ8" i="9"/>
  <c r="HG8" i="9"/>
  <c r="HB8" i="9"/>
  <c r="HA8" i="9"/>
  <c r="GZ8" i="9"/>
  <c r="GY8" i="9"/>
  <c r="GV8" i="9"/>
  <c r="GQ8" i="9"/>
  <c r="GP8" i="9"/>
  <c r="GO8" i="9"/>
  <c r="GN8" i="9"/>
  <c r="GK8" i="9"/>
  <c r="FU8" i="9"/>
  <c r="FT8" i="9"/>
  <c r="FS8" i="9"/>
  <c r="FR8" i="9"/>
  <c r="FO8" i="9"/>
  <c r="FV8" i="9" s="1"/>
  <c r="FL8" i="9"/>
  <c r="FK8" i="9"/>
  <c r="AX8" i="9"/>
  <c r="AZ8" i="9" s="1"/>
  <c r="BB8" i="9" s="1"/>
  <c r="AB8" i="9"/>
  <c r="FU7" i="9"/>
  <c r="FT7" i="9"/>
  <c r="FS7" i="9"/>
  <c r="FR7" i="9"/>
  <c r="FO7" i="9"/>
  <c r="FL7" i="9"/>
  <c r="FK7" i="9"/>
  <c r="AX7" i="9"/>
  <c r="AZ7" i="9" s="1"/>
  <c r="AB7" i="9"/>
  <c r="FU6" i="9"/>
  <c r="FT6" i="9"/>
  <c r="FS6" i="9"/>
  <c r="FR6" i="9"/>
  <c r="FO6" i="9"/>
  <c r="FL6" i="9"/>
  <c r="FK6" i="9"/>
  <c r="AX6" i="9"/>
  <c r="AZ6" i="9" s="1"/>
  <c r="BB6" i="9" s="1"/>
  <c r="IA6" i="9" s="1"/>
  <c r="AB6" i="9"/>
  <c r="FU5" i="9"/>
  <c r="FT5" i="9"/>
  <c r="FS5" i="9"/>
  <c r="FR5" i="9"/>
  <c r="FO5" i="9"/>
  <c r="FL5" i="9"/>
  <c r="FK5" i="9"/>
  <c r="AX5" i="9"/>
  <c r="AZ5" i="9" s="1"/>
  <c r="BB5" i="9" s="1"/>
  <c r="IA5" i="9" s="1"/>
  <c r="AB5" i="9"/>
  <c r="FU4" i="9"/>
  <c r="FT4" i="9"/>
  <c r="FS4" i="9"/>
  <c r="FR4" i="9"/>
  <c r="FO4" i="9"/>
  <c r="FV4" i="9" s="1"/>
  <c r="FL4" i="9"/>
  <c r="FK4" i="9"/>
  <c r="AX4" i="9"/>
  <c r="AZ4" i="9" s="1"/>
  <c r="AB4" i="9"/>
  <c r="HM3" i="9"/>
  <c r="HW3" i="9" s="1"/>
  <c r="HL3" i="9"/>
  <c r="HK3" i="9"/>
  <c r="HJ3" i="9"/>
  <c r="HG3" i="9"/>
  <c r="HB3" i="9"/>
  <c r="HA3" i="9"/>
  <c r="GZ3" i="9"/>
  <c r="GY3" i="9"/>
  <c r="HC3" i="9" s="1"/>
  <c r="GV3" i="9"/>
  <c r="GQ3" i="9"/>
  <c r="GP3" i="9"/>
  <c r="GO3" i="9"/>
  <c r="GN3" i="9"/>
  <c r="GK3" i="9"/>
  <c r="FU3" i="9"/>
  <c r="FT3" i="9"/>
  <c r="FS3" i="9"/>
  <c r="FR3" i="9"/>
  <c r="FO3" i="9"/>
  <c r="FL3" i="9"/>
  <c r="FK3" i="9"/>
  <c r="AX3" i="9"/>
  <c r="AZ3" i="9" s="1"/>
  <c r="AB3" i="9"/>
  <c r="FV10" i="9" l="1"/>
  <c r="GR11" i="9"/>
  <c r="HC12" i="9"/>
  <c r="HN13" i="9"/>
  <c r="FV21" i="9"/>
  <c r="FV24" i="9"/>
  <c r="HC80" i="9"/>
  <c r="FV126" i="9"/>
  <c r="DT869" i="9"/>
  <c r="DU869" i="9"/>
  <c r="GO81" i="9"/>
  <c r="GP81" i="9"/>
  <c r="HY900" i="9"/>
  <c r="DA900" i="9"/>
  <c r="HN11" i="9"/>
  <c r="FV19" i="9"/>
  <c r="HC28" i="9"/>
  <c r="GR29" i="9"/>
  <c r="FV44" i="9"/>
  <c r="GR98" i="9"/>
  <c r="DU101" i="9"/>
  <c r="DT101" i="9"/>
  <c r="BB511" i="9"/>
  <c r="IA511" i="9" s="1"/>
  <c r="HY511" i="9"/>
  <c r="FV3" i="9"/>
  <c r="HC13" i="9"/>
  <c r="GE18" i="9"/>
  <c r="HN19" i="9"/>
  <c r="HC30" i="9"/>
  <c r="EW31" i="9"/>
  <c r="HY31" i="9" s="1"/>
  <c r="GR31" i="9"/>
  <c r="GE37" i="9"/>
  <c r="FV39" i="9"/>
  <c r="GJ49" i="9"/>
  <c r="GK49" i="9" s="1"/>
  <c r="HN84" i="9"/>
  <c r="CZ965" i="9"/>
  <c r="HZ965" i="9" s="1"/>
  <c r="HY965" i="9"/>
  <c r="FV7" i="9"/>
  <c r="HN24" i="9"/>
  <c r="GP165" i="9"/>
  <c r="GO54" i="9"/>
  <c r="GM54" i="9"/>
  <c r="GN54" i="9" s="1"/>
  <c r="HA157" i="9"/>
  <c r="GZ157" i="9"/>
  <c r="GE264" i="9"/>
  <c r="GD264" i="9"/>
  <c r="HN372" i="9"/>
  <c r="GE39" i="9"/>
  <c r="FV9" i="9"/>
  <c r="GR14" i="9"/>
  <c r="GE19" i="9"/>
  <c r="HN20" i="9"/>
  <c r="EW32" i="9"/>
  <c r="HY32" i="9" s="1"/>
  <c r="FV32" i="9"/>
  <c r="FV35" i="9"/>
  <c r="HC37" i="9"/>
  <c r="FV46" i="9"/>
  <c r="FV47" i="9"/>
  <c r="HN58" i="9"/>
  <c r="FV67" i="9"/>
  <c r="FI70" i="9"/>
  <c r="ET253" i="9"/>
  <c r="HZ253" i="9" s="1"/>
  <c r="EU253" i="9"/>
  <c r="HX253" i="9" s="1"/>
  <c r="HV253" i="9" s="1"/>
  <c r="GR153" i="9"/>
  <c r="FV154" i="9"/>
  <c r="FV168" i="9"/>
  <c r="HN174" i="9"/>
  <c r="HN175" i="9"/>
  <c r="HN187" i="9"/>
  <c r="GR196" i="9"/>
  <c r="GR198" i="9"/>
  <c r="GR201" i="9"/>
  <c r="FV203" i="9"/>
  <c r="FV204" i="9"/>
  <c r="FV217" i="9"/>
  <c r="FV258" i="9"/>
  <c r="FV266" i="9"/>
  <c r="FV288" i="9"/>
  <c r="GG303" i="9"/>
  <c r="HN326" i="9"/>
  <c r="FV332" i="9"/>
  <c r="GR376" i="9"/>
  <c r="HC377" i="9"/>
  <c r="FV395" i="9"/>
  <c r="FV449" i="9"/>
  <c r="HN456" i="9"/>
  <c r="FV460" i="9"/>
  <c r="GG476" i="9"/>
  <c r="FV478" i="9"/>
  <c r="HN501" i="9"/>
  <c r="FV506" i="9"/>
  <c r="HN568" i="9"/>
  <c r="FV621" i="9"/>
  <c r="FV712" i="9"/>
  <c r="HN771" i="9"/>
  <c r="GQ50" i="9"/>
  <c r="FV55" i="9"/>
  <c r="GR93" i="9"/>
  <c r="FV95" i="9"/>
  <c r="GD105" i="9"/>
  <c r="HN106" i="9"/>
  <c r="GF107" i="9"/>
  <c r="FV132" i="9"/>
  <c r="HC147" i="9"/>
  <c r="GG156" i="9"/>
  <c r="GO162" i="9"/>
  <c r="HN173" i="9"/>
  <c r="FV176" i="9"/>
  <c r="FV189" i="9"/>
  <c r="HN255" i="9"/>
  <c r="FV259" i="9"/>
  <c r="FV262" i="9"/>
  <c r="BB264" i="9"/>
  <c r="IA264" i="9" s="1"/>
  <c r="FV274" i="9"/>
  <c r="FV279" i="9"/>
  <c r="FV310" i="9"/>
  <c r="HN390" i="9"/>
  <c r="FV392" i="9"/>
  <c r="HN397" i="9"/>
  <c r="HC414" i="9"/>
  <c r="GR438" i="9"/>
  <c r="GR459" i="9"/>
  <c r="HC471" i="9"/>
  <c r="FI478" i="9"/>
  <c r="FV479" i="9"/>
  <c r="HN480" i="9"/>
  <c r="HN509" i="9"/>
  <c r="FV528" i="9"/>
  <c r="GG530" i="9"/>
  <c r="BA612" i="9"/>
  <c r="HZ612" i="9" s="1"/>
  <c r="FV616" i="9"/>
  <c r="HN708" i="9"/>
  <c r="FV761" i="9"/>
  <c r="GG835" i="9"/>
  <c r="HN840" i="9"/>
  <c r="BZ935" i="9"/>
  <c r="CA935" i="9"/>
  <c r="GG1005" i="9"/>
  <c r="GM50" i="9"/>
  <c r="GN50" i="9" s="1"/>
  <c r="FV63" i="9"/>
  <c r="GF65" i="9"/>
  <c r="FI71" i="9"/>
  <c r="HA82" i="9"/>
  <c r="FV107" i="9"/>
  <c r="FV112" i="9"/>
  <c r="FV114" i="9"/>
  <c r="HV201" i="9"/>
  <c r="GR216" i="9"/>
  <c r="GG265" i="9"/>
  <c r="FV289" i="9"/>
  <c r="HN293" i="9"/>
  <c r="GR350" i="9"/>
  <c r="EW357" i="9"/>
  <c r="HY357" i="9" s="1"/>
  <c r="FV391" i="9"/>
  <c r="FV402" i="9"/>
  <c r="FV404" i="9"/>
  <c r="FV406" i="9"/>
  <c r="FV407" i="9"/>
  <c r="HN424" i="9"/>
  <c r="HB428" i="9"/>
  <c r="GD446" i="9"/>
  <c r="GR449" i="9"/>
  <c r="HN450" i="9"/>
  <c r="HC452" i="9"/>
  <c r="GR454" i="9"/>
  <c r="GF472" i="9"/>
  <c r="FI474" i="9"/>
  <c r="FV563" i="9"/>
  <c r="BB612" i="9"/>
  <c r="HX612" i="9" s="1"/>
  <c r="HN632" i="9"/>
  <c r="HN648" i="9"/>
  <c r="HN1027" i="9"/>
  <c r="FV1028" i="9"/>
  <c r="HY1029" i="9"/>
  <c r="DA1029" i="9"/>
  <c r="HX1029" i="9" s="1"/>
  <c r="HV1029" i="9" s="1"/>
  <c r="BY933" i="9"/>
  <c r="CA933" i="9" s="1"/>
  <c r="EY933" i="9" s="1"/>
  <c r="EW933" i="9"/>
  <c r="HY933" i="9" s="1"/>
  <c r="FV998" i="9"/>
  <c r="HC50" i="9"/>
  <c r="HN60" i="9"/>
  <c r="GG64" i="9"/>
  <c r="FV65" i="9"/>
  <c r="FV76" i="9"/>
  <c r="FV79" i="9"/>
  <c r="FV93" i="9"/>
  <c r="FV103" i="9"/>
  <c r="GG127" i="9"/>
  <c r="GG138" i="9"/>
  <c r="FV147" i="9"/>
  <c r="GR155" i="9"/>
  <c r="FV162" i="9"/>
  <c r="GZ162" i="9"/>
  <c r="FV163" i="9"/>
  <c r="GZ164" i="9"/>
  <c r="HN170" i="9"/>
  <c r="FV173" i="9"/>
  <c r="FV181" i="9"/>
  <c r="HN193" i="9"/>
  <c r="HN196" i="9"/>
  <c r="FV224" i="9"/>
  <c r="FV228" i="9"/>
  <c r="FV232" i="9"/>
  <c r="FV239" i="9"/>
  <c r="FV321" i="9"/>
  <c r="FV336" i="9"/>
  <c r="FV340" i="9"/>
  <c r="FV359" i="9"/>
  <c r="HN366" i="9"/>
  <c r="GR382" i="9"/>
  <c r="HN382" i="9"/>
  <c r="GM383" i="9"/>
  <c r="GN383" i="9" s="1"/>
  <c r="GR383" i="9" s="1"/>
  <c r="GQ384" i="9"/>
  <c r="BA393" i="9"/>
  <c r="HZ393" i="9" s="1"/>
  <c r="FV425" i="9"/>
  <c r="GR430" i="9"/>
  <c r="FV447" i="9"/>
  <c r="GR448" i="9"/>
  <c r="GB472" i="9"/>
  <c r="GC472" i="9" s="1"/>
  <c r="HC472" i="9"/>
  <c r="FI476" i="9"/>
  <c r="GR480" i="9"/>
  <c r="HN484" i="9"/>
  <c r="HN507" i="9"/>
  <c r="HN557" i="9"/>
  <c r="HN579" i="9"/>
  <c r="HN593" i="9"/>
  <c r="FV595" i="9"/>
  <c r="FV603" i="9"/>
  <c r="GG879" i="9"/>
  <c r="GG881" i="9"/>
  <c r="GE277" i="9"/>
  <c r="GF284" i="9"/>
  <c r="FV319" i="9"/>
  <c r="GQ382" i="9"/>
  <c r="CA928" i="9"/>
  <c r="BZ928" i="9"/>
  <c r="HZ928" i="9" s="1"/>
  <c r="GF50" i="9"/>
  <c r="HN59" i="9"/>
  <c r="FV61" i="9"/>
  <c r="GF74" i="9"/>
  <c r="GR95" i="9"/>
  <c r="GD104" i="9"/>
  <c r="FV117" i="9"/>
  <c r="FV133" i="9"/>
  <c r="FV134" i="9"/>
  <c r="FV153" i="9"/>
  <c r="GR156" i="9"/>
  <c r="FV157" i="9"/>
  <c r="HN177" i="9"/>
  <c r="FV200" i="9"/>
  <c r="FV209" i="9"/>
  <c r="HC218" i="9"/>
  <c r="FV222" i="9"/>
  <c r="FV225" i="9"/>
  <c r="FV235" i="9"/>
  <c r="HL237" i="9"/>
  <c r="FV254" i="9"/>
  <c r="FV292" i="9"/>
  <c r="HN331" i="9"/>
  <c r="FV339" i="9"/>
  <c r="GR346" i="9"/>
  <c r="FV349" i="9"/>
  <c r="HN363" i="9"/>
  <c r="GR373" i="9"/>
  <c r="HN392" i="9"/>
  <c r="FV396" i="9"/>
  <c r="HM404" i="9"/>
  <c r="HW404" i="9" s="1"/>
  <c r="GR428" i="9"/>
  <c r="GX432" i="9"/>
  <c r="GY432" i="9" s="1"/>
  <c r="HN433" i="9"/>
  <c r="HB435" i="9"/>
  <c r="EW438" i="9"/>
  <c r="HY438" i="9" s="1"/>
  <c r="GZ441" i="9"/>
  <c r="FV446" i="9"/>
  <c r="FV450" i="9"/>
  <c r="HN455" i="9"/>
  <c r="GG456" i="9"/>
  <c r="HN468" i="9"/>
  <c r="GG474" i="9"/>
  <c r="HN512" i="9"/>
  <c r="HN781" i="9"/>
  <c r="GG870" i="9"/>
  <c r="FV940" i="9"/>
  <c r="HC944" i="9"/>
  <c r="GG945" i="9"/>
  <c r="FV531" i="9"/>
  <c r="DU536" i="9"/>
  <c r="HN561" i="9"/>
  <c r="FV569" i="9"/>
  <c r="HN601" i="9"/>
  <c r="HN637" i="9"/>
  <c r="FH679" i="9"/>
  <c r="GG696" i="9"/>
  <c r="FI698" i="9"/>
  <c r="GG713" i="9"/>
  <c r="FV716" i="9"/>
  <c r="HN730" i="9"/>
  <c r="GG733" i="9"/>
  <c r="FV770" i="9"/>
  <c r="HN777" i="9"/>
  <c r="HM793" i="9"/>
  <c r="HW793" i="9" s="1"/>
  <c r="HN845" i="9"/>
  <c r="EW855" i="9"/>
  <c r="HY855" i="9" s="1"/>
  <c r="GG864" i="9"/>
  <c r="FV871" i="9"/>
  <c r="FV877" i="9"/>
  <c r="FV878" i="9"/>
  <c r="FV909" i="9"/>
  <c r="HN929" i="9"/>
  <c r="HC947" i="9"/>
  <c r="FI956" i="9"/>
  <c r="GR966" i="9"/>
  <c r="HN967" i="9"/>
  <c r="HC970" i="9"/>
  <c r="GG980" i="9"/>
  <c r="FV996" i="9"/>
  <c r="FV997" i="9"/>
  <c r="HN1010" i="9"/>
  <c r="FV1019" i="9"/>
  <c r="GG1022" i="9"/>
  <c r="HN1023" i="9"/>
  <c r="FV546" i="9"/>
  <c r="HN566" i="9"/>
  <c r="FV588" i="9"/>
  <c r="FV593" i="9"/>
  <c r="HV628" i="9"/>
  <c r="FV776" i="9"/>
  <c r="GG851" i="9"/>
  <c r="CA983" i="9"/>
  <c r="IA983" i="9" s="1"/>
  <c r="HN531" i="9"/>
  <c r="HN536" i="9"/>
  <c r="HN547" i="9"/>
  <c r="HN572" i="9"/>
  <c r="FV584" i="9"/>
  <c r="FG675" i="9"/>
  <c r="HN678" i="9"/>
  <c r="FI699" i="9"/>
  <c r="FI710" i="9"/>
  <c r="HM719" i="9"/>
  <c r="HW719" i="9" s="1"/>
  <c r="FV778" i="9"/>
  <c r="FV794" i="9"/>
  <c r="FV817" i="9"/>
  <c r="HN829" i="9"/>
  <c r="HN832" i="9"/>
  <c r="GG833" i="9"/>
  <c r="HX847" i="9"/>
  <c r="HV847" i="9" s="1"/>
  <c r="GG849" i="9"/>
  <c r="GG853" i="9"/>
  <c r="FV879" i="9"/>
  <c r="FV880" i="9"/>
  <c r="CA918" i="9"/>
  <c r="GG923" i="9"/>
  <c r="HN941" i="9"/>
  <c r="FI947" i="9"/>
  <c r="BA952" i="9"/>
  <c r="HZ952" i="9" s="1"/>
  <c r="HY952" i="9"/>
  <c r="HN966" i="9"/>
  <c r="HN1002" i="9"/>
  <c r="GG1003" i="9"/>
  <c r="BA1009" i="9"/>
  <c r="GG1010" i="9"/>
  <c r="HN1013" i="9"/>
  <c r="FV1015" i="9"/>
  <c r="DA1026" i="9"/>
  <c r="HX1026" i="9" s="1"/>
  <c r="HN563" i="9"/>
  <c r="HN622" i="9"/>
  <c r="FV631" i="9"/>
  <c r="FV635" i="9"/>
  <c r="FV638" i="9"/>
  <c r="FI696" i="9"/>
  <c r="HN728" i="9"/>
  <c r="FV733" i="9"/>
  <c r="GZ740" i="9"/>
  <c r="GG761" i="9"/>
  <c r="FV766" i="9"/>
  <c r="FV783" i="9"/>
  <c r="FK795" i="9"/>
  <c r="FV818" i="9"/>
  <c r="HN818" i="9"/>
  <c r="FV869" i="9"/>
  <c r="HN903" i="9"/>
  <c r="HN940" i="9"/>
  <c r="FV943" i="9"/>
  <c r="FI945" i="9"/>
  <c r="GG946" i="9"/>
  <c r="GR947" i="9"/>
  <c r="FV951" i="9"/>
  <c r="EU957" i="9"/>
  <c r="HN960" i="9"/>
  <c r="DA974" i="9"/>
  <c r="IA974" i="9" s="1"/>
  <c r="FI978" i="9"/>
  <c r="DA979" i="9"/>
  <c r="HY983" i="9"/>
  <c r="CZ1018" i="9"/>
  <c r="HZ1018" i="9" s="1"/>
  <c r="CZ1020" i="9"/>
  <c r="HZ1020" i="9" s="1"/>
  <c r="HN1025" i="9"/>
  <c r="HN1029" i="9"/>
  <c r="FV529" i="9"/>
  <c r="HN530" i="9"/>
  <c r="HN548" i="9"/>
  <c r="HN570" i="9"/>
  <c r="FV651" i="9"/>
  <c r="GG694" i="9"/>
  <c r="GD720" i="9"/>
  <c r="FV743" i="9"/>
  <c r="FV771" i="9"/>
  <c r="GG789" i="9"/>
  <c r="HN827" i="9"/>
  <c r="FV836" i="9"/>
  <c r="HC891" i="9"/>
  <c r="HN1011" i="9"/>
  <c r="GE719" i="9"/>
  <c r="FV732" i="9"/>
  <c r="FV762" i="9"/>
  <c r="HN773" i="9"/>
  <c r="HN833" i="9"/>
  <c r="FV855" i="9"/>
  <c r="GG871" i="9"/>
  <c r="GG876" i="9"/>
  <c r="GG947" i="9"/>
  <c r="HN959" i="9"/>
  <c r="FV964" i="9"/>
  <c r="HC966" i="9"/>
  <c r="HN970" i="9"/>
  <c r="FV976" i="9"/>
  <c r="CZ980" i="9"/>
  <c r="HZ980" i="9" s="1"/>
  <c r="DA982" i="9"/>
  <c r="HN995" i="9"/>
  <c r="HN997" i="9"/>
  <c r="FV1003" i="9"/>
  <c r="DT1006" i="9"/>
  <c r="HZ1006" i="9" s="1"/>
  <c r="HN1006" i="9"/>
  <c r="FV1010" i="9"/>
  <c r="GG1013" i="9"/>
  <c r="GG1017" i="9"/>
  <c r="DA1023" i="9"/>
  <c r="HX1023" i="9" s="1"/>
  <c r="HV1023" i="9" s="1"/>
  <c r="FI1026" i="9"/>
  <c r="CZ1033" i="9"/>
  <c r="HZ1033" i="9" s="1"/>
  <c r="BB87" i="9"/>
  <c r="IA87" i="9" s="1"/>
  <c r="BA87" i="9"/>
  <c r="HZ87" i="9" s="1"/>
  <c r="HX180" i="9"/>
  <c r="HV180" i="9" s="1"/>
  <c r="IA180" i="9"/>
  <c r="BB15" i="9"/>
  <c r="IA15" i="9" s="1"/>
  <c r="HY15" i="9"/>
  <c r="DA100" i="9"/>
  <c r="IA100" i="9" s="1"/>
  <c r="CZ100" i="9"/>
  <c r="HZ100" i="9" s="1"/>
  <c r="CZ34" i="9"/>
  <c r="DA34" i="9"/>
  <c r="HY114" i="9"/>
  <c r="CZ114" i="9"/>
  <c r="HZ114" i="9" s="1"/>
  <c r="BB250" i="9"/>
  <c r="BA250" i="9"/>
  <c r="HZ250" i="9" s="1"/>
  <c r="FV12" i="9"/>
  <c r="FV23" i="9"/>
  <c r="FV84" i="9"/>
  <c r="FV99" i="9"/>
  <c r="FV156" i="9"/>
  <c r="BA401" i="9"/>
  <c r="HZ401" i="9" s="1"/>
  <c r="HY401" i="9"/>
  <c r="BB401" i="9"/>
  <c r="BB503" i="9"/>
  <c r="HX503" i="9" s="1"/>
  <c r="HV503" i="9" s="1"/>
  <c r="HY503" i="9"/>
  <c r="GR9" i="9"/>
  <c r="FV25" i="9"/>
  <c r="BA36" i="9"/>
  <c r="HZ36" i="9" s="1"/>
  <c r="FV37" i="9"/>
  <c r="GD37" i="9"/>
  <c r="HC39" i="9"/>
  <c r="GG40" i="9"/>
  <c r="HN42" i="9"/>
  <c r="GE51" i="9"/>
  <c r="FV52" i="9"/>
  <c r="HC55" i="9"/>
  <c r="GG56" i="9"/>
  <c r="FV57" i="9"/>
  <c r="HN73" i="9"/>
  <c r="GE76" i="9"/>
  <c r="GF77" i="9"/>
  <c r="GQ80" i="9"/>
  <c r="FV83" i="9"/>
  <c r="GU83" i="9"/>
  <c r="GV83" i="9" s="1"/>
  <c r="DA107" i="9"/>
  <c r="IA107" i="9" s="1"/>
  <c r="DA112" i="9"/>
  <c r="IA112" i="9" s="1"/>
  <c r="FV128" i="9"/>
  <c r="FV129" i="9"/>
  <c r="FV130" i="9"/>
  <c r="DA134" i="9"/>
  <c r="IA134" i="9" s="1"/>
  <c r="FV141" i="9"/>
  <c r="HA144" i="9"/>
  <c r="FV145" i="9"/>
  <c r="GG151" i="9"/>
  <c r="GR152" i="9"/>
  <c r="GG154" i="9"/>
  <c r="CZ168" i="9"/>
  <c r="HZ168" i="9" s="1"/>
  <c r="FV178" i="9"/>
  <c r="GR199" i="9"/>
  <c r="GR200" i="9"/>
  <c r="FV206" i="9"/>
  <c r="HN214" i="9"/>
  <c r="GG215" i="9"/>
  <c r="FV243" i="9"/>
  <c r="HN252" i="9"/>
  <c r="HN253" i="9"/>
  <c r="ET347" i="9"/>
  <c r="EU347" i="9"/>
  <c r="ET355" i="9"/>
  <c r="EU355" i="9"/>
  <c r="HN497" i="9"/>
  <c r="HY506" i="9"/>
  <c r="BB506" i="9"/>
  <c r="GF18" i="9"/>
  <c r="GR30" i="9"/>
  <c r="HY36" i="9"/>
  <c r="GE49" i="9"/>
  <c r="GG51" i="9"/>
  <c r="GQ53" i="9"/>
  <c r="GO56" i="9"/>
  <c r="FV62" i="9"/>
  <c r="FV69" i="9"/>
  <c r="HA84" i="9"/>
  <c r="FV124" i="9"/>
  <c r="HY128" i="9"/>
  <c r="GX144" i="9"/>
  <c r="GY144" i="9" s="1"/>
  <c r="HC144" i="9" s="1"/>
  <c r="HB159" i="9"/>
  <c r="FV177" i="9"/>
  <c r="HN202" i="9"/>
  <c r="HN213" i="9"/>
  <c r="BA300" i="9"/>
  <c r="HZ300" i="9" s="1"/>
  <c r="BB300" i="9"/>
  <c r="HX300" i="9" s="1"/>
  <c r="HV300" i="9" s="1"/>
  <c r="GR3" i="9"/>
  <c r="HN8" i="9"/>
  <c r="FV13" i="9"/>
  <c r="HC27" i="9"/>
  <c r="GE35" i="9"/>
  <c r="GG49" i="9"/>
  <c r="GO51" i="9"/>
  <c r="GF67" i="9"/>
  <c r="HY68" i="9"/>
  <c r="HN71" i="9"/>
  <c r="HN76" i="9"/>
  <c r="GZ84" i="9"/>
  <c r="DA95" i="9"/>
  <c r="IA95" i="9" s="1"/>
  <c r="GR96" i="9"/>
  <c r="GR101" i="9"/>
  <c r="FV115" i="9"/>
  <c r="FV142" i="9"/>
  <c r="HB144" i="9"/>
  <c r="HC164" i="9"/>
  <c r="HN210" i="9"/>
  <c r="FV214" i="9"/>
  <c r="GR221" i="9"/>
  <c r="EW238" i="9"/>
  <c r="HY238" i="9" s="1"/>
  <c r="BZ441" i="9"/>
  <c r="CA441" i="9"/>
  <c r="HN496" i="9"/>
  <c r="GG35" i="9"/>
  <c r="HC40" i="9"/>
  <c r="HN45" i="9"/>
  <c r="FV50" i="9"/>
  <c r="GJ51" i="9"/>
  <c r="GK51" i="9" s="1"/>
  <c r="HC53" i="9"/>
  <c r="GE54" i="9"/>
  <c r="FV66" i="9"/>
  <c r="GB74" i="9"/>
  <c r="GC74" i="9" s="1"/>
  <c r="GG74" i="9" s="1"/>
  <c r="HY489" i="9"/>
  <c r="BA489" i="9"/>
  <c r="HZ489" i="9" s="1"/>
  <c r="GD17" i="9"/>
  <c r="GG19" i="9"/>
  <c r="HN23" i="9"/>
  <c r="GF37" i="9"/>
  <c r="GG125" i="9"/>
  <c r="CZ128" i="9"/>
  <c r="HZ128" i="9" s="1"/>
  <c r="GG137" i="9"/>
  <c r="GR163" i="9"/>
  <c r="EW165" i="9"/>
  <c r="HY165" i="9" s="1"/>
  <c r="FV165" i="9"/>
  <c r="HN189" i="9"/>
  <c r="HN190" i="9"/>
  <c r="HN191" i="9"/>
  <c r="FV194" i="9"/>
  <c r="DU196" i="9"/>
  <c r="IA196" i="9" s="1"/>
  <c r="GR197" i="9"/>
  <c r="FV198" i="9"/>
  <c r="FV211" i="9"/>
  <c r="HC216" i="9"/>
  <c r="GR219" i="9"/>
  <c r="FV227" i="9"/>
  <c r="BA234" i="9"/>
  <c r="HZ234" i="9" s="1"/>
  <c r="CZ473" i="9"/>
  <c r="DA473" i="9"/>
  <c r="HC9" i="9"/>
  <c r="HN10" i="9"/>
  <c r="HN12" i="9"/>
  <c r="GR16" i="9"/>
  <c r="HN25" i="9"/>
  <c r="FV41" i="9"/>
  <c r="FV48" i="9"/>
  <c r="FV54" i="9"/>
  <c r="HN57" i="9"/>
  <c r="FV59" i="9"/>
  <c r="BA62" i="9"/>
  <c r="HZ62" i="9" s="1"/>
  <c r="HY62" i="9"/>
  <c r="FI73" i="9"/>
  <c r="FV74" i="9"/>
  <c r="BA85" i="9"/>
  <c r="HZ85" i="9" s="1"/>
  <c r="FV101" i="9"/>
  <c r="GG136" i="9"/>
  <c r="FV138" i="9"/>
  <c r="HB157" i="9"/>
  <c r="GO164" i="9"/>
  <c r="HN178" i="9"/>
  <c r="HN185" i="9"/>
  <c r="HN199" i="9"/>
  <c r="HN238" i="9"/>
  <c r="FV241" i="9"/>
  <c r="BA367" i="9"/>
  <c r="HZ367" i="9" s="1"/>
  <c r="HY367" i="9"/>
  <c r="BB367" i="9"/>
  <c r="IA367" i="9" s="1"/>
  <c r="FV522" i="9"/>
  <c r="HN257" i="9"/>
  <c r="HN277" i="9"/>
  <c r="GG291" i="9"/>
  <c r="FV312" i="9"/>
  <c r="FV378" i="9"/>
  <c r="HN416" i="9"/>
  <c r="HY428" i="9"/>
  <c r="FV430" i="9"/>
  <c r="GD472" i="9"/>
  <c r="EW483" i="9"/>
  <c r="HY483" i="9" s="1"/>
  <c r="FV503" i="9"/>
  <c r="FV504" i="9"/>
  <c r="HN513" i="9"/>
  <c r="HN514" i="9"/>
  <c r="GR274" i="9"/>
  <c r="HN432" i="9"/>
  <c r="GR434" i="9"/>
  <c r="FV436" i="9"/>
  <c r="GE670" i="9"/>
  <c r="FY670" i="9"/>
  <c r="FZ670" i="9" s="1"/>
  <c r="DT690" i="9"/>
  <c r="HZ690" i="9" s="1"/>
  <c r="HY690" i="9"/>
  <c r="DT710" i="9"/>
  <c r="HZ710" i="9" s="1"/>
  <c r="DU710" i="9"/>
  <c r="HX710" i="9" s="1"/>
  <c r="CZ733" i="9"/>
  <c r="HZ733" i="9" s="1"/>
  <c r="DA733" i="9"/>
  <c r="IA733" i="9" s="1"/>
  <c r="HY927" i="9"/>
  <c r="CA927" i="9"/>
  <c r="HX927" i="9" s="1"/>
  <c r="HV927" i="9" s="1"/>
  <c r="BZ927" i="9"/>
  <c r="HZ927" i="9" s="1"/>
  <c r="FV261" i="9"/>
  <c r="BA262" i="9"/>
  <c r="GR275" i="9"/>
  <c r="CA276" i="9"/>
  <c r="IA276" i="9" s="1"/>
  <c r="DT280" i="9"/>
  <c r="HZ280" i="9" s="1"/>
  <c r="HN284" i="9"/>
  <c r="HN286" i="9"/>
  <c r="HN288" i="9"/>
  <c r="FV323" i="9"/>
  <c r="FV335" i="9"/>
  <c r="FV383" i="9"/>
  <c r="HC384" i="9"/>
  <c r="HN398" i="9"/>
  <c r="HN399" i="9"/>
  <c r="HF401" i="9"/>
  <c r="HG401" i="9" s="1"/>
  <c r="HN425" i="9"/>
  <c r="FV435" i="9"/>
  <c r="GR437" i="9"/>
  <c r="GX441" i="9"/>
  <c r="GY441" i="9" s="1"/>
  <c r="HC441" i="9" s="1"/>
  <c r="FV444" i="9"/>
  <c r="HC448" i="9"/>
  <c r="GR450" i="9"/>
  <c r="FV454" i="9"/>
  <c r="GR458" i="9"/>
  <c r="HN459" i="9"/>
  <c r="GG461" i="9"/>
  <c r="GR467" i="9"/>
  <c r="FV472" i="9"/>
  <c r="GG475" i="9"/>
  <c r="GG479" i="9"/>
  <c r="GG482" i="9"/>
  <c r="FI483" i="9"/>
  <c r="BY484" i="9"/>
  <c r="FV592" i="9"/>
  <c r="HN597" i="9"/>
  <c r="GG692" i="9"/>
  <c r="HN783" i="9"/>
  <c r="HN256" i="9"/>
  <c r="GG267" i="9"/>
  <c r="DT284" i="9"/>
  <c r="HC299" i="9"/>
  <c r="GR300" i="9"/>
  <c r="HC320" i="9"/>
  <c r="FV334" i="9"/>
  <c r="DS350" i="9"/>
  <c r="DT350" i="9" s="1"/>
  <c r="GR354" i="9"/>
  <c r="FV363" i="9"/>
  <c r="FV376" i="9"/>
  <c r="GR377" i="9"/>
  <c r="GM379" i="9"/>
  <c r="GN379" i="9" s="1"/>
  <c r="GR379" i="9" s="1"/>
  <c r="FV382" i="9"/>
  <c r="HC382" i="9"/>
  <c r="HC383" i="9"/>
  <c r="FV390" i="9"/>
  <c r="FV399" i="9"/>
  <c r="FV400" i="9"/>
  <c r="FV401" i="9"/>
  <c r="HM401" i="9"/>
  <c r="HW401" i="9" s="1"/>
  <c r="HN422" i="9"/>
  <c r="GZ429" i="9"/>
  <c r="GR441" i="9"/>
  <c r="FV448" i="9"/>
  <c r="FV453" i="9"/>
  <c r="HN462" i="9"/>
  <c r="FV463" i="9"/>
  <c r="GF471" i="9"/>
  <c r="GG477" i="9"/>
  <c r="GG481" i="9"/>
  <c r="GR483" i="9"/>
  <c r="HY495" i="9"/>
  <c r="BB499" i="9"/>
  <c r="IA499" i="9" s="1"/>
  <c r="FV566" i="9"/>
  <c r="DT678" i="9"/>
  <c r="HZ678" i="9" s="1"/>
  <c r="HY678" i="9"/>
  <c r="DU678" i="9"/>
  <c r="GF681" i="9"/>
  <c r="GB681" i="9"/>
  <c r="GC681" i="9" s="1"/>
  <c r="GD267" i="9"/>
  <c r="DT279" i="9"/>
  <c r="HZ279" i="9" s="1"/>
  <c r="FV287" i="9"/>
  <c r="FV291" i="9"/>
  <c r="FV293" i="9"/>
  <c r="HN329" i="9"/>
  <c r="GR348" i="9"/>
  <c r="HN396" i="9"/>
  <c r="HK401" i="9"/>
  <c r="FV403" i="9"/>
  <c r="HN428" i="9"/>
  <c r="GG465" i="9"/>
  <c r="HN502" i="9"/>
  <c r="FV511" i="9"/>
  <c r="FV512" i="9"/>
  <c r="HN517" i="9"/>
  <c r="HN519" i="9"/>
  <c r="GG706" i="9"/>
  <c r="HY710" i="9"/>
  <c r="HY741" i="9"/>
  <c r="BZ741" i="9"/>
  <c r="HZ741" i="9" s="1"/>
  <c r="HN751" i="9"/>
  <c r="GE267" i="9"/>
  <c r="EW347" i="9"/>
  <c r="HY347" i="9" s="1"/>
  <c r="HN420" i="9"/>
  <c r="EX441" i="9"/>
  <c r="HZ441" i="9" s="1"/>
  <c r="DT670" i="9"/>
  <c r="HZ670" i="9" s="1"/>
  <c r="HY670" i="9"/>
  <c r="DT672" i="9"/>
  <c r="HZ672" i="9" s="1"/>
  <c r="DU672" i="9"/>
  <c r="FV276" i="9"/>
  <c r="FV280" i="9"/>
  <c r="CA281" i="9"/>
  <c r="IA281" i="9" s="1"/>
  <c r="GR299" i="9"/>
  <c r="FV320" i="9"/>
  <c r="FV331" i="9"/>
  <c r="FV343" i="9"/>
  <c r="GR347" i="9"/>
  <c r="FV360" i="9"/>
  <c r="FV373" i="9"/>
  <c r="FV377" i="9"/>
  <c r="GR386" i="9"/>
  <c r="FV388" i="9"/>
  <c r="HN391" i="9"/>
  <c r="HN394" i="9"/>
  <c r="HN395" i="9"/>
  <c r="FV422" i="9"/>
  <c r="BB428" i="9"/>
  <c r="HX428" i="9" s="1"/>
  <c r="HV428" i="9" s="1"/>
  <c r="GU428" i="9"/>
  <c r="GV428" i="9" s="1"/>
  <c r="GR431" i="9"/>
  <c r="GX433" i="9"/>
  <c r="GY433" i="9" s="1"/>
  <c r="FV442" i="9"/>
  <c r="FV451" i="9"/>
  <c r="HN454" i="9"/>
  <c r="FV457" i="9"/>
  <c r="GR460" i="9"/>
  <c r="FI475" i="9"/>
  <c r="CZ476" i="9"/>
  <c r="HZ476" i="9" s="1"/>
  <c r="HN476" i="9"/>
  <c r="FV480" i="9"/>
  <c r="FV481" i="9"/>
  <c r="FI482" i="9"/>
  <c r="CA483" i="9"/>
  <c r="GG483" i="9"/>
  <c r="FV484" i="9"/>
  <c r="FV487" i="9"/>
  <c r="HN489" i="9"/>
  <c r="HN494" i="9"/>
  <c r="HN596" i="9"/>
  <c r="DT709" i="9"/>
  <c r="HZ709" i="9" s="1"/>
  <c r="DU709" i="9"/>
  <c r="FV255" i="9"/>
  <c r="GR272" i="9"/>
  <c r="HN280" i="9"/>
  <c r="FV286" i="9"/>
  <c r="HN295" i="9"/>
  <c r="FV330" i="9"/>
  <c r="FV333" i="9"/>
  <c r="FV342" i="9"/>
  <c r="FV352" i="9"/>
  <c r="FV355" i="9"/>
  <c r="FV356" i="9"/>
  <c r="FV357" i="9"/>
  <c r="FV358" i="9"/>
  <c r="HC373" i="9"/>
  <c r="FV375" i="9"/>
  <c r="GO383" i="9"/>
  <c r="HN385" i="9"/>
  <c r="HN393" i="9"/>
  <c r="FV408" i="9"/>
  <c r="FV411" i="9"/>
  <c r="FV415" i="9"/>
  <c r="GZ433" i="9"/>
  <c r="HA434" i="9"/>
  <c r="HC436" i="9"/>
  <c r="HB441" i="9"/>
  <c r="FV445" i="9"/>
  <c r="HN448" i="9"/>
  <c r="GR452" i="9"/>
  <c r="HN458" i="9"/>
  <c r="HN461" i="9"/>
  <c r="GG467" i="9"/>
  <c r="HN467" i="9"/>
  <c r="FY472" i="9"/>
  <c r="FZ472" i="9" s="1"/>
  <c r="GG472" i="9" s="1"/>
  <c r="HN472" i="9"/>
  <c r="GR479" i="9"/>
  <c r="FI481" i="9"/>
  <c r="GR482" i="9"/>
  <c r="FI484" i="9"/>
  <c r="FV486" i="9"/>
  <c r="HN490" i="9"/>
  <c r="GR504" i="9"/>
  <c r="FV505" i="9"/>
  <c r="FV517" i="9"/>
  <c r="GG529" i="9"/>
  <c r="HN539" i="9"/>
  <c r="HN542" i="9"/>
  <c r="FV620" i="9"/>
  <c r="HN621" i="9"/>
  <c r="FV667" i="9"/>
  <c r="HN667" i="9"/>
  <c r="GG699" i="9"/>
  <c r="FI704" i="9"/>
  <c r="GG719" i="9"/>
  <c r="GE720" i="9"/>
  <c r="FV730" i="9"/>
  <c r="GG734" i="9"/>
  <c r="FV740" i="9"/>
  <c r="HA743" i="9"/>
  <c r="EW753" i="9"/>
  <c r="HY753" i="9" s="1"/>
  <c r="FV765" i="9"/>
  <c r="HN782" i="9"/>
  <c r="FV784" i="9"/>
  <c r="HN785" i="9"/>
  <c r="GG794" i="9"/>
  <c r="GG797" i="9"/>
  <c r="FT798" i="9"/>
  <c r="HY956" i="9"/>
  <c r="ET956" i="9"/>
  <c r="HZ956" i="9" s="1"/>
  <c r="CA962" i="9"/>
  <c r="BZ962" i="9"/>
  <c r="GG526" i="9"/>
  <c r="HN543" i="9"/>
  <c r="HN546" i="9"/>
  <c r="FV547" i="9"/>
  <c r="HN559" i="9"/>
  <c r="HN578" i="9"/>
  <c r="HN585" i="9"/>
  <c r="HN611" i="9"/>
  <c r="HN614" i="9"/>
  <c r="FV625" i="9"/>
  <c r="FI702" i="9"/>
  <c r="FI709" i="9"/>
  <c r="FV720" i="9"/>
  <c r="GG722" i="9"/>
  <c r="FV725" i="9"/>
  <c r="FV736" i="9"/>
  <c r="FV737" i="9"/>
  <c r="HC751" i="9"/>
  <c r="FV759" i="9"/>
  <c r="FV760" i="9"/>
  <c r="FV769" i="9"/>
  <c r="HN770" i="9"/>
  <c r="FV772" i="9"/>
  <c r="HN784" i="9"/>
  <c r="FV787" i="9"/>
  <c r="GG800" i="9"/>
  <c r="HY802" i="9"/>
  <c r="FV814" i="9"/>
  <c r="BB947" i="9"/>
  <c r="HX947" i="9" s="1"/>
  <c r="HV947" i="9" s="1"/>
  <c r="HY947" i="9"/>
  <c r="BA947" i="9"/>
  <c r="HZ947" i="9" s="1"/>
  <c r="BZ990" i="9"/>
  <c r="HZ990" i="9" s="1"/>
  <c r="CA990" i="9"/>
  <c r="GG554" i="9"/>
  <c r="HN560" i="9"/>
  <c r="FV582" i="9"/>
  <c r="FV583" i="9"/>
  <c r="HN610" i="9"/>
  <c r="HN616" i="9"/>
  <c r="HN641" i="9"/>
  <c r="HN647" i="9"/>
  <c r="HN657" i="9"/>
  <c r="FF669" i="9"/>
  <c r="DU674" i="9"/>
  <c r="GE676" i="9"/>
  <c r="HN696" i="9"/>
  <c r="HN707" i="9"/>
  <c r="FI708" i="9"/>
  <c r="GG712" i="9"/>
  <c r="GF720" i="9"/>
  <c r="FV741" i="9"/>
  <c r="FK796" i="9"/>
  <c r="FL797" i="9"/>
  <c r="FK798" i="9"/>
  <c r="GG868" i="9"/>
  <c r="FV578" i="9"/>
  <c r="FV581" i="9"/>
  <c r="FV605" i="9"/>
  <c r="HN626" i="9"/>
  <c r="HN688" i="9"/>
  <c r="FI692" i="9"/>
  <c r="HN698" i="9"/>
  <c r="HN529" i="9"/>
  <c r="HN533" i="9"/>
  <c r="FV548" i="9"/>
  <c r="HM553" i="9"/>
  <c r="HW553" i="9" s="1"/>
  <c r="FV559" i="9"/>
  <c r="FV560" i="9"/>
  <c r="FV577" i="9"/>
  <c r="FV602" i="9"/>
  <c r="HN638" i="9"/>
  <c r="HN640" i="9"/>
  <c r="FV642" i="9"/>
  <c r="FV648" i="9"/>
  <c r="HN653" i="9"/>
  <c r="HN654" i="9"/>
  <c r="HN656" i="9"/>
  <c r="FV658" i="9"/>
  <c r="FV690" i="9"/>
  <c r="HN702" i="9"/>
  <c r="HN710" i="9"/>
  <c r="HN713" i="9"/>
  <c r="GG716" i="9"/>
  <c r="FI723" i="9"/>
  <c r="FV727" i="9"/>
  <c r="GG730" i="9"/>
  <c r="HN734" i="9"/>
  <c r="HV748" i="9"/>
  <c r="FI754" i="9"/>
  <c r="DA764" i="9"/>
  <c r="IA764" i="9" s="1"/>
  <c r="GG767" i="9"/>
  <c r="HN769" i="9"/>
  <c r="HN775" i="9"/>
  <c r="GG788" i="9"/>
  <c r="GG791" i="9"/>
  <c r="BA795" i="9"/>
  <c r="HZ795" i="9" s="1"/>
  <c r="FN797" i="9"/>
  <c r="FO797" i="9" s="1"/>
  <c r="FV800" i="9"/>
  <c r="FV849" i="9"/>
  <c r="FI548" i="9"/>
  <c r="HN564" i="9"/>
  <c r="FV585" i="9"/>
  <c r="HN607" i="9"/>
  <c r="FV612" i="9"/>
  <c r="HV612" i="9"/>
  <c r="GF667" i="9"/>
  <c r="HN676" i="9"/>
  <c r="FF677" i="9"/>
  <c r="FG681" i="9"/>
  <c r="HK720" i="9"/>
  <c r="FV751" i="9"/>
  <c r="GG760" i="9"/>
  <c r="FV763" i="9"/>
  <c r="DU772" i="9"/>
  <c r="HN774" i="9"/>
  <c r="HN779" i="9"/>
  <c r="FV785" i="9"/>
  <c r="HN786" i="9"/>
  <c r="HM794" i="9"/>
  <c r="HW794" i="9" s="1"/>
  <c r="GG816" i="9"/>
  <c r="FV967" i="9"/>
  <c r="HY1010" i="9"/>
  <c r="DA1010" i="9"/>
  <c r="HX1010" i="9" s="1"/>
  <c r="HV1010" i="9" s="1"/>
  <c r="CZ1010" i="9"/>
  <c r="HZ1010" i="9" s="1"/>
  <c r="FV552" i="9"/>
  <c r="FV556" i="9"/>
  <c r="FV558" i="9"/>
  <c r="HN574" i="9"/>
  <c r="HN583" i="9"/>
  <c r="HN587" i="9"/>
  <c r="HN592" i="9"/>
  <c r="FV608" i="9"/>
  <c r="HN619" i="9"/>
  <c r="HN670" i="9"/>
  <c r="HY674" i="9"/>
  <c r="FF676" i="9"/>
  <c r="FF681" i="9"/>
  <c r="FV694" i="9"/>
  <c r="HN709" i="9"/>
  <c r="FV714" i="9"/>
  <c r="HI721" i="9"/>
  <c r="HJ721" i="9" s="1"/>
  <c r="HN722" i="9"/>
  <c r="HN727" i="9"/>
  <c r="FV735" i="9"/>
  <c r="HB745" i="9"/>
  <c r="HN768" i="9"/>
  <c r="GG772" i="9"/>
  <c r="HN778" i="9"/>
  <c r="HN794" i="9"/>
  <c r="IA982" i="9"/>
  <c r="HX982" i="9"/>
  <c r="HV982" i="9" s="1"/>
  <c r="GG810" i="9"/>
  <c r="HN825" i="9"/>
  <c r="HN831" i="9"/>
  <c r="GG854" i="9"/>
  <c r="FV874" i="9"/>
  <c r="GG878" i="9"/>
  <c r="HN887" i="9"/>
  <c r="HC888" i="9"/>
  <c r="HN901" i="9"/>
  <c r="FV918" i="9"/>
  <c r="GG926" i="9"/>
  <c r="HN934" i="9"/>
  <c r="HN937" i="9"/>
  <c r="FV945" i="9"/>
  <c r="EW957" i="9"/>
  <c r="HY957" i="9" s="1"/>
  <c r="HN957" i="9"/>
  <c r="FV980" i="9"/>
  <c r="FV984" i="9"/>
  <c r="EW999" i="9"/>
  <c r="HY999" i="9" s="1"/>
  <c r="FV1023" i="9"/>
  <c r="FV1029" i="9"/>
  <c r="FV1034" i="9"/>
  <c r="BB806" i="9"/>
  <c r="HX806" i="9" s="1"/>
  <c r="FV816" i="9"/>
  <c r="FV863" i="9"/>
  <c r="HY867" i="9"/>
  <c r="FV868" i="9"/>
  <c r="FV870" i="9"/>
  <c r="FV888" i="9"/>
  <c r="EW892" i="9"/>
  <c r="HY892" i="9" s="1"/>
  <c r="HC895" i="9"/>
  <c r="HY949" i="9"/>
  <c r="FV956" i="9"/>
  <c r="BZ960" i="9"/>
  <c r="HN962" i="9"/>
  <c r="HN984" i="9"/>
  <c r="HN996" i="9"/>
  <c r="CZ997" i="9"/>
  <c r="BY999" i="9"/>
  <c r="GG1012" i="9"/>
  <c r="IA1014" i="9"/>
  <c r="CZ1016" i="9"/>
  <c r="HZ1016" i="9" s="1"/>
  <c r="GG1028" i="9"/>
  <c r="FI1034" i="9"/>
  <c r="EW935" i="9"/>
  <c r="HY935" i="9" s="1"/>
  <c r="GG982" i="9"/>
  <c r="HL810" i="9"/>
  <c r="HN819" i="9"/>
  <c r="FV834" i="9"/>
  <c r="HN841" i="9"/>
  <c r="HN850" i="9"/>
  <c r="FV851" i="9"/>
  <c r="HN855" i="9"/>
  <c r="GG882" i="9"/>
  <c r="GG883" i="9"/>
  <c r="FV893" i="9"/>
  <c r="FV894" i="9"/>
  <c r="HN905" i="9"/>
  <c r="HN920" i="9"/>
  <c r="HN935" i="9"/>
  <c r="GG944" i="9"/>
  <c r="HV946" i="9"/>
  <c r="HC949" i="9"/>
  <c r="GG950" i="9"/>
  <c r="FV953" i="9"/>
  <c r="FV966" i="9"/>
  <c r="HN969" i="9"/>
  <c r="GG972" i="9"/>
  <c r="FI975" i="9"/>
  <c r="HN1000" i="9"/>
  <c r="GR1001" i="9"/>
  <c r="GR1002" i="9"/>
  <c r="HY1003" i="9"/>
  <c r="BB1008" i="9"/>
  <c r="DA1018" i="9"/>
  <c r="GG1020" i="9"/>
  <c r="FI1021" i="9"/>
  <c r="DA1025" i="9"/>
  <c r="IA1025" i="9" s="1"/>
  <c r="FV1025" i="9"/>
  <c r="HN1026" i="9"/>
  <c r="FV1031" i="9"/>
  <c r="HN804" i="9"/>
  <c r="FV808" i="9"/>
  <c r="FV823" i="9"/>
  <c r="HN837" i="9"/>
  <c r="HN843" i="9"/>
  <c r="FV864" i="9"/>
  <c r="HN867" i="9"/>
  <c r="EW943" i="9"/>
  <c r="HY943" i="9" s="1"/>
  <c r="HY948" i="9"/>
  <c r="GG963" i="9"/>
  <c r="GG973" i="9"/>
  <c r="FV975" i="9"/>
  <c r="FI1031" i="9"/>
  <c r="GR949" i="9"/>
  <c r="GG965" i="9"/>
  <c r="FV973" i="9"/>
  <c r="EW996" i="9"/>
  <c r="HY996" i="9" s="1"/>
  <c r="FV803" i="9"/>
  <c r="HN812" i="9"/>
  <c r="HN817" i="9"/>
  <c r="HN835" i="9"/>
  <c r="FV840" i="9"/>
  <c r="GG841" i="9"/>
  <c r="HL878" i="9"/>
  <c r="FV882" i="9"/>
  <c r="DY888" i="9"/>
  <c r="ES888" i="9" s="1"/>
  <c r="HY888" i="9" s="1"/>
  <c r="EU889" i="9"/>
  <c r="IA889" i="9" s="1"/>
  <c r="FV891" i="9"/>
  <c r="HM904" i="9"/>
  <c r="HW904" i="9" s="1"/>
  <c r="CZ916" i="9"/>
  <c r="GG918" i="9"/>
  <c r="GG920" i="9"/>
  <c r="GG925" i="9"/>
  <c r="FV935" i="9"/>
  <c r="FV944" i="9"/>
  <c r="GR946" i="9"/>
  <c r="GG948" i="9"/>
  <c r="BA951" i="9"/>
  <c r="HZ951" i="9" s="1"/>
  <c r="HY951" i="9"/>
  <c r="FV954" i="9"/>
  <c r="FI955" i="9"/>
  <c r="HC971" i="9"/>
  <c r="CZ974" i="9"/>
  <c r="HZ974" i="9" s="1"/>
  <c r="GF980" i="9"/>
  <c r="CZ982" i="9"/>
  <c r="HZ982" i="9" s="1"/>
  <c r="BY996" i="9"/>
  <c r="FV999" i="9"/>
  <c r="FV1000" i="9"/>
  <c r="GG1002" i="9"/>
  <c r="HN1005" i="9"/>
  <c r="GG1006" i="9"/>
  <c r="FV1011" i="9"/>
  <c r="FI1012" i="9"/>
  <c r="FV1020" i="9"/>
  <c r="GG1021" i="9"/>
  <c r="HN1022" i="9"/>
  <c r="CZ1023" i="9"/>
  <c r="HZ1023" i="9" s="1"/>
  <c r="CZ1029" i="9"/>
  <c r="HZ1029" i="9" s="1"/>
  <c r="HY79" i="9"/>
  <c r="CA79" i="9"/>
  <c r="HX79" i="9" s="1"/>
  <c r="HV79" i="9" s="1"/>
  <c r="HY3" i="9"/>
  <c r="BB3" i="9"/>
  <c r="BB4" i="9"/>
  <c r="IA4" i="9" s="1"/>
  <c r="HY4" i="9"/>
  <c r="BZ81" i="9"/>
  <c r="HZ81" i="9" s="1"/>
  <c r="HY81" i="9"/>
  <c r="CA81" i="9"/>
  <c r="IA81" i="9" s="1"/>
  <c r="HY19" i="9"/>
  <c r="DA19" i="9"/>
  <c r="IA19" i="9" s="1"/>
  <c r="DA33" i="9"/>
  <c r="CZ33" i="9"/>
  <c r="HY35" i="9"/>
  <c r="BB35" i="9"/>
  <c r="IA35" i="9" s="1"/>
  <c r="BB7" i="9"/>
  <c r="IA7" i="9" s="1"/>
  <c r="HY7" i="9"/>
  <c r="EU237" i="9"/>
  <c r="ET237" i="9"/>
  <c r="HZ237" i="9" s="1"/>
  <c r="HY5" i="9"/>
  <c r="HY99" i="9"/>
  <c r="CZ99" i="9"/>
  <c r="HZ99" i="9" s="1"/>
  <c r="BZ298" i="9"/>
  <c r="HZ298" i="9" s="1"/>
  <c r="CA298" i="9"/>
  <c r="HY298" i="9"/>
  <c r="HC8" i="9"/>
  <c r="HN9" i="9"/>
  <c r="GR12" i="9"/>
  <c r="GE17" i="9"/>
  <c r="GD18" i="9"/>
  <c r="GD19" i="9"/>
  <c r="GF20" i="9"/>
  <c r="FV27" i="9"/>
  <c r="GR28" i="9"/>
  <c r="CY31" i="9"/>
  <c r="FV33" i="9"/>
  <c r="GR34" i="9"/>
  <c r="GD35" i="9"/>
  <c r="GG39" i="9"/>
  <c r="FV42" i="9"/>
  <c r="FV49" i="9"/>
  <c r="GD49" i="9"/>
  <c r="HC49" i="9"/>
  <c r="GE50" i="9"/>
  <c r="GO50" i="9"/>
  <c r="GQ51" i="9"/>
  <c r="GJ52" i="9"/>
  <c r="GK52" i="9" s="1"/>
  <c r="GG54" i="9"/>
  <c r="GM55" i="9"/>
  <c r="GN55" i="9" s="1"/>
  <c r="GR55" i="9" s="1"/>
  <c r="GQ56" i="9"/>
  <c r="BB63" i="9"/>
  <c r="IA63" i="9" s="1"/>
  <c r="FV64" i="9"/>
  <c r="GD64" i="9"/>
  <c r="GG65" i="9"/>
  <c r="GD69" i="9"/>
  <c r="GG71" i="9"/>
  <c r="GG73" i="9"/>
  <c r="CA74" i="9"/>
  <c r="GB76" i="9"/>
  <c r="GC76" i="9" s="1"/>
  <c r="GG76" i="9" s="1"/>
  <c r="FV78" i="9"/>
  <c r="GZ83" i="9"/>
  <c r="GG85" i="9"/>
  <c r="DA99" i="9"/>
  <c r="IA99" i="9" s="1"/>
  <c r="EW101" i="9"/>
  <c r="HY101" i="9" s="1"/>
  <c r="GG105" i="9"/>
  <c r="HB146" i="9"/>
  <c r="HA146" i="9"/>
  <c r="GZ146" i="9"/>
  <c r="GX146" i="9"/>
  <c r="GY146" i="9" s="1"/>
  <c r="HC146" i="9" s="1"/>
  <c r="HY162" i="9"/>
  <c r="CZ162" i="9"/>
  <c r="HZ162" i="9" s="1"/>
  <c r="HC162" i="9"/>
  <c r="ET231" i="9"/>
  <c r="HZ231" i="9" s="1"/>
  <c r="HY231" i="9"/>
  <c r="EU231" i="9"/>
  <c r="IA231" i="9" s="1"/>
  <c r="ES248" i="9"/>
  <c r="EW248" i="9"/>
  <c r="HY248" i="9" s="1"/>
  <c r="GG17" i="9"/>
  <c r="GG20" i="9"/>
  <c r="GG36" i="9"/>
  <c r="GF39" i="9"/>
  <c r="GF49" i="9"/>
  <c r="GG50" i="9"/>
  <c r="GR51" i="9"/>
  <c r="GQ52" i="9"/>
  <c r="GD54" i="9"/>
  <c r="GE55" i="9"/>
  <c r="GO55" i="9"/>
  <c r="GF64" i="9"/>
  <c r="GE65" i="9"/>
  <c r="GE69" i="9"/>
  <c r="FV71" i="9"/>
  <c r="FV73" i="9"/>
  <c r="GD76" i="9"/>
  <c r="HA83" i="9"/>
  <c r="GG104" i="9"/>
  <c r="GF104" i="9"/>
  <c r="HN105" i="9"/>
  <c r="HA142" i="9"/>
  <c r="HY155" i="9"/>
  <c r="DA155" i="9"/>
  <c r="IA155" i="9" s="1"/>
  <c r="GP160" i="9"/>
  <c r="GO160" i="9"/>
  <c r="GM160" i="9"/>
  <c r="GN160" i="9" s="1"/>
  <c r="GR160" i="9" s="1"/>
  <c r="DU203" i="9"/>
  <c r="IA203" i="9" s="1"/>
  <c r="DT203" i="9"/>
  <c r="HZ203" i="9" s="1"/>
  <c r="HY225" i="9"/>
  <c r="EU225" i="9"/>
  <c r="IA225" i="9" s="1"/>
  <c r="ET225" i="9"/>
  <c r="HZ225" i="9" s="1"/>
  <c r="BB258" i="9"/>
  <c r="BA258" i="9"/>
  <c r="BZ296" i="9"/>
  <c r="HZ296" i="9" s="1"/>
  <c r="HY296" i="9"/>
  <c r="CA296" i="9"/>
  <c r="BA206" i="9"/>
  <c r="HZ206" i="9" s="1"/>
  <c r="BB206" i="9"/>
  <c r="HX206" i="9" s="1"/>
  <c r="HV206" i="9" s="1"/>
  <c r="FV5" i="9"/>
  <c r="GR8" i="9"/>
  <c r="GR10" i="9"/>
  <c r="FV14" i="9"/>
  <c r="FV15" i="9"/>
  <c r="FV16" i="9"/>
  <c r="FV17" i="9"/>
  <c r="GF17" i="9"/>
  <c r="FV20" i="9"/>
  <c r="FV28" i="9"/>
  <c r="HC29" i="9"/>
  <c r="HC32" i="9"/>
  <c r="FV34" i="9"/>
  <c r="FV36" i="9"/>
  <c r="HC36" i="9"/>
  <c r="HN44" i="9"/>
  <c r="HN46" i="9"/>
  <c r="BA47" i="9"/>
  <c r="HZ47" i="9" s="1"/>
  <c r="HN47" i="9"/>
  <c r="BB48" i="9"/>
  <c r="GF54" i="9"/>
  <c r="GG55" i="9"/>
  <c r="GZ78" i="9"/>
  <c r="GR79" i="9"/>
  <c r="FV90" i="9"/>
  <c r="CZ129" i="9"/>
  <c r="HZ129" i="9" s="1"/>
  <c r="DA129" i="9"/>
  <c r="IA129" i="9" s="1"/>
  <c r="HY152" i="9"/>
  <c r="DA152" i="9"/>
  <c r="IA152" i="9" s="1"/>
  <c r="HY198" i="9"/>
  <c r="DU198" i="9"/>
  <c r="HX198" i="9" s="1"/>
  <c r="HV198" i="9" s="1"/>
  <c r="DT198" i="9"/>
  <c r="HZ198" i="9" s="1"/>
  <c r="BA204" i="9"/>
  <c r="HZ204" i="9" s="1"/>
  <c r="HY204" i="9"/>
  <c r="BB204" i="9"/>
  <c r="IA204" i="9" s="1"/>
  <c r="HM236" i="9"/>
  <c r="HW236" i="9" s="1"/>
  <c r="GF444" i="9"/>
  <c r="GE444" i="9"/>
  <c r="GD444" i="9"/>
  <c r="EU214" i="9"/>
  <c r="HX214" i="9" s="1"/>
  <c r="HV214" i="9" s="1"/>
  <c r="HY420" i="9"/>
  <c r="BB420" i="9"/>
  <c r="BA420" i="9"/>
  <c r="HZ420" i="9" s="1"/>
  <c r="CY172" i="9"/>
  <c r="DA172" i="9" s="1"/>
  <c r="EY172" i="9" s="1"/>
  <c r="EW172" i="9"/>
  <c r="HY172" i="9" s="1"/>
  <c r="HY6" i="9"/>
  <c r="HN3" i="9"/>
  <c r="EW12" i="9"/>
  <c r="HY12" i="9" s="1"/>
  <c r="GR13" i="9"/>
  <c r="HN17" i="9"/>
  <c r="HN18" i="9"/>
  <c r="HN21" i="9"/>
  <c r="CZ25" i="9"/>
  <c r="HZ25" i="9" s="1"/>
  <c r="CZ27" i="9"/>
  <c r="HZ27" i="9" s="1"/>
  <c r="GR27" i="9"/>
  <c r="FV30" i="9"/>
  <c r="BZ32" i="9"/>
  <c r="EW33" i="9"/>
  <c r="HY33" i="9" s="1"/>
  <c r="GG37" i="9"/>
  <c r="FV40" i="9"/>
  <c r="HN43" i="9"/>
  <c r="FV45" i="9"/>
  <c r="GQ49" i="9"/>
  <c r="FV51" i="9"/>
  <c r="GD51" i="9"/>
  <c r="HC51" i="9"/>
  <c r="GG52" i="9"/>
  <c r="GM53" i="9"/>
  <c r="GN53" i="9" s="1"/>
  <c r="GR53" i="9" s="1"/>
  <c r="GF55" i="9"/>
  <c r="FV56" i="9"/>
  <c r="GD56" i="9"/>
  <c r="HC56" i="9"/>
  <c r="FV75" i="9"/>
  <c r="GO80" i="9"/>
  <c r="DA84" i="9"/>
  <c r="HY84" i="9"/>
  <c r="FV88" i="9"/>
  <c r="GR97" i="9"/>
  <c r="GE104" i="9"/>
  <c r="CZ155" i="9"/>
  <c r="HZ155" i="9" s="1"/>
  <c r="HB161" i="9"/>
  <c r="HC161" i="9"/>
  <c r="HY212" i="9"/>
  <c r="EU212" i="9"/>
  <c r="IA212" i="9" s="1"/>
  <c r="ET212" i="9"/>
  <c r="HZ212" i="9" s="1"/>
  <c r="EU245" i="9"/>
  <c r="IA245" i="9" s="1"/>
  <c r="ET245" i="9"/>
  <c r="HZ245" i="9" s="1"/>
  <c r="HY255" i="9"/>
  <c r="EU255" i="9"/>
  <c r="HX255" i="9" s="1"/>
  <c r="GG18" i="9"/>
  <c r="DA25" i="9"/>
  <c r="GR32" i="9"/>
  <c r="FV38" i="9"/>
  <c r="GD39" i="9"/>
  <c r="GD40" i="9"/>
  <c r="GR49" i="9"/>
  <c r="GF51" i="9"/>
  <c r="GD52" i="9"/>
  <c r="GE53" i="9"/>
  <c r="GO53" i="9"/>
  <c r="GQ54" i="9"/>
  <c r="GF56" i="9"/>
  <c r="GE67" i="9"/>
  <c r="GG69" i="9"/>
  <c r="GE74" i="9"/>
  <c r="HN75" i="9"/>
  <c r="GF76" i="9"/>
  <c r="HN78" i="9"/>
  <c r="HN83" i="9"/>
  <c r="EY101" i="9"/>
  <c r="IA101" i="9" s="1"/>
  <c r="HY115" i="9"/>
  <c r="DA115" i="9"/>
  <c r="IA115" i="9" s="1"/>
  <c r="CZ117" i="9"/>
  <c r="HZ117" i="9" s="1"/>
  <c r="HY117" i="9"/>
  <c r="DA150" i="9"/>
  <c r="IA150" i="9" s="1"/>
  <c r="CZ150" i="9"/>
  <c r="HZ150" i="9" s="1"/>
  <c r="HC159" i="9"/>
  <c r="HB162" i="9"/>
  <c r="HA162" i="9"/>
  <c r="BB191" i="9"/>
  <c r="BA191" i="9"/>
  <c r="HZ191" i="9" s="1"/>
  <c r="HY230" i="9"/>
  <c r="EU230" i="9"/>
  <c r="IA230" i="9" s="1"/>
  <c r="ET230" i="9"/>
  <c r="HZ230" i="9" s="1"/>
  <c r="HY233" i="9"/>
  <c r="BB233" i="9"/>
  <c r="IA233" i="9" s="1"/>
  <c r="BA233" i="9"/>
  <c r="HZ233" i="9" s="1"/>
  <c r="DT351" i="9"/>
  <c r="DU351" i="9"/>
  <c r="HY411" i="9"/>
  <c r="BB411" i="9"/>
  <c r="BA411" i="9"/>
  <c r="HZ411" i="9" s="1"/>
  <c r="HY159" i="9"/>
  <c r="EU159" i="9"/>
  <c r="IA159" i="9" s="1"/>
  <c r="DA165" i="9"/>
  <c r="CZ165" i="9"/>
  <c r="FV6" i="9"/>
  <c r="HC10" i="9"/>
  <c r="CA11" i="9"/>
  <c r="HC11" i="9"/>
  <c r="BA15" i="9"/>
  <c r="HZ15" i="9" s="1"/>
  <c r="GR15" i="9"/>
  <c r="BB23" i="9"/>
  <c r="IA23" i="9" s="1"/>
  <c r="HC38" i="9"/>
  <c r="FV43" i="9"/>
  <c r="GF52" i="9"/>
  <c r="GG53" i="9"/>
  <c r="GG66" i="9"/>
  <c r="GG67" i="9"/>
  <c r="FV68" i="9"/>
  <c r="FV77" i="9"/>
  <c r="HY90" i="9"/>
  <c r="BB90" i="9"/>
  <c r="IA90" i="9" s="1"/>
  <c r="HB150" i="9"/>
  <c r="GZ150" i="9"/>
  <c r="GX150" i="9"/>
  <c r="GY150" i="9" s="1"/>
  <c r="HB165" i="9"/>
  <c r="HA165" i="9"/>
  <c r="GZ165" i="9"/>
  <c r="CZ175" i="9"/>
  <c r="EX175" i="9" s="1"/>
  <c r="HZ175" i="9" s="1"/>
  <c r="DA175" i="9"/>
  <c r="EY175" i="9" s="1"/>
  <c r="CY178" i="9"/>
  <c r="EW178" i="9"/>
  <c r="HY178" i="9" s="1"/>
  <c r="HV184" i="9"/>
  <c r="BA205" i="9"/>
  <c r="HZ205" i="9" s="1"/>
  <c r="HY205" i="9"/>
  <c r="BB205" i="9"/>
  <c r="IA205" i="9" s="1"/>
  <c r="EU222" i="9"/>
  <c r="IA222" i="9" s="1"/>
  <c r="ET222" i="9"/>
  <c r="HZ222" i="9" s="1"/>
  <c r="HY223" i="9"/>
  <c r="BB223" i="9"/>
  <c r="IA223" i="9" s="1"/>
  <c r="BA223" i="9"/>
  <c r="HZ223" i="9" s="1"/>
  <c r="EU349" i="9"/>
  <c r="ET349" i="9"/>
  <c r="FV97" i="9"/>
  <c r="FV104" i="9"/>
  <c r="FV113" i="9"/>
  <c r="FV127" i="9"/>
  <c r="FV148" i="9"/>
  <c r="FV152" i="9"/>
  <c r="FV161" i="9"/>
  <c r="FV175" i="9"/>
  <c r="HN186" i="9"/>
  <c r="FV192" i="9"/>
  <c r="FV197" i="9"/>
  <c r="HN197" i="9"/>
  <c r="FV213" i="9"/>
  <c r="GR220" i="9"/>
  <c r="FV230" i="9"/>
  <c r="GG264" i="9"/>
  <c r="GD279" i="9"/>
  <c r="GF281" i="9"/>
  <c r="GE281" i="9"/>
  <c r="GE283" i="9"/>
  <c r="GF283" i="9"/>
  <c r="GD283" i="9"/>
  <c r="HN291" i="9"/>
  <c r="BZ294" i="9"/>
  <c r="HZ294" i="9" s="1"/>
  <c r="HY294" i="9"/>
  <c r="CA294" i="9"/>
  <c r="FV307" i="9"/>
  <c r="HN367" i="9"/>
  <c r="BA405" i="9"/>
  <c r="HZ405" i="9" s="1"/>
  <c r="HY405" i="9"/>
  <c r="BB405" i="9"/>
  <c r="IA405" i="9" s="1"/>
  <c r="HY497" i="9"/>
  <c r="BA497" i="9"/>
  <c r="HZ497" i="9" s="1"/>
  <c r="FV110" i="9"/>
  <c r="FV118" i="9"/>
  <c r="FV137" i="9"/>
  <c r="HC142" i="9"/>
  <c r="HC157" i="9"/>
  <c r="GZ159" i="9"/>
  <c r="HN195" i="9"/>
  <c r="FV248" i="9"/>
  <c r="FV264" i="9"/>
  <c r="GG284" i="9"/>
  <c r="HN302" i="9"/>
  <c r="FV303" i="9"/>
  <c r="FV346" i="9"/>
  <c r="BA414" i="9"/>
  <c r="HZ414" i="9" s="1"/>
  <c r="HC415" i="9"/>
  <c r="FV417" i="9"/>
  <c r="GR92" i="9"/>
  <c r="FV94" i="9"/>
  <c r="HC100" i="9"/>
  <c r="GR102" i="9"/>
  <c r="GG106" i="9"/>
  <c r="HN107" i="9"/>
  <c r="DA114" i="9"/>
  <c r="IA114" i="9" s="1"/>
  <c r="FV123" i="9"/>
  <c r="GG132" i="9"/>
  <c r="FV136" i="9"/>
  <c r="FV150" i="9"/>
  <c r="FV151" i="9"/>
  <c r="GQ157" i="9"/>
  <c r="HA159" i="9"/>
  <c r="HC165" i="9"/>
  <c r="HN179" i="9"/>
  <c r="HN181" i="9"/>
  <c r="HN208" i="9"/>
  <c r="HN209" i="9"/>
  <c r="HN211" i="9"/>
  <c r="FV220" i="9"/>
  <c r="FV221" i="9"/>
  <c r="FV229" i="9"/>
  <c r="FV236" i="9"/>
  <c r="HN236" i="9"/>
  <c r="HN251" i="9"/>
  <c r="FV263" i="9"/>
  <c r="HN290" i="9"/>
  <c r="HN297" i="9"/>
  <c r="GG302" i="9"/>
  <c r="HC374" i="9"/>
  <c r="BB396" i="9"/>
  <c r="IA396" i="9" s="1"/>
  <c r="BA396" i="9"/>
  <c r="HZ396" i="9" s="1"/>
  <c r="HN182" i="9"/>
  <c r="FV190" i="9"/>
  <c r="HN207" i="9"/>
  <c r="FV210" i="9"/>
  <c r="FV216" i="9"/>
  <c r="FV226" i="9"/>
  <c r="HK238" i="9"/>
  <c r="FV246" i="9"/>
  <c r="HN250" i="9"/>
  <c r="CA269" i="9"/>
  <c r="IA269" i="9" s="1"/>
  <c r="BZ269" i="9"/>
  <c r="HZ269" i="9" s="1"/>
  <c r="CA297" i="9"/>
  <c r="HX297" i="9" s="1"/>
  <c r="HV297" i="9" s="1"/>
  <c r="GR339" i="9"/>
  <c r="BA363" i="9"/>
  <c r="HZ363" i="9" s="1"/>
  <c r="BB363" i="9"/>
  <c r="HN411" i="9"/>
  <c r="GR415" i="9"/>
  <c r="GG107" i="9"/>
  <c r="GG129" i="9"/>
  <c r="DA130" i="9"/>
  <c r="IA130" i="9" s="1"/>
  <c r="FV146" i="9"/>
  <c r="GG152" i="9"/>
  <c r="FV160" i="9"/>
  <c r="GM162" i="9"/>
  <c r="GN162" i="9" s="1"/>
  <c r="GJ164" i="9"/>
  <c r="GK164" i="9" s="1"/>
  <c r="GQ165" i="9"/>
  <c r="FV169" i="9"/>
  <c r="HN212" i="9"/>
  <c r="HN237" i="9"/>
  <c r="BT286" i="9"/>
  <c r="BY286" i="9" s="1"/>
  <c r="HY286" i="9" s="1"/>
  <c r="BS288" i="9"/>
  <c r="BT288" i="9" s="1"/>
  <c r="BY288" i="9" s="1"/>
  <c r="BZ288" i="9" s="1"/>
  <c r="HZ288" i="9" s="1"/>
  <c r="BA325" i="9"/>
  <c r="HZ325" i="9" s="1"/>
  <c r="BB325" i="9"/>
  <c r="IA325" i="9" s="1"/>
  <c r="BB329" i="9"/>
  <c r="GR338" i="9"/>
  <c r="EW353" i="9"/>
  <c r="HY353" i="9" s="1"/>
  <c r="DS353" i="9"/>
  <c r="BA389" i="9"/>
  <c r="HZ389" i="9" s="1"/>
  <c r="BB389" i="9"/>
  <c r="IA389" i="9" s="1"/>
  <c r="HY389" i="9"/>
  <c r="HY417" i="9"/>
  <c r="BA417" i="9"/>
  <c r="HZ417" i="9" s="1"/>
  <c r="FV92" i="9"/>
  <c r="GR99" i="9"/>
  <c r="GR100" i="9"/>
  <c r="FV102" i="9"/>
  <c r="FV119" i="9"/>
  <c r="GG131" i="9"/>
  <c r="BA138" i="9"/>
  <c r="HZ138" i="9" s="1"/>
  <c r="GG140" i="9"/>
  <c r="GO159" i="9"/>
  <c r="GP164" i="9"/>
  <c r="GO165" i="9"/>
  <c r="HN176" i="9"/>
  <c r="CY177" i="9"/>
  <c r="BZ195" i="9"/>
  <c r="HZ195" i="9" s="1"/>
  <c r="HY195" i="9"/>
  <c r="HN198" i="9"/>
  <c r="HN201" i="9"/>
  <c r="FV207" i="9"/>
  <c r="FV218" i="9"/>
  <c r="FV234" i="9"/>
  <c r="HK237" i="9"/>
  <c r="FV238" i="9"/>
  <c r="FV251" i="9"/>
  <c r="GF279" i="9"/>
  <c r="GE279" i="9"/>
  <c r="FK325" i="9"/>
  <c r="FS325" i="9"/>
  <c r="DS357" i="9"/>
  <c r="DU357" i="9" s="1"/>
  <c r="EY357" i="9" s="1"/>
  <c r="IA357" i="9" s="1"/>
  <c r="GO385" i="9"/>
  <c r="GQ385" i="9"/>
  <c r="GP385" i="9"/>
  <c r="GM385" i="9"/>
  <c r="GN385" i="9" s="1"/>
  <c r="HN415" i="9"/>
  <c r="BB417" i="9"/>
  <c r="IA417" i="9" s="1"/>
  <c r="FV379" i="9"/>
  <c r="FV380" i="9"/>
  <c r="FV381" i="9"/>
  <c r="GP383" i="9"/>
  <c r="HN383" i="9"/>
  <c r="GM384" i="9"/>
  <c r="GN384" i="9" s="1"/>
  <c r="HK402" i="9"/>
  <c r="BB409" i="9"/>
  <c r="IA409" i="9" s="1"/>
  <c r="HN418" i="9"/>
  <c r="BZ439" i="9"/>
  <c r="CA439" i="9"/>
  <c r="DA477" i="9"/>
  <c r="HY477" i="9"/>
  <c r="DA485" i="9"/>
  <c r="CZ485" i="9"/>
  <c r="GF671" i="9"/>
  <c r="GD671" i="9"/>
  <c r="GB671" i="9"/>
  <c r="GC671" i="9" s="1"/>
  <c r="GF264" i="9"/>
  <c r="GF277" i="9"/>
  <c r="GE280" i="9"/>
  <c r="HX280" i="9"/>
  <c r="HV280" i="9" s="1"/>
  <c r="GG286" i="9"/>
  <c r="GG288" i="9"/>
  <c r="HN304" i="9"/>
  <c r="FV316" i="9"/>
  <c r="FV325" i="9"/>
  <c r="HN328" i="9"/>
  <c r="GG332" i="9"/>
  <c r="GR337" i="9"/>
  <c r="FV354" i="9"/>
  <c r="EW355" i="9"/>
  <c r="HY355" i="9" s="1"/>
  <c r="GR356" i="9"/>
  <c r="EW358" i="9"/>
  <c r="HY358" i="9" s="1"/>
  <c r="EW361" i="9"/>
  <c r="HY361" i="9" s="1"/>
  <c r="HN368" i="9"/>
  <c r="HY409" i="9"/>
  <c r="FV412" i="9"/>
  <c r="FV413" i="9"/>
  <c r="GR436" i="9"/>
  <c r="FV260" i="9"/>
  <c r="HY264" i="9"/>
  <c r="GR273" i="9"/>
  <c r="FV275" i="9"/>
  <c r="GR276" i="9"/>
  <c r="GG280" i="9"/>
  <c r="HY280" i="9"/>
  <c r="FV296" i="9"/>
  <c r="HN369" i="9"/>
  <c r="HY397" i="9"/>
  <c r="FV410" i="9"/>
  <c r="HC416" i="9"/>
  <c r="HY424" i="9"/>
  <c r="BB424" i="9"/>
  <c r="HY432" i="9"/>
  <c r="BB432" i="9"/>
  <c r="IA432" i="9" s="1"/>
  <c r="BA432" i="9"/>
  <c r="HZ432" i="9" s="1"/>
  <c r="GF443" i="9"/>
  <c r="GE443" i="9"/>
  <c r="HY466" i="9"/>
  <c r="DU466" i="9"/>
  <c r="IA466" i="9" s="1"/>
  <c r="DT466" i="9"/>
  <c r="HZ466" i="9" s="1"/>
  <c r="HY545" i="9"/>
  <c r="DT545" i="9"/>
  <c r="HZ545" i="9" s="1"/>
  <c r="HY259" i="9"/>
  <c r="GR270" i="9"/>
  <c r="GE278" i="9"/>
  <c r="GG279" i="9"/>
  <c r="HN287" i="9"/>
  <c r="HN289" i="9"/>
  <c r="HN298" i="9"/>
  <c r="GG304" i="9"/>
  <c r="HC321" i="9"/>
  <c r="GG331" i="9"/>
  <c r="GR336" i="9"/>
  <c r="FV338" i="9"/>
  <c r="GR343" i="9"/>
  <c r="FV347" i="9"/>
  <c r="FV348" i="9"/>
  <c r="GR351" i="9"/>
  <c r="GR352" i="9"/>
  <c r="ET357" i="9"/>
  <c r="DU359" i="9"/>
  <c r="GO387" i="9"/>
  <c r="FV393" i="9"/>
  <c r="FV394" i="9"/>
  <c r="BB397" i="9"/>
  <c r="BA407" i="9"/>
  <c r="HZ407" i="9" s="1"/>
  <c r="HN419" i="9"/>
  <c r="BA424" i="9"/>
  <c r="HZ424" i="9" s="1"/>
  <c r="BA431" i="9"/>
  <c r="HZ431" i="9" s="1"/>
  <c r="HN436" i="9"/>
  <c r="BB441" i="9"/>
  <c r="EY441" i="9" s="1"/>
  <c r="HX441" i="9" s="1"/>
  <c r="HV441" i="9" s="1"/>
  <c r="GF442" i="9"/>
  <c r="GE442" i="9"/>
  <c r="FV489" i="9"/>
  <c r="FV496" i="9"/>
  <c r="HY525" i="9"/>
  <c r="DT525" i="9"/>
  <c r="HZ525" i="9" s="1"/>
  <c r="DU539" i="9"/>
  <c r="IA539" i="9" s="1"/>
  <c r="DT539" i="9"/>
  <c r="HZ539" i="9" s="1"/>
  <c r="FV257" i="9"/>
  <c r="EW262" i="9"/>
  <c r="HY262" i="9" s="1"/>
  <c r="EW263" i="9"/>
  <c r="HY263" i="9" s="1"/>
  <c r="FV277" i="9"/>
  <c r="GG285" i="9"/>
  <c r="FV290" i="9"/>
  <c r="GG293" i="9"/>
  <c r="HN325" i="9"/>
  <c r="FV328" i="9"/>
  <c r="FV329" i="9"/>
  <c r="HN333" i="9"/>
  <c r="FV337" i="9"/>
  <c r="GR341" i="9"/>
  <c r="FV344" i="9"/>
  <c r="GR357" i="9"/>
  <c r="GR358" i="9"/>
  <c r="GR361" i="9"/>
  <c r="GO379" i="9"/>
  <c r="HN381" i="9"/>
  <c r="GM387" i="9"/>
  <c r="GN387" i="9" s="1"/>
  <c r="GR387" i="9" s="1"/>
  <c r="HN389" i="9"/>
  <c r="HY393" i="9"/>
  <c r="HI401" i="9"/>
  <c r="HJ401" i="9" s="1"/>
  <c r="BB407" i="9"/>
  <c r="IA407" i="9" s="1"/>
  <c r="GR416" i="9"/>
  <c r="HN423" i="9"/>
  <c r="HC428" i="9"/>
  <c r="GR432" i="9"/>
  <c r="HC432" i="9"/>
  <c r="FV434" i="9"/>
  <c r="AZ438" i="9"/>
  <c r="GD443" i="9"/>
  <c r="GF446" i="9"/>
  <c r="GE446" i="9"/>
  <c r="HN464" i="9"/>
  <c r="FV495" i="9"/>
  <c r="EY262" i="9"/>
  <c r="IA262" i="9" s="1"/>
  <c r="FV270" i="9"/>
  <c r="GG277" i="9"/>
  <c r="GG282" i="9"/>
  <c r="HN282" i="9"/>
  <c r="FV297" i="9"/>
  <c r="FV300" i="9"/>
  <c r="FV301" i="9"/>
  <c r="FV304" i="9"/>
  <c r="EW349" i="9"/>
  <c r="HY349" i="9" s="1"/>
  <c r="FV351" i="9"/>
  <c r="HN371" i="9"/>
  <c r="GP382" i="9"/>
  <c r="GP387" i="9"/>
  <c r="HN426" i="9"/>
  <c r="HN430" i="9"/>
  <c r="BB439" i="9"/>
  <c r="EY439" i="9" s="1"/>
  <c r="BA439" i="9"/>
  <c r="HY276" i="9"/>
  <c r="HN279" i="9"/>
  <c r="HN281" i="9"/>
  <c r="GR353" i="9"/>
  <c r="FV416" i="9"/>
  <c r="FV424" i="9"/>
  <c r="FV426" i="9"/>
  <c r="FV432" i="9"/>
  <c r="HB439" i="9"/>
  <c r="GZ439" i="9"/>
  <c r="GX439" i="9"/>
  <c r="GY439" i="9" s="1"/>
  <c r="GF445" i="9"/>
  <c r="GE445" i="9"/>
  <c r="IA470" i="9"/>
  <c r="HX470" i="9"/>
  <c r="HV470" i="9" s="1"/>
  <c r="HB429" i="9"/>
  <c r="HN435" i="9"/>
  <c r="HB436" i="9"/>
  <c r="EW440" i="9"/>
  <c r="HY440" i="9" s="1"/>
  <c r="FV455" i="9"/>
  <c r="HN457" i="9"/>
  <c r="GG462" i="9"/>
  <c r="GD471" i="9"/>
  <c r="HN471" i="9"/>
  <c r="FV476" i="9"/>
  <c r="FI477" i="9"/>
  <c r="FV482" i="9"/>
  <c r="FV485" i="9"/>
  <c r="HN495" i="9"/>
  <c r="FV499" i="9"/>
  <c r="FV500" i="9"/>
  <c r="FV501" i="9"/>
  <c r="FV508" i="9"/>
  <c r="HY521" i="9"/>
  <c r="HN525" i="9"/>
  <c r="DT529" i="9"/>
  <c r="HZ529" i="9" s="1"/>
  <c r="DU529" i="9"/>
  <c r="GG552" i="9"/>
  <c r="HN576" i="9"/>
  <c r="FV579" i="9"/>
  <c r="HN595" i="9"/>
  <c r="IA608" i="9"/>
  <c r="HX608" i="9"/>
  <c r="HV608" i="9" s="1"/>
  <c r="ET911" i="9"/>
  <c r="HZ911" i="9" s="1"/>
  <c r="EU911" i="9"/>
  <c r="HX911" i="9" s="1"/>
  <c r="HV911" i="9" s="1"/>
  <c r="GU429" i="9"/>
  <c r="GV429" i="9" s="1"/>
  <c r="HN431" i="9"/>
  <c r="HN438" i="9"/>
  <c r="FI471" i="9"/>
  <c r="GR476" i="9"/>
  <c r="GG480" i="9"/>
  <c r="FI485" i="9"/>
  <c r="FV509" i="9"/>
  <c r="HX513" i="9"/>
  <c r="HV513" i="9" s="1"/>
  <c r="GG525" i="9"/>
  <c r="FV554" i="9"/>
  <c r="HN556" i="9"/>
  <c r="HN571" i="9"/>
  <c r="DT676" i="9"/>
  <c r="HZ676" i="9" s="1"/>
  <c r="HY676" i="9"/>
  <c r="HY793" i="9"/>
  <c r="BB793" i="9"/>
  <c r="IA793" i="9" s="1"/>
  <c r="BA793" i="9"/>
  <c r="HZ793" i="9" s="1"/>
  <c r="GE471" i="9"/>
  <c r="FI472" i="9"/>
  <c r="HC473" i="9"/>
  <c r="EY483" i="9"/>
  <c r="IA483" i="9" s="1"/>
  <c r="HN492" i="9"/>
  <c r="HY513" i="9"/>
  <c r="FV525" i="9"/>
  <c r="HY528" i="9"/>
  <c r="DT528" i="9"/>
  <c r="HZ528" i="9" s="1"/>
  <c r="BA562" i="9"/>
  <c r="HZ562" i="9" s="1"/>
  <c r="BB562" i="9"/>
  <c r="GR457" i="9"/>
  <c r="FV458" i="9"/>
  <c r="HN460" i="9"/>
  <c r="FV462" i="9"/>
  <c r="HN463" i="9"/>
  <c r="GG466" i="9"/>
  <c r="GG469" i="9"/>
  <c r="FV473" i="9"/>
  <c r="DA475" i="9"/>
  <c r="IA475" i="9" s="1"/>
  <c r="HY475" i="9"/>
  <c r="GR477" i="9"/>
  <c r="FI479" i="9"/>
  <c r="HY522" i="9"/>
  <c r="CZ522" i="9"/>
  <c r="HZ522" i="9" s="1"/>
  <c r="HX625" i="9"/>
  <c r="HV625" i="9" s="1"/>
  <c r="IA625" i="9"/>
  <c r="CY713" i="9"/>
  <c r="DA713" i="9" s="1"/>
  <c r="EW713" i="9"/>
  <c r="HY713" i="9" s="1"/>
  <c r="BZ725" i="9"/>
  <c r="HZ725" i="9" s="1"/>
  <c r="HY725" i="9"/>
  <c r="HN427" i="9"/>
  <c r="GR429" i="9"/>
  <c r="HB432" i="9"/>
  <c r="GR433" i="9"/>
  <c r="FV437" i="9"/>
  <c r="GR440" i="9"/>
  <c r="HN440" i="9"/>
  <c r="FV441" i="9"/>
  <c r="GG447" i="9"/>
  <c r="HN447" i="9"/>
  <c r="GG448" i="9"/>
  <c r="HN449" i="9"/>
  <c r="GG450" i="9"/>
  <c r="GG451" i="9"/>
  <c r="HN451" i="9"/>
  <c r="GG452" i="9"/>
  <c r="HN453" i="9"/>
  <c r="GG454" i="9"/>
  <c r="GR455" i="9"/>
  <c r="GG459" i="9"/>
  <c r="FV467" i="9"/>
  <c r="HN469" i="9"/>
  <c r="FI473" i="9"/>
  <c r="FV475" i="9"/>
  <c r="CZ484" i="9"/>
  <c r="GG484" i="9"/>
  <c r="GR485" i="9"/>
  <c r="BA488" i="9"/>
  <c r="HZ488" i="9" s="1"/>
  <c r="FV490" i="9"/>
  <c r="HN491" i="9"/>
  <c r="BA495" i="9"/>
  <c r="HZ495" i="9" s="1"/>
  <c r="HN500" i="9"/>
  <c r="HN504" i="9"/>
  <c r="FV507" i="9"/>
  <c r="HN508" i="9"/>
  <c r="FV519" i="9"/>
  <c r="BA554" i="9"/>
  <c r="HZ554" i="9" s="1"/>
  <c r="BB554" i="9"/>
  <c r="FV564" i="9"/>
  <c r="FV565" i="9"/>
  <c r="FV572" i="9"/>
  <c r="HN573" i="9"/>
  <c r="BB578" i="9"/>
  <c r="HX578" i="9" s="1"/>
  <c r="HV578" i="9" s="1"/>
  <c r="HN588" i="9"/>
  <c r="GD668" i="9"/>
  <c r="GG457" i="9"/>
  <c r="BA552" i="9"/>
  <c r="HZ552" i="9" s="1"/>
  <c r="BB552" i="9"/>
  <c r="HX552" i="9" s="1"/>
  <c r="HN586" i="9"/>
  <c r="FV423" i="9"/>
  <c r="FV429" i="9"/>
  <c r="HB437" i="9"/>
  <c r="EW439" i="9"/>
  <c r="HY439" i="9" s="1"/>
  <c r="GG444" i="9"/>
  <c r="GG445" i="9"/>
  <c r="GG446" i="9"/>
  <c r="HC447" i="9"/>
  <c r="HC449" i="9"/>
  <c r="HC451" i="9"/>
  <c r="HC453" i="9"/>
  <c r="GG455" i="9"/>
  <c r="FV459" i="9"/>
  <c r="FV464" i="9"/>
  <c r="FV465" i="9"/>
  <c r="FV466" i="9"/>
  <c r="GR468" i="9"/>
  <c r="FV469" i="9"/>
  <c r="FY471" i="9"/>
  <c r="FZ471" i="9" s="1"/>
  <c r="GG471" i="9" s="1"/>
  <c r="GG478" i="9"/>
  <c r="FI480" i="9"/>
  <c r="HN481" i="9"/>
  <c r="BZ482" i="9"/>
  <c r="HY488" i="9"/>
  <c r="FV491" i="9"/>
  <c r="FV492" i="9"/>
  <c r="FV493" i="9"/>
  <c r="FV494" i="9"/>
  <c r="HN499" i="9"/>
  <c r="BA503" i="9"/>
  <c r="HZ503" i="9" s="1"/>
  <c r="HY505" i="9"/>
  <c r="HN510" i="9"/>
  <c r="BA511" i="9"/>
  <c r="HZ511" i="9" s="1"/>
  <c r="BB514" i="9"/>
  <c r="HX514" i="9" s="1"/>
  <c r="HV514" i="9" s="1"/>
  <c r="HN516" i="9"/>
  <c r="BA519" i="9"/>
  <c r="HZ519" i="9" s="1"/>
  <c r="HY519" i="9"/>
  <c r="FV520" i="9"/>
  <c r="CZ546" i="9"/>
  <c r="HZ546" i="9" s="1"/>
  <c r="DA546" i="9"/>
  <c r="HX546" i="9" s="1"/>
  <c r="HV546" i="9" s="1"/>
  <c r="FV562" i="9"/>
  <c r="HN581" i="9"/>
  <c r="FV523" i="9"/>
  <c r="HL554" i="9"/>
  <c r="HY591" i="9"/>
  <c r="FV597" i="9"/>
  <c r="HN602" i="9"/>
  <c r="FV619" i="9"/>
  <c r="BB621" i="9"/>
  <c r="HX621" i="9" s="1"/>
  <c r="HV621" i="9" s="1"/>
  <c r="FV622" i="9"/>
  <c r="HN627" i="9"/>
  <c r="BB637" i="9"/>
  <c r="HX637" i="9" s="1"/>
  <c r="HV637" i="9" s="1"/>
  <c r="HN643" i="9"/>
  <c r="BB653" i="9"/>
  <c r="HX653" i="9" s="1"/>
  <c r="HV653" i="9" s="1"/>
  <c r="HN659" i="9"/>
  <c r="HN665" i="9"/>
  <c r="GD667" i="9"/>
  <c r="GE672" i="9"/>
  <c r="FH675" i="9"/>
  <c r="HN680" i="9"/>
  <c r="HX688" i="9"/>
  <c r="HV688" i="9" s="1"/>
  <c r="IA688" i="9"/>
  <c r="GG698" i="9"/>
  <c r="HN704" i="9"/>
  <c r="BZ724" i="9"/>
  <c r="HZ724" i="9" s="1"/>
  <c r="HY724" i="9"/>
  <c r="HA741" i="9"/>
  <c r="GU741" i="9"/>
  <c r="GV741" i="9" s="1"/>
  <c r="HA746" i="9"/>
  <c r="GZ746" i="9"/>
  <c r="GX746" i="9"/>
  <c r="GY746" i="9" s="1"/>
  <c r="HC746" i="9" s="1"/>
  <c r="GG755" i="9"/>
  <c r="HN569" i="9"/>
  <c r="HN577" i="9"/>
  <c r="HN600" i="9"/>
  <c r="FV610" i="9"/>
  <c r="FV627" i="9"/>
  <c r="FV628" i="9"/>
  <c r="FV643" i="9"/>
  <c r="FV644" i="9"/>
  <c r="FV659" i="9"/>
  <c r="FV660" i="9"/>
  <c r="GE675" i="9"/>
  <c r="GD675" i="9"/>
  <c r="GB675" i="9"/>
  <c r="GC675" i="9" s="1"/>
  <c r="HN686" i="9"/>
  <c r="GG704" i="9"/>
  <c r="HN706" i="9"/>
  <c r="BZ726" i="9"/>
  <c r="HZ726" i="9" s="1"/>
  <c r="HY726" i="9"/>
  <c r="CZ734" i="9"/>
  <c r="HZ734" i="9" s="1"/>
  <c r="DA734" i="9"/>
  <c r="FV777" i="9"/>
  <c r="CA898" i="9"/>
  <c r="IA898" i="9" s="1"/>
  <c r="HY898" i="9"/>
  <c r="BZ898" i="9"/>
  <c r="HZ898" i="9" s="1"/>
  <c r="HN565" i="9"/>
  <c r="FV568" i="9"/>
  <c r="HN591" i="9"/>
  <c r="HN603" i="9"/>
  <c r="FV611" i="9"/>
  <c r="HN617" i="9"/>
  <c r="IA628" i="9"/>
  <c r="HN630" i="9"/>
  <c r="FV637" i="9"/>
  <c r="FV653" i="9"/>
  <c r="GE678" i="9"/>
  <c r="FY678" i="9"/>
  <c r="FZ678" i="9" s="1"/>
  <c r="FV698" i="9"/>
  <c r="GU744" i="9"/>
  <c r="GV744" i="9" s="1"/>
  <c r="HC744" i="9" s="1"/>
  <c r="HA744" i="9"/>
  <c r="HY776" i="9"/>
  <c r="HN518" i="9"/>
  <c r="HN520" i="9"/>
  <c r="FI551" i="9"/>
  <c r="HI553" i="9"/>
  <c r="HJ553" i="9" s="1"/>
  <c r="BB556" i="9"/>
  <c r="FV557" i="9"/>
  <c r="FV586" i="9"/>
  <c r="FV587" i="9"/>
  <c r="FV601" i="9"/>
  <c r="HN606" i="9"/>
  <c r="HN613" i="9"/>
  <c r="FV664" i="9"/>
  <c r="GD669" i="9"/>
  <c r="HY682" i="9"/>
  <c r="FI690" i="9"/>
  <c r="FV704" i="9"/>
  <c r="GR741" i="9"/>
  <c r="HN745" i="9"/>
  <c r="FV747" i="9"/>
  <c r="HY771" i="9"/>
  <c r="DA771" i="9"/>
  <c r="GG774" i="9"/>
  <c r="FV780" i="9"/>
  <c r="EW870" i="9"/>
  <c r="HY870" i="9" s="1"/>
  <c r="BY870" i="9"/>
  <c r="FV617" i="9"/>
  <c r="DU684" i="9"/>
  <c r="HY684" i="9"/>
  <c r="DT706" i="9"/>
  <c r="HZ706" i="9" s="1"/>
  <c r="HY706" i="9"/>
  <c r="DU706" i="9"/>
  <c r="HX706" i="9" s="1"/>
  <c r="HV706" i="9" s="1"/>
  <c r="HY783" i="9"/>
  <c r="DA783" i="9"/>
  <c r="HX783" i="9" s="1"/>
  <c r="HV783" i="9" s="1"/>
  <c r="CZ783" i="9"/>
  <c r="HZ783" i="9" s="1"/>
  <c r="DA792" i="9"/>
  <c r="CZ792" i="9"/>
  <c r="FV613" i="9"/>
  <c r="DT696" i="9"/>
  <c r="HZ696" i="9" s="1"/>
  <c r="DU696" i="9"/>
  <c r="HX696" i="9" s="1"/>
  <c r="HV696" i="9" s="1"/>
  <c r="FV706" i="9"/>
  <c r="CZ714" i="9"/>
  <c r="DA714" i="9"/>
  <c r="CA753" i="9"/>
  <c r="BZ753" i="9"/>
  <c r="FV518" i="9"/>
  <c r="FV532" i="9"/>
  <c r="HN534" i="9"/>
  <c r="FI550" i="9"/>
  <c r="HM554" i="9"/>
  <c r="HW554" i="9" s="1"/>
  <c r="HN567" i="9"/>
  <c r="HY568" i="9"/>
  <c r="HN620" i="9"/>
  <c r="BA621" i="9"/>
  <c r="HZ621" i="9" s="1"/>
  <c r="HN635" i="9"/>
  <c r="BA637" i="9"/>
  <c r="HZ637" i="9" s="1"/>
  <c r="HN651" i="9"/>
  <c r="BA653" i="9"/>
  <c r="HZ653" i="9" s="1"/>
  <c r="FG669" i="9"/>
  <c r="FH669" i="9"/>
  <c r="FG670" i="9"/>
  <c r="FD675" i="9"/>
  <c r="FE675" i="9" s="1"/>
  <c r="FI675" i="9" s="1"/>
  <c r="HX678" i="9"/>
  <c r="HV678" i="9" s="1"/>
  <c r="IA678" i="9"/>
  <c r="DU682" i="9"/>
  <c r="IA682" i="9" s="1"/>
  <c r="FI706" i="9"/>
  <c r="DA716" i="9"/>
  <c r="CZ716" i="9"/>
  <c r="HX738" i="9"/>
  <c r="HV738" i="9" s="1"/>
  <c r="IA738" i="9"/>
  <c r="FG671" i="9"/>
  <c r="HN693" i="9"/>
  <c r="GG697" i="9"/>
  <c r="FV701" i="9"/>
  <c r="GG703" i="9"/>
  <c r="HY709" i="9"/>
  <c r="IA710" i="9"/>
  <c r="HN714" i="9"/>
  <c r="FV719" i="9"/>
  <c r="HN723" i="9"/>
  <c r="FV726" i="9"/>
  <c r="FV728" i="9"/>
  <c r="GG732" i="9"/>
  <c r="FV738" i="9"/>
  <c r="GR742" i="9"/>
  <c r="FV753" i="9"/>
  <c r="GG765" i="9"/>
  <c r="FV768" i="9"/>
  <c r="HN772" i="9"/>
  <c r="GG779" i="9"/>
  <c r="BB800" i="9"/>
  <c r="IA800" i="9" s="1"/>
  <c r="BA800" i="9"/>
  <c r="HZ800" i="9" s="1"/>
  <c r="FV806" i="9"/>
  <c r="HN839" i="9"/>
  <c r="GG848" i="9"/>
  <c r="BZ924" i="9"/>
  <c r="CA924" i="9"/>
  <c r="FD671" i="9"/>
  <c r="FE671" i="9" s="1"/>
  <c r="FF673" i="9"/>
  <c r="GD678" i="9"/>
  <c r="FD681" i="9"/>
  <c r="FE681" i="9" s="1"/>
  <c r="FI681" i="9" s="1"/>
  <c r="GG695" i="9"/>
  <c r="FI701" i="9"/>
  <c r="FV705" i="9"/>
  <c r="GG715" i="9"/>
  <c r="GG720" i="9"/>
  <c r="HB741" i="9"/>
  <c r="HN747" i="9"/>
  <c r="GR751" i="9"/>
  <c r="FV774" i="9"/>
  <c r="HN780" i="9"/>
  <c r="FV782" i="9"/>
  <c r="EW791" i="9"/>
  <c r="HY791" i="9" s="1"/>
  <c r="EW792" i="9"/>
  <c r="HY792" i="9" s="1"/>
  <c r="GG792" i="9"/>
  <c r="BA798" i="9"/>
  <c r="HZ798" i="9" s="1"/>
  <c r="BB798" i="9"/>
  <c r="IA798" i="9" s="1"/>
  <c r="GG855" i="9"/>
  <c r="HN672" i="9"/>
  <c r="HN682" i="9"/>
  <c r="HN690" i="9"/>
  <c r="FI700" i="9"/>
  <c r="GG700" i="9"/>
  <c r="GG702" i="9"/>
  <c r="GG711" i="9"/>
  <c r="EW721" i="9"/>
  <c r="HY721" i="9" s="1"/>
  <c r="GG723" i="9"/>
  <c r="HC743" i="9"/>
  <c r="HN746" i="9"/>
  <c r="FV752" i="9"/>
  <c r="FV756" i="9"/>
  <c r="FV757" i="9"/>
  <c r="HN758" i="9"/>
  <c r="GG759" i="9"/>
  <c r="FV767" i="9"/>
  <c r="GG771" i="9"/>
  <c r="FV773" i="9"/>
  <c r="GG775" i="9"/>
  <c r="HN776" i="9"/>
  <c r="HY778" i="9"/>
  <c r="FV779" i="9"/>
  <c r="AZ791" i="9"/>
  <c r="FV791" i="9"/>
  <c r="AZ792" i="9"/>
  <c r="BB792" i="9" s="1"/>
  <c r="EY792" i="9" s="1"/>
  <c r="GG793" i="9"/>
  <c r="HY806" i="9"/>
  <c r="HN814" i="9"/>
  <c r="GG819" i="9"/>
  <c r="GG837" i="9"/>
  <c r="HN844" i="9"/>
  <c r="GG690" i="9"/>
  <c r="FV700" i="9"/>
  <c r="HV710" i="9"/>
  <c r="GR743" i="9"/>
  <c r="FV746" i="9"/>
  <c r="HC747" i="9"/>
  <c r="HY764" i="9"/>
  <c r="GG776" i="9"/>
  <c r="HN789" i="9"/>
  <c r="HN790" i="9"/>
  <c r="FV792" i="9"/>
  <c r="BZ851" i="9"/>
  <c r="HZ851" i="9" s="1"/>
  <c r="CA851" i="9"/>
  <c r="IA851" i="9" s="1"/>
  <c r="HX887" i="9"/>
  <c r="IA887" i="9"/>
  <c r="FI691" i="9"/>
  <c r="FV695" i="9"/>
  <c r="FI697" i="9"/>
  <c r="DU704" i="9"/>
  <c r="HX704" i="9" s="1"/>
  <c r="HV704" i="9" s="1"/>
  <c r="FV713" i="9"/>
  <c r="AZ716" i="9"/>
  <c r="FV729" i="9"/>
  <c r="HY733" i="9"/>
  <c r="HN736" i="9"/>
  <c r="CA741" i="9"/>
  <c r="GZ743" i="9"/>
  <c r="FV748" i="9"/>
  <c r="GG768" i="9"/>
  <c r="HY774" i="9"/>
  <c r="FV775" i="9"/>
  <c r="HN791" i="9"/>
  <c r="FU798" i="9"/>
  <c r="FS798" i="9"/>
  <c r="HN808" i="9"/>
  <c r="BB829" i="9"/>
  <c r="IA829" i="9" s="1"/>
  <c r="HY829" i="9"/>
  <c r="BA829" i="9"/>
  <c r="HZ829" i="9" s="1"/>
  <c r="HN836" i="9"/>
  <c r="HN853" i="9"/>
  <c r="HL884" i="9"/>
  <c r="HM884" i="9"/>
  <c r="HW884" i="9" s="1"/>
  <c r="HK884" i="9"/>
  <c r="HF884" i="9"/>
  <c r="HG884" i="9" s="1"/>
  <c r="HN884" i="9" s="1"/>
  <c r="DT887" i="9"/>
  <c r="HZ887" i="9" s="1"/>
  <c r="ET908" i="9"/>
  <c r="HZ908" i="9" s="1"/>
  <c r="EW715" i="9"/>
  <c r="HY715" i="9" s="1"/>
  <c r="HN737" i="9"/>
  <c r="GR747" i="9"/>
  <c r="GG777" i="9"/>
  <c r="FV789" i="9"/>
  <c r="GG790" i="9"/>
  <c r="HN679" i="9"/>
  <c r="FI689" i="9"/>
  <c r="DU690" i="9"/>
  <c r="GG705" i="9"/>
  <c r="AZ715" i="9"/>
  <c r="HN715" i="9"/>
  <c r="HN716" i="9"/>
  <c r="HN718" i="9"/>
  <c r="HN732" i="9"/>
  <c r="HN733" i="9"/>
  <c r="HN741" i="9"/>
  <c r="HC748" i="9"/>
  <c r="HN755" i="9"/>
  <c r="GG756" i="9"/>
  <c r="GG758" i="9"/>
  <c r="FV821" i="9"/>
  <c r="FV825" i="9"/>
  <c r="HY850" i="9"/>
  <c r="BB850" i="9"/>
  <c r="DU853" i="9"/>
  <c r="EW893" i="9"/>
  <c r="HY893" i="9" s="1"/>
  <c r="ES893" i="9"/>
  <c r="ET893" i="9" s="1"/>
  <c r="EX893" i="9" s="1"/>
  <c r="HZ893" i="9" s="1"/>
  <c r="HY795" i="9"/>
  <c r="HN806" i="9"/>
  <c r="HM811" i="9"/>
  <c r="HW811" i="9" s="1"/>
  <c r="HN823" i="9"/>
  <c r="FV827" i="9"/>
  <c r="GG831" i="9"/>
  <c r="GG834" i="9"/>
  <c r="HY834" i="9"/>
  <c r="FV846" i="9"/>
  <c r="GG856" i="9"/>
  <c r="EW869" i="9"/>
  <c r="HY869" i="9" s="1"/>
  <c r="FV881" i="9"/>
  <c r="HM883" i="9"/>
  <c r="HW883" i="9" s="1"/>
  <c r="BB885" i="9"/>
  <c r="IA885" i="9" s="1"/>
  <c r="HC889" i="9"/>
  <c r="HN902" i="9"/>
  <c r="HK904" i="9"/>
  <c r="HN915" i="9"/>
  <c r="FV917" i="9"/>
  <c r="FV965" i="9"/>
  <c r="CZ973" i="9"/>
  <c r="HZ973" i="9" s="1"/>
  <c r="HY973" i="9"/>
  <c r="DA973" i="9"/>
  <c r="IA973" i="9" s="1"/>
  <c r="HY978" i="9"/>
  <c r="DA978" i="9"/>
  <c r="CZ978" i="9"/>
  <c r="HZ978" i="9" s="1"/>
  <c r="GR979" i="9"/>
  <c r="HN1012" i="9"/>
  <c r="GG802" i="9"/>
  <c r="HN803" i="9"/>
  <c r="FV809" i="9"/>
  <c r="FV813" i="9"/>
  <c r="HN820" i="9"/>
  <c r="HY821" i="9"/>
  <c r="GG832" i="9"/>
  <c r="FV838" i="9"/>
  <c r="FV842" i="9"/>
  <c r="FV858" i="9"/>
  <c r="FV860" i="9"/>
  <c r="FV862" i="9"/>
  <c r="HN863" i="9"/>
  <c r="GG866" i="9"/>
  <c r="FV867" i="9"/>
  <c r="IA867" i="9"/>
  <c r="FV872" i="9"/>
  <c r="HK876" i="9"/>
  <c r="HK877" i="9"/>
  <c r="HM878" i="9"/>
  <c r="HW878" i="9" s="1"/>
  <c r="HC892" i="9"/>
  <c r="HN899" i="9"/>
  <c r="HN913" i="9"/>
  <c r="HN933" i="9"/>
  <c r="CY962" i="9"/>
  <c r="EW962" i="9"/>
  <c r="HY962" i="9" s="1"/>
  <c r="GG971" i="9"/>
  <c r="BZ999" i="9"/>
  <c r="CA999" i="9"/>
  <c r="FV810" i="9"/>
  <c r="GG830" i="9"/>
  <c r="FV837" i="9"/>
  <c r="FV841" i="9"/>
  <c r="HN869" i="9"/>
  <c r="HM876" i="9"/>
  <c r="HW876" i="9" s="1"/>
  <c r="HL877" i="9"/>
  <c r="HC894" i="9"/>
  <c r="HN897" i="9"/>
  <c r="DA923" i="9"/>
  <c r="CZ923" i="9"/>
  <c r="HV959" i="9"/>
  <c r="HC973" i="9"/>
  <c r="GR977" i="9"/>
  <c r="FV979" i="9"/>
  <c r="FV995" i="9"/>
  <c r="GG799" i="9"/>
  <c r="HN805" i="9"/>
  <c r="HN815" i="9"/>
  <c r="BB816" i="9"/>
  <c r="IA816" i="9" s="1"/>
  <c r="GG829" i="9"/>
  <c r="HN834" i="9"/>
  <c r="BB847" i="9"/>
  <c r="FV866" i="9"/>
  <c r="CA874" i="9"/>
  <c r="IA874" i="9" s="1"/>
  <c r="FV876" i="9"/>
  <c r="HM877" i="9"/>
  <c r="HW877" i="9" s="1"/>
  <c r="GG880" i="9"/>
  <c r="HK882" i="9"/>
  <c r="ET888" i="9"/>
  <c r="HZ888" i="9" s="1"/>
  <c r="HC893" i="9"/>
  <c r="BZ896" i="9"/>
  <c r="HZ896" i="9" s="1"/>
  <c r="HY896" i="9"/>
  <c r="CZ900" i="9"/>
  <c r="HZ900" i="9" s="1"/>
  <c r="BZ905" i="9"/>
  <c r="HZ905" i="9" s="1"/>
  <c r="HY906" i="9"/>
  <c r="HN910" i="9"/>
  <c r="HN912" i="9"/>
  <c r="HN916" i="9"/>
  <c r="CA917" i="9"/>
  <c r="IA917" i="9" s="1"/>
  <c r="BZ917" i="9"/>
  <c r="HZ917" i="9" s="1"/>
  <c r="HY917" i="9"/>
  <c r="HN927" i="9"/>
  <c r="HN928" i="9"/>
  <c r="FV934" i="9"/>
  <c r="HY950" i="9"/>
  <c r="BB950" i="9"/>
  <c r="IA950" i="9" s="1"/>
  <c r="BA950" i="9"/>
  <c r="HZ950" i="9" s="1"/>
  <c r="FV957" i="9"/>
  <c r="GR973" i="9"/>
  <c r="FI979" i="9"/>
  <c r="DA984" i="9"/>
  <c r="CZ984" i="9"/>
  <c r="EX984" i="9" s="1"/>
  <c r="HZ984" i="9" s="1"/>
  <c r="BZ988" i="9"/>
  <c r="HZ988" i="9" s="1"/>
  <c r="HY988" i="9"/>
  <c r="CA988" i="9"/>
  <c r="HX988" i="9" s="1"/>
  <c r="HV988" i="9" s="1"/>
  <c r="HX1018" i="9"/>
  <c r="HV1018" i="9" s="1"/>
  <c r="IA1018" i="9"/>
  <c r="FV819" i="9"/>
  <c r="HN821" i="9"/>
  <c r="HN838" i="9"/>
  <c r="GG839" i="9"/>
  <c r="HN842" i="9"/>
  <c r="GG843" i="9"/>
  <c r="FV848" i="9"/>
  <c r="GG850" i="9"/>
  <c r="FV853" i="9"/>
  <c r="HV867" i="9"/>
  <c r="GG869" i="9"/>
  <c r="HY875" i="9"/>
  <c r="HY915" i="9"/>
  <c r="BA957" i="9"/>
  <c r="EX957" i="9" s="1"/>
  <c r="HZ957" i="9" s="1"/>
  <c r="BB957" i="9"/>
  <c r="EY957" i="9" s="1"/>
  <c r="HC967" i="9"/>
  <c r="FV811" i="9"/>
  <c r="HN816" i="9"/>
  <c r="GG818" i="9"/>
  <c r="FV850" i="9"/>
  <c r="ET890" i="9"/>
  <c r="HZ890" i="9" s="1"/>
  <c r="BZ906" i="9"/>
  <c r="HZ906" i="9" s="1"/>
  <c r="GG912" i="9"/>
  <c r="HY921" i="9"/>
  <c r="DA921" i="9"/>
  <c r="IA921" i="9" s="1"/>
  <c r="EW925" i="9"/>
  <c r="HY925" i="9" s="1"/>
  <c r="BY925" i="9"/>
  <c r="CA925" i="9" s="1"/>
  <c r="DA942" i="9"/>
  <c r="IA942" i="9" s="1"/>
  <c r="HY942" i="9"/>
  <c r="BZ994" i="9"/>
  <c r="HZ994" i="9" s="1"/>
  <c r="CA994" i="9"/>
  <c r="HY994" i="9"/>
  <c r="HN1008" i="9"/>
  <c r="FV798" i="9"/>
  <c r="FV799" i="9"/>
  <c r="GG801" i="9"/>
  <c r="HN809" i="9"/>
  <c r="HK810" i="9"/>
  <c r="FV815" i="9"/>
  <c r="FV826" i="9"/>
  <c r="BZ834" i="9"/>
  <c r="HZ834" i="9" s="1"/>
  <c r="FV835" i="9"/>
  <c r="FV839" i="9"/>
  <c r="FV843" i="9"/>
  <c r="GG845" i="9"/>
  <c r="HN847" i="9"/>
  <c r="BB848" i="9"/>
  <c r="BB849" i="9"/>
  <c r="HN866" i="9"/>
  <c r="DA868" i="9"/>
  <c r="IA868" i="9" s="1"/>
  <c r="CA875" i="9"/>
  <c r="IA875" i="9" s="1"/>
  <c r="HF876" i="9"/>
  <c r="HG876" i="9" s="1"/>
  <c r="HF878" i="9"/>
  <c r="HG878" i="9" s="1"/>
  <c r="HN878" i="9" s="1"/>
  <c r="DA879" i="9"/>
  <c r="IA879" i="9" s="1"/>
  <c r="FV884" i="9"/>
  <c r="EU891" i="9"/>
  <c r="IA891" i="9" s="1"/>
  <c r="HN900" i="9"/>
  <c r="HI904" i="9"/>
  <c r="HJ904" i="9" s="1"/>
  <c r="HN904" i="9" s="1"/>
  <c r="FV910" i="9"/>
  <c r="FV912" i="9"/>
  <c r="BZ915" i="9"/>
  <c r="HZ915" i="9" s="1"/>
  <c r="CA916" i="9"/>
  <c r="EY916" i="9" s="1"/>
  <c r="IA916" i="9" s="1"/>
  <c r="BZ916" i="9"/>
  <c r="EX916" i="9" s="1"/>
  <c r="HZ916" i="9" s="1"/>
  <c r="CZ921" i="9"/>
  <c r="HZ921" i="9" s="1"/>
  <c r="EW924" i="9"/>
  <c r="HY924" i="9" s="1"/>
  <c r="DA925" i="9"/>
  <c r="CZ925" i="9"/>
  <c r="FV927" i="9"/>
  <c r="CA931" i="9"/>
  <c r="IA931" i="9" s="1"/>
  <c r="HY931" i="9"/>
  <c r="BY934" i="9"/>
  <c r="EW934" i="9"/>
  <c r="HY934" i="9" s="1"/>
  <c r="HC969" i="9"/>
  <c r="CZ971" i="9"/>
  <c r="HZ971" i="9" s="1"/>
  <c r="DA971" i="9"/>
  <c r="BZ986" i="9"/>
  <c r="HZ986" i="9" s="1"/>
  <c r="HY986" i="9"/>
  <c r="CA986" i="9"/>
  <c r="IA986" i="9" s="1"/>
  <c r="GG1001" i="9"/>
  <c r="CZ1004" i="9"/>
  <c r="HZ1004" i="9" s="1"/>
  <c r="DA1004" i="9"/>
  <c r="IA1004" i="9" s="1"/>
  <c r="CZ1011" i="9"/>
  <c r="HZ1011" i="9" s="1"/>
  <c r="HY1011" i="9"/>
  <c r="DA1011" i="9"/>
  <c r="GG913" i="9"/>
  <c r="HY918" i="9"/>
  <c r="FV919" i="9"/>
  <c r="HN931" i="9"/>
  <c r="HN938" i="9"/>
  <c r="HC945" i="9"/>
  <c r="FI946" i="9"/>
  <c r="HC946" i="9"/>
  <c r="FV972" i="9"/>
  <c r="HN981" i="9"/>
  <c r="IA1003" i="9"/>
  <c r="HN1004" i="9"/>
  <c r="GG1011" i="9"/>
  <c r="HN1016" i="9"/>
  <c r="FI1019" i="9"/>
  <c r="FI1023" i="9"/>
  <c r="HN1028" i="9"/>
  <c r="GG1029" i="9"/>
  <c r="FI1030" i="9"/>
  <c r="GG1031" i="9"/>
  <c r="DA1033" i="9"/>
  <c r="IA1033" i="9" s="1"/>
  <c r="HN1034" i="9"/>
  <c r="GG961" i="9"/>
  <c r="GR971" i="9"/>
  <c r="HN977" i="9"/>
  <c r="HN1014" i="9"/>
  <c r="FI924" i="9"/>
  <c r="HN930" i="9"/>
  <c r="BZ933" i="9"/>
  <c r="FV938" i="9"/>
  <c r="HY946" i="9"/>
  <c r="EY960" i="9"/>
  <c r="BZ963" i="9"/>
  <c r="HY975" i="9"/>
  <c r="FV978" i="9"/>
  <c r="FV993" i="9"/>
  <c r="DA996" i="9"/>
  <c r="BZ1000" i="9"/>
  <c r="HN1001" i="9"/>
  <c r="HV1003" i="9"/>
  <c r="HN1003" i="9"/>
  <c r="FV1005" i="9"/>
  <c r="FV1006" i="9"/>
  <c r="HV1014" i="9"/>
  <c r="GG1014" i="9"/>
  <c r="GG1015" i="9"/>
  <c r="GG1016" i="9"/>
  <c r="FV1017" i="9"/>
  <c r="FV1022" i="9"/>
  <c r="FV1024" i="9"/>
  <c r="CZ1026" i="9"/>
  <c r="HZ1026" i="9" s="1"/>
  <c r="FI1027" i="9"/>
  <c r="GG1032" i="9"/>
  <c r="FI1033" i="9"/>
  <c r="HN918" i="9"/>
  <c r="FI926" i="9"/>
  <c r="FV937" i="9"/>
  <c r="HN942" i="9"/>
  <c r="AZ943" i="9"/>
  <c r="HY945" i="9"/>
  <c r="GG949" i="9"/>
  <c r="EY963" i="9"/>
  <c r="GR967" i="9"/>
  <c r="GR969" i="9"/>
  <c r="FV971" i="9"/>
  <c r="FV977" i="9"/>
  <c r="GF981" i="9"/>
  <c r="GD984" i="9"/>
  <c r="HY993" i="9"/>
  <c r="HY998" i="9"/>
  <c r="HN1009" i="9"/>
  <c r="FI1016" i="9"/>
  <c r="FI1017" i="9"/>
  <c r="HN1020" i="9"/>
  <c r="FI1022" i="9"/>
  <c r="HY914" i="9"/>
  <c r="CZ936" i="9"/>
  <c r="HZ936" i="9" s="1"/>
  <c r="BA948" i="9"/>
  <c r="HZ948" i="9" s="1"/>
  <c r="BA954" i="9"/>
  <c r="HZ954" i="9" s="1"/>
  <c r="EW963" i="9"/>
  <c r="HY963" i="9" s="1"/>
  <c r="DA965" i="9"/>
  <c r="HN965" i="9"/>
  <c r="GG966" i="9"/>
  <c r="GR970" i="9"/>
  <c r="HN972" i="9"/>
  <c r="FI974" i="9"/>
  <c r="GR976" i="9"/>
  <c r="GG981" i="9"/>
  <c r="HY981" i="9"/>
  <c r="GE983" i="9"/>
  <c r="HY990" i="9"/>
  <c r="IA993" i="9"/>
  <c r="GR1004" i="9"/>
  <c r="GR1005" i="9"/>
  <c r="GR1006" i="9"/>
  <c r="HY1015" i="9"/>
  <c r="HN1017" i="9"/>
  <c r="HN1018" i="9"/>
  <c r="GG1019" i="9"/>
  <c r="DA1020" i="9"/>
  <c r="CZ1025" i="9"/>
  <c r="HZ1025" i="9" s="1"/>
  <c r="GG1026" i="9"/>
  <c r="DA1028" i="9"/>
  <c r="FI1029" i="9"/>
  <c r="GG1030" i="9"/>
  <c r="DA1032" i="9"/>
  <c r="HN1033" i="9"/>
  <c r="GG919" i="9"/>
  <c r="EW923" i="9"/>
  <c r="HY923" i="9" s="1"/>
  <c r="FV930" i="9"/>
  <c r="DA936" i="9"/>
  <c r="HV945" i="9"/>
  <c r="GR948" i="9"/>
  <c r="FV949" i="9"/>
  <c r="BB954" i="9"/>
  <c r="IA954" i="9" s="1"/>
  <c r="GG962" i="9"/>
  <c r="HC965" i="9"/>
  <c r="HN975" i="9"/>
  <c r="GD981" i="9"/>
  <c r="IA981" i="9"/>
  <c r="GG983" i="9"/>
  <c r="GE984" i="9"/>
  <c r="HV998" i="9"/>
  <c r="HV1006" i="9"/>
  <c r="HX939" i="9"/>
  <c r="HV939" i="9" s="1"/>
  <c r="HN943" i="9"/>
  <c r="GG959" i="9"/>
  <c r="GR965" i="9"/>
  <c r="GG967" i="9"/>
  <c r="GR975" i="9"/>
  <c r="FI1013" i="9"/>
  <c r="FI1014" i="9"/>
  <c r="GG1027" i="9"/>
  <c r="FI1028" i="9"/>
  <c r="CZ1030" i="9"/>
  <c r="HZ1030" i="9" s="1"/>
  <c r="FI1032" i="9"/>
  <c r="BB40" i="9"/>
  <c r="IA40" i="9" s="1"/>
  <c r="HY40" i="9"/>
  <c r="BA40" i="9"/>
  <c r="HZ40" i="9" s="1"/>
  <c r="EW13" i="9"/>
  <c r="HY13" i="9" s="1"/>
  <c r="AZ13" i="9"/>
  <c r="BA14" i="9"/>
  <c r="HZ14" i="9" s="1"/>
  <c r="HY21" i="9"/>
  <c r="BB21" i="9"/>
  <c r="BA21" i="9"/>
  <c r="HZ21" i="9" s="1"/>
  <c r="HY24" i="9"/>
  <c r="DA24" i="9"/>
  <c r="CZ24" i="9"/>
  <c r="HZ24" i="9" s="1"/>
  <c r="DA26" i="9"/>
  <c r="CZ26" i="9"/>
  <c r="HZ26" i="9" s="1"/>
  <c r="BB37" i="9"/>
  <c r="IA37" i="9" s="1"/>
  <c r="HY37" i="9"/>
  <c r="BA37" i="9"/>
  <c r="HZ37" i="9" s="1"/>
  <c r="BB44" i="9"/>
  <c r="BA44" i="9"/>
  <c r="HZ44" i="9" s="1"/>
  <c r="HY44" i="9"/>
  <c r="HY50" i="9"/>
  <c r="BB50" i="9"/>
  <c r="IA50" i="9" s="1"/>
  <c r="HY54" i="9"/>
  <c r="BB54" i="9"/>
  <c r="IA54" i="9" s="1"/>
  <c r="HB143" i="9"/>
  <c r="HA143" i="9"/>
  <c r="GZ143" i="9"/>
  <c r="GX143" i="9"/>
  <c r="GY143" i="9" s="1"/>
  <c r="HC143" i="9" s="1"/>
  <c r="HX188" i="9"/>
  <c r="HV188" i="9" s="1"/>
  <c r="IA188" i="9"/>
  <c r="BB22" i="9"/>
  <c r="BA22" i="9"/>
  <c r="HZ22" i="9" s="1"/>
  <c r="BB46" i="9"/>
  <c r="BA46" i="9"/>
  <c r="HZ46" i="9" s="1"/>
  <c r="HY29" i="9"/>
  <c r="CA29" i="9"/>
  <c r="IA29" i="9" s="1"/>
  <c r="BB33" i="9"/>
  <c r="EY33" i="9" s="1"/>
  <c r="IA33" i="9" s="1"/>
  <c r="BA33" i="9"/>
  <c r="EX33" i="9" s="1"/>
  <c r="HZ33" i="9" s="1"/>
  <c r="GG38" i="9"/>
  <c r="GF38" i="9"/>
  <c r="GE38" i="9"/>
  <c r="GD38" i="9"/>
  <c r="HY41" i="9"/>
  <c r="BB41" i="9"/>
  <c r="HY43" i="9"/>
  <c r="BB43" i="9"/>
  <c r="BA43" i="9"/>
  <c r="HZ43" i="9" s="1"/>
  <c r="GR50" i="9"/>
  <c r="HY51" i="9"/>
  <c r="BB51" i="9"/>
  <c r="IA51" i="9" s="1"/>
  <c r="GR54" i="9"/>
  <c r="HY55" i="9"/>
  <c r="BB55" i="9"/>
  <c r="IA55" i="9" s="1"/>
  <c r="CA71" i="9"/>
  <c r="BZ71" i="9"/>
  <c r="HZ71" i="9" s="1"/>
  <c r="HY71" i="9"/>
  <c r="FI72" i="9"/>
  <c r="BZ76" i="9"/>
  <c r="HZ76" i="9" s="1"/>
  <c r="HY76" i="9"/>
  <c r="CA76" i="9"/>
  <c r="CA77" i="9"/>
  <c r="BZ77" i="9"/>
  <c r="HZ77" i="9" s="1"/>
  <c r="HY77" i="9"/>
  <c r="HN79" i="9"/>
  <c r="DA135" i="9"/>
  <c r="IA135" i="9" s="1"/>
  <c r="HY135" i="9"/>
  <c r="CZ135" i="9"/>
  <c r="HZ135" i="9" s="1"/>
  <c r="ET164" i="9"/>
  <c r="EU164" i="9"/>
  <c r="HY17" i="9"/>
  <c r="CZ17" i="9"/>
  <c r="HZ17" i="9" s="1"/>
  <c r="DA17" i="9"/>
  <c r="HY20" i="9"/>
  <c r="BB20" i="9"/>
  <c r="BA20" i="9"/>
  <c r="HZ20" i="9" s="1"/>
  <c r="GF36" i="9"/>
  <c r="GE36" i="9"/>
  <c r="GD36" i="9"/>
  <c r="BB39" i="9"/>
  <c r="IA39" i="9" s="1"/>
  <c r="HY39" i="9"/>
  <c r="BA39" i="9"/>
  <c r="HZ39" i="9" s="1"/>
  <c r="HY42" i="9"/>
  <c r="BB42" i="9"/>
  <c r="BA42" i="9"/>
  <c r="HZ42" i="9" s="1"/>
  <c r="HY64" i="9"/>
  <c r="DA64" i="9"/>
  <c r="IA64" i="9" s="1"/>
  <c r="HY67" i="9"/>
  <c r="DU67" i="9"/>
  <c r="IA67" i="9" s="1"/>
  <c r="DT67" i="9"/>
  <c r="HZ67" i="9" s="1"/>
  <c r="DU69" i="9"/>
  <c r="IA69" i="9" s="1"/>
  <c r="DT69" i="9"/>
  <c r="HZ69" i="9" s="1"/>
  <c r="HY69" i="9"/>
  <c r="HN70" i="9"/>
  <c r="DA104" i="9"/>
  <c r="HY104" i="9"/>
  <c r="CZ104" i="9"/>
  <c r="HZ104" i="9" s="1"/>
  <c r="CZ113" i="9"/>
  <c r="HZ113" i="9" s="1"/>
  <c r="HY113" i="9"/>
  <c r="DA113" i="9"/>
  <c r="IA113" i="9" s="1"/>
  <c r="FV143" i="9"/>
  <c r="GQ158" i="9"/>
  <c r="GP158" i="9"/>
  <c r="GO158" i="9"/>
  <c r="GM158" i="9"/>
  <c r="GN158" i="9" s="1"/>
  <c r="GR158" i="9" s="1"/>
  <c r="BA34" i="9"/>
  <c r="BB34" i="9"/>
  <c r="HY52" i="9"/>
  <c r="BB52" i="9"/>
  <c r="IA52" i="9" s="1"/>
  <c r="HY56" i="9"/>
  <c r="BB56" i="9"/>
  <c r="IA56" i="9" s="1"/>
  <c r="HY60" i="9"/>
  <c r="BB60" i="9"/>
  <c r="BA60" i="9"/>
  <c r="HZ60" i="9" s="1"/>
  <c r="HY66" i="9"/>
  <c r="DA66" i="9"/>
  <c r="IA66" i="9" s="1"/>
  <c r="CZ66" i="9"/>
  <c r="HZ66" i="9" s="1"/>
  <c r="CA73" i="9"/>
  <c r="BZ73" i="9"/>
  <c r="HZ73" i="9" s="1"/>
  <c r="HY73" i="9"/>
  <c r="DA94" i="9"/>
  <c r="IA94" i="9" s="1"/>
  <c r="CZ94" i="9"/>
  <c r="HZ94" i="9" s="1"/>
  <c r="HY94" i="9"/>
  <c r="HY103" i="9"/>
  <c r="DA103" i="9"/>
  <c r="CZ103" i="9"/>
  <c r="HZ103" i="9" s="1"/>
  <c r="CZ109" i="9"/>
  <c r="HZ109" i="9" s="1"/>
  <c r="HY109" i="9"/>
  <c r="DA109" i="9"/>
  <c r="IA109" i="9" s="1"/>
  <c r="DA147" i="9"/>
  <c r="IA147" i="9" s="1"/>
  <c r="CZ147" i="9"/>
  <c r="HZ147" i="9" s="1"/>
  <c r="CZ156" i="9"/>
  <c r="HZ156" i="9" s="1"/>
  <c r="HY156" i="9"/>
  <c r="DA156" i="9"/>
  <c r="IA156" i="9" s="1"/>
  <c r="BZ13" i="9"/>
  <c r="CA10" i="9"/>
  <c r="HY10" i="9"/>
  <c r="HY14" i="9"/>
  <c r="BZ29" i="9"/>
  <c r="HZ29" i="9" s="1"/>
  <c r="CA31" i="9"/>
  <c r="BZ31" i="9"/>
  <c r="CA34" i="9"/>
  <c r="BZ34" i="9"/>
  <c r="IA48" i="9"/>
  <c r="HX48" i="9"/>
  <c r="HV48" i="9" s="1"/>
  <c r="BA52" i="9"/>
  <c r="HZ52" i="9" s="1"/>
  <c r="BA56" i="9"/>
  <c r="HZ56" i="9" s="1"/>
  <c r="BB61" i="9"/>
  <c r="IA61" i="9" s="1"/>
  <c r="BA61" i="9"/>
  <c r="HZ61" i="9" s="1"/>
  <c r="HY61" i="9"/>
  <c r="HY65" i="9"/>
  <c r="DA65" i="9"/>
  <c r="IA65" i="9" s="1"/>
  <c r="CZ65" i="9"/>
  <c r="HZ65" i="9" s="1"/>
  <c r="GG68" i="9"/>
  <c r="GF68" i="9"/>
  <c r="GE68" i="9"/>
  <c r="GD68" i="9"/>
  <c r="HY70" i="9"/>
  <c r="CA70" i="9"/>
  <c r="BZ70" i="9"/>
  <c r="HZ70" i="9" s="1"/>
  <c r="GG70" i="9"/>
  <c r="HN72" i="9"/>
  <c r="HN74" i="9"/>
  <c r="BZ75" i="9"/>
  <c r="HZ75" i="9" s="1"/>
  <c r="HY75" i="9"/>
  <c r="CA75" i="9"/>
  <c r="GD75" i="9"/>
  <c r="FY75" i="9"/>
  <c r="FZ75" i="9" s="1"/>
  <c r="GG75" i="9" s="1"/>
  <c r="GJ78" i="9"/>
  <c r="GK78" i="9" s="1"/>
  <c r="GR78" i="9" s="1"/>
  <c r="GQ78" i="9"/>
  <c r="GP78" i="9"/>
  <c r="GO78" i="9"/>
  <c r="DA118" i="9"/>
  <c r="IA118" i="9" s="1"/>
  <c r="HY118" i="9"/>
  <c r="CZ118" i="9"/>
  <c r="HZ118" i="9" s="1"/>
  <c r="HY122" i="9"/>
  <c r="DA122" i="9"/>
  <c r="IA122" i="9" s="1"/>
  <c r="CZ122" i="9"/>
  <c r="HZ122" i="9" s="1"/>
  <c r="DA141" i="9"/>
  <c r="IA141" i="9" s="1"/>
  <c r="CZ141" i="9"/>
  <c r="HZ141" i="9" s="1"/>
  <c r="HY141" i="9"/>
  <c r="BB9" i="9"/>
  <c r="BA9" i="9"/>
  <c r="HZ9" i="9" s="1"/>
  <c r="HX45" i="9"/>
  <c r="HV45" i="9" s="1"/>
  <c r="IA45" i="9"/>
  <c r="DA28" i="9"/>
  <c r="IA28" i="9" s="1"/>
  <c r="CZ28" i="9"/>
  <c r="HZ28" i="9" s="1"/>
  <c r="HY49" i="9"/>
  <c r="BB49" i="9"/>
  <c r="IA49" i="9" s="1"/>
  <c r="GR52" i="9"/>
  <c r="HY53" i="9"/>
  <c r="BB53" i="9"/>
  <c r="IA53" i="9" s="1"/>
  <c r="GR56" i="9"/>
  <c r="HY57" i="9"/>
  <c r="BB57" i="9"/>
  <c r="HY59" i="9"/>
  <c r="BB59" i="9"/>
  <c r="BA59" i="9"/>
  <c r="HZ59" i="9" s="1"/>
  <c r="DA127" i="9"/>
  <c r="IA127" i="9" s="1"/>
  <c r="CZ127" i="9"/>
  <c r="HZ127" i="9" s="1"/>
  <c r="HY127" i="9"/>
  <c r="DA149" i="9"/>
  <c r="IA149" i="9" s="1"/>
  <c r="CZ149" i="9"/>
  <c r="HZ149" i="9" s="1"/>
  <c r="HY149" i="9"/>
  <c r="CZ163" i="9"/>
  <c r="HZ163" i="9" s="1"/>
  <c r="HY163" i="9"/>
  <c r="DA163" i="9"/>
  <c r="IA163" i="9" s="1"/>
  <c r="HX172" i="9"/>
  <c r="HV172" i="9" s="1"/>
  <c r="IA172" i="9"/>
  <c r="DA145" i="9"/>
  <c r="IA145" i="9" s="1"/>
  <c r="HY145" i="9"/>
  <c r="IA8" i="9"/>
  <c r="HX8" i="9"/>
  <c r="HV8" i="9" s="1"/>
  <c r="DA18" i="9"/>
  <c r="CZ18" i="9"/>
  <c r="HZ18" i="9" s="1"/>
  <c r="HY58" i="9"/>
  <c r="BB58" i="9"/>
  <c r="BA58" i="9"/>
  <c r="HZ58" i="9" s="1"/>
  <c r="HY72" i="9"/>
  <c r="CA72" i="9"/>
  <c r="BZ72" i="9"/>
  <c r="HZ72" i="9" s="1"/>
  <c r="GG72" i="9"/>
  <c r="GF75" i="9"/>
  <c r="HN81" i="9"/>
  <c r="HY82" i="9"/>
  <c r="CZ82" i="9"/>
  <c r="HZ82" i="9" s="1"/>
  <c r="DA82" i="9"/>
  <c r="HX84" i="9"/>
  <c r="HV84" i="9" s="1"/>
  <c r="IA84" i="9"/>
  <c r="DA143" i="9"/>
  <c r="IA143" i="9" s="1"/>
  <c r="CZ143" i="9"/>
  <c r="HZ143" i="9" s="1"/>
  <c r="HY143" i="9"/>
  <c r="HY147" i="9"/>
  <c r="DA153" i="9"/>
  <c r="IA153" i="9" s="1"/>
  <c r="HY153" i="9"/>
  <c r="CZ153" i="9"/>
  <c r="HZ153" i="9" s="1"/>
  <c r="GX79" i="9"/>
  <c r="GY79" i="9" s="1"/>
  <c r="HC79" i="9" s="1"/>
  <c r="HB79" i="9"/>
  <c r="GZ79" i="9"/>
  <c r="BB91" i="9"/>
  <c r="IA91" i="9" s="1"/>
  <c r="BA91" i="9"/>
  <c r="HZ91" i="9" s="1"/>
  <c r="HY91" i="9"/>
  <c r="HY108" i="9"/>
  <c r="DA108" i="9"/>
  <c r="IA108" i="9" s="1"/>
  <c r="CZ108" i="9"/>
  <c r="HZ108" i="9" s="1"/>
  <c r="HY111" i="9"/>
  <c r="DA111" i="9"/>
  <c r="IA111" i="9" s="1"/>
  <c r="CZ111" i="9"/>
  <c r="HZ111" i="9" s="1"/>
  <c r="BA3" i="9"/>
  <c r="HZ3" i="9" s="1"/>
  <c r="BZ11" i="9"/>
  <c r="HZ11" i="9" s="1"/>
  <c r="CZ19" i="9"/>
  <c r="HZ19" i="9" s="1"/>
  <c r="GF19" i="9"/>
  <c r="GD20" i="9"/>
  <c r="BA23" i="9"/>
  <c r="HZ23" i="9" s="1"/>
  <c r="DA27" i="9"/>
  <c r="IA27" i="9" s="1"/>
  <c r="BA35" i="9"/>
  <c r="HZ35" i="9" s="1"/>
  <c r="GF35" i="9"/>
  <c r="HY45" i="9"/>
  <c r="BB47" i="9"/>
  <c r="BA48" i="9"/>
  <c r="HZ48" i="9" s="1"/>
  <c r="BA63" i="9"/>
  <c r="HZ63" i="9" s="1"/>
  <c r="GD65" i="9"/>
  <c r="BZ74" i="9"/>
  <c r="HZ74" i="9" s="1"/>
  <c r="GD74" i="9"/>
  <c r="GE75" i="9"/>
  <c r="FY77" i="9"/>
  <c r="FZ77" i="9" s="1"/>
  <c r="GG77" i="9" s="1"/>
  <c r="BA78" i="9"/>
  <c r="HZ78" i="9" s="1"/>
  <c r="GO79" i="9"/>
  <c r="GQ79" i="9"/>
  <c r="GP79" i="9"/>
  <c r="HA79" i="9"/>
  <c r="GP84" i="9"/>
  <c r="CZ101" i="9"/>
  <c r="EX101" i="9" s="1"/>
  <c r="HZ101" i="9" s="1"/>
  <c r="GE105" i="9"/>
  <c r="GF105" i="9"/>
  <c r="FV106" i="9"/>
  <c r="HY112" i="9"/>
  <c r="FV116" i="9"/>
  <c r="HY119" i="9"/>
  <c r="DA119" i="9"/>
  <c r="IA119" i="9" s="1"/>
  <c r="CZ119" i="9"/>
  <c r="HZ119" i="9" s="1"/>
  <c r="FV125" i="9"/>
  <c r="DA136" i="9"/>
  <c r="IA136" i="9" s="1"/>
  <c r="HY136" i="9"/>
  <c r="CZ136" i="9"/>
  <c r="HZ136" i="9" s="1"/>
  <c r="CZ137" i="9"/>
  <c r="HZ137" i="9" s="1"/>
  <c r="FV139" i="9"/>
  <c r="GZ142" i="9"/>
  <c r="HC148" i="9"/>
  <c r="HA150" i="9"/>
  <c r="FV155" i="9"/>
  <c r="GJ159" i="9"/>
  <c r="GK159" i="9" s="1"/>
  <c r="HC160" i="9"/>
  <c r="GM161" i="9"/>
  <c r="GN161" i="9" s="1"/>
  <c r="GR161" i="9" s="1"/>
  <c r="GQ161" i="9"/>
  <c r="GP161" i="9"/>
  <c r="GO161" i="9"/>
  <c r="GR162" i="9"/>
  <c r="GO163" i="9"/>
  <c r="GQ163" i="9"/>
  <c r="GP163" i="9"/>
  <c r="HB164" i="9"/>
  <c r="FV167" i="9"/>
  <c r="DA168" i="9"/>
  <c r="HN171" i="9"/>
  <c r="FV174" i="9"/>
  <c r="FV180" i="9"/>
  <c r="FV183" i="9"/>
  <c r="HN184" i="9"/>
  <c r="IA191" i="9"/>
  <c r="HX191" i="9"/>
  <c r="HV191" i="9" s="1"/>
  <c r="HY191" i="9"/>
  <c r="HY203" i="9"/>
  <c r="DA238" i="9"/>
  <c r="EY238" i="9" s="1"/>
  <c r="CZ238" i="9"/>
  <c r="EX238" i="9" s="1"/>
  <c r="HZ238" i="9" s="1"/>
  <c r="HY247" i="9"/>
  <c r="EU247" i="9"/>
  <c r="IA247" i="9" s="1"/>
  <c r="ET247" i="9"/>
  <c r="HZ247" i="9" s="1"/>
  <c r="IA250" i="9"/>
  <c r="HX250" i="9"/>
  <c r="HV250" i="9" s="1"/>
  <c r="HY251" i="9"/>
  <c r="BB251" i="9"/>
  <c r="BA251" i="9"/>
  <c r="HZ251" i="9" s="1"/>
  <c r="BB252" i="9"/>
  <c r="BA252" i="9"/>
  <c r="HZ252" i="9" s="1"/>
  <c r="HY252" i="9"/>
  <c r="HY270" i="9"/>
  <c r="BZ270" i="9"/>
  <c r="HZ270" i="9" s="1"/>
  <c r="CA270" i="9"/>
  <c r="IA270" i="9" s="1"/>
  <c r="IA175" i="9"/>
  <c r="HX175" i="9"/>
  <c r="HV175" i="9" s="1"/>
  <c r="BY12" i="9"/>
  <c r="EW34" i="9"/>
  <c r="HY34" i="9" s="1"/>
  <c r="GE40" i="9"/>
  <c r="GP49" i="9"/>
  <c r="GP50" i="9"/>
  <c r="GP51" i="9"/>
  <c r="GP52" i="9"/>
  <c r="GP53" i="9"/>
  <c r="GP54" i="9"/>
  <c r="GP55" i="9"/>
  <c r="GP56" i="9"/>
  <c r="GE66" i="9"/>
  <c r="GZ80" i="9"/>
  <c r="GM83" i="9"/>
  <c r="GN83" i="9" s="1"/>
  <c r="GR83" i="9" s="1"/>
  <c r="GQ83" i="9"/>
  <c r="GO83" i="9"/>
  <c r="FV85" i="9"/>
  <c r="FV86" i="9"/>
  <c r="DA88" i="9"/>
  <c r="IA88" i="9" s="1"/>
  <c r="HY88" i="9"/>
  <c r="FV89" i="9"/>
  <c r="DA93" i="9"/>
  <c r="IA93" i="9" s="1"/>
  <c r="HY93" i="9"/>
  <c r="CZ93" i="9"/>
  <c r="HZ93" i="9" s="1"/>
  <c r="HY95" i="9"/>
  <c r="FV96" i="9"/>
  <c r="FV105" i="9"/>
  <c r="HX107" i="9"/>
  <c r="HV107" i="9" s="1"/>
  <c r="DA110" i="9"/>
  <c r="IA110" i="9" s="1"/>
  <c r="HY110" i="9"/>
  <c r="FV121" i="9"/>
  <c r="FV131" i="9"/>
  <c r="GG135" i="9"/>
  <c r="HB142" i="9"/>
  <c r="DA146" i="9"/>
  <c r="IA146" i="9" s="1"/>
  <c r="CZ146" i="9"/>
  <c r="HZ146" i="9" s="1"/>
  <c r="HY146" i="9"/>
  <c r="HA148" i="9"/>
  <c r="HB149" i="9"/>
  <c r="HA149" i="9"/>
  <c r="GZ149" i="9"/>
  <c r="GR151" i="9"/>
  <c r="GG153" i="9"/>
  <c r="GP159" i="9"/>
  <c r="HA161" i="9"/>
  <c r="GZ161" i="9"/>
  <c r="GP162" i="9"/>
  <c r="EW164" i="9"/>
  <c r="HY164" i="9" s="1"/>
  <c r="FV164" i="9"/>
  <c r="GQ164" i="9"/>
  <c r="HN168" i="9"/>
  <c r="FV170" i="9"/>
  <c r="CZ172" i="9"/>
  <c r="EX172" i="9" s="1"/>
  <c r="HZ172" i="9" s="1"/>
  <c r="CY179" i="9"/>
  <c r="IA183" i="9"/>
  <c r="HX183" i="9"/>
  <c r="HV183" i="9" s="1"/>
  <c r="HY183" i="9"/>
  <c r="BB189" i="9"/>
  <c r="BA189" i="9"/>
  <c r="HZ189" i="9" s="1"/>
  <c r="HY189" i="9"/>
  <c r="HN194" i="9"/>
  <c r="FV199" i="9"/>
  <c r="EU213" i="9"/>
  <c r="ET213" i="9"/>
  <c r="HZ213" i="9" s="1"/>
  <c r="FV249" i="9"/>
  <c r="CA258" i="9"/>
  <c r="EY258" i="9" s="1"/>
  <c r="BZ258" i="9"/>
  <c r="BB263" i="9"/>
  <c r="EY263" i="9" s="1"/>
  <c r="IA263" i="9" s="1"/>
  <c r="BA263" i="9"/>
  <c r="HY218" i="9"/>
  <c r="EU218" i="9"/>
  <c r="IA218" i="9" s="1"/>
  <c r="ET218" i="9"/>
  <c r="HZ218" i="9" s="1"/>
  <c r="HY30" i="9"/>
  <c r="GF40" i="9"/>
  <c r="GF66" i="9"/>
  <c r="BZ79" i="9"/>
  <c r="HZ79" i="9" s="1"/>
  <c r="IA79" i="9"/>
  <c r="GP80" i="9"/>
  <c r="HA80" i="9"/>
  <c r="GX82" i="9"/>
  <c r="GY82" i="9" s="1"/>
  <c r="HC82" i="9" s="1"/>
  <c r="HB82" i="9"/>
  <c r="GZ82" i="9"/>
  <c r="GP83" i="9"/>
  <c r="HY85" i="9"/>
  <c r="FV87" i="9"/>
  <c r="CZ88" i="9"/>
  <c r="HZ88" i="9" s="1"/>
  <c r="FV91" i="9"/>
  <c r="DA92" i="9"/>
  <c r="IA92" i="9" s="1"/>
  <c r="HY92" i="9"/>
  <c r="CZ92" i="9"/>
  <c r="HZ92" i="9" s="1"/>
  <c r="HY98" i="9"/>
  <c r="HN103" i="9"/>
  <c r="CZ107" i="9"/>
  <c r="HZ107" i="9" s="1"/>
  <c r="FV108" i="9"/>
  <c r="CZ110" i="9"/>
  <c r="HZ110" i="9" s="1"/>
  <c r="FV111" i="9"/>
  <c r="HY120" i="9"/>
  <c r="DA120" i="9"/>
  <c r="IA120" i="9" s="1"/>
  <c r="CZ120" i="9"/>
  <c r="HZ120" i="9" s="1"/>
  <c r="HY133" i="9"/>
  <c r="BB140" i="9"/>
  <c r="IA140" i="9" s="1"/>
  <c r="HY140" i="9"/>
  <c r="BA140" i="9"/>
  <c r="HZ140" i="9" s="1"/>
  <c r="GZ144" i="9"/>
  <c r="HB148" i="9"/>
  <c r="GX149" i="9"/>
  <c r="GY149" i="9" s="1"/>
  <c r="HC149" i="9" s="1"/>
  <c r="FV158" i="9"/>
  <c r="GQ162" i="9"/>
  <c r="HY166" i="9"/>
  <c r="DA166" i="9"/>
  <c r="CZ166" i="9"/>
  <c r="HZ166" i="9" s="1"/>
  <c r="FV171" i="9"/>
  <c r="CY174" i="9"/>
  <c r="DA178" i="9"/>
  <c r="EY178" i="9" s="1"/>
  <c r="CZ178" i="9"/>
  <c r="EX178" i="9" s="1"/>
  <c r="HZ178" i="9" s="1"/>
  <c r="BA180" i="9"/>
  <c r="HZ180" i="9" s="1"/>
  <c r="HY180" i="9"/>
  <c r="FV182" i="9"/>
  <c r="BA183" i="9"/>
  <c r="HZ183" i="9" s="1"/>
  <c r="FV184" i="9"/>
  <c r="FV187" i="9"/>
  <c r="HN188" i="9"/>
  <c r="IA195" i="9"/>
  <c r="HX195" i="9"/>
  <c r="HV195" i="9" s="1"/>
  <c r="GG196" i="9"/>
  <c r="HY197" i="9"/>
  <c r="DU197" i="9"/>
  <c r="DT197" i="9"/>
  <c r="HZ197" i="9" s="1"/>
  <c r="HN206" i="9"/>
  <c r="BB207" i="9"/>
  <c r="BA207" i="9"/>
  <c r="HZ207" i="9" s="1"/>
  <c r="HY207" i="9"/>
  <c r="HY208" i="9"/>
  <c r="BB208" i="9"/>
  <c r="BA208" i="9"/>
  <c r="HZ208" i="9" s="1"/>
  <c r="GR218" i="9"/>
  <c r="FV219" i="9"/>
  <c r="HY241" i="9"/>
  <c r="EU241" i="9"/>
  <c r="IA241" i="9" s="1"/>
  <c r="ET241" i="9"/>
  <c r="HZ241" i="9" s="1"/>
  <c r="HX78" i="9"/>
  <c r="HV78" i="9" s="1"/>
  <c r="FV80" i="9"/>
  <c r="HB80" i="9"/>
  <c r="GZ81" i="9"/>
  <c r="HB81" i="9"/>
  <c r="HA81" i="9"/>
  <c r="GO82" i="9"/>
  <c r="GQ82" i="9"/>
  <c r="GP82" i="9"/>
  <c r="CZ83" i="9"/>
  <c r="HZ83" i="9" s="1"/>
  <c r="DA83" i="9"/>
  <c r="HY83" i="9"/>
  <c r="DA106" i="9"/>
  <c r="CZ106" i="9"/>
  <c r="HZ106" i="9" s="1"/>
  <c r="HY116" i="9"/>
  <c r="DA116" i="9"/>
  <c r="IA116" i="9" s="1"/>
  <c r="CZ116" i="9"/>
  <c r="HZ116" i="9" s="1"/>
  <c r="DA125" i="9"/>
  <c r="IA125" i="9" s="1"/>
  <c r="HY125" i="9"/>
  <c r="CZ125" i="9"/>
  <c r="HZ125" i="9" s="1"/>
  <c r="HY126" i="9"/>
  <c r="CZ126" i="9"/>
  <c r="HZ126" i="9" s="1"/>
  <c r="DA126" i="9"/>
  <c r="IA126" i="9" s="1"/>
  <c r="BB139" i="9"/>
  <c r="IA139" i="9" s="1"/>
  <c r="HY139" i="9"/>
  <c r="BA139" i="9"/>
  <c r="HZ139" i="9" s="1"/>
  <c r="DA142" i="9"/>
  <c r="IA142" i="9" s="1"/>
  <c r="CZ142" i="9"/>
  <c r="HZ142" i="9" s="1"/>
  <c r="HY142" i="9"/>
  <c r="HB145" i="9"/>
  <c r="HA145" i="9"/>
  <c r="GZ145" i="9"/>
  <c r="DU154" i="9"/>
  <c r="IA154" i="9" s="1"/>
  <c r="DT154" i="9"/>
  <c r="HZ154" i="9" s="1"/>
  <c r="DA161" i="9"/>
  <c r="IA161" i="9" s="1"/>
  <c r="CZ161" i="9"/>
  <c r="HZ161" i="9" s="1"/>
  <c r="DA167" i="9"/>
  <c r="CZ167" i="9"/>
  <c r="HZ167" i="9" s="1"/>
  <c r="DA169" i="9"/>
  <c r="HY169" i="9"/>
  <c r="CY176" i="9"/>
  <c r="EW176" i="9"/>
  <c r="HY176" i="9" s="1"/>
  <c r="BB181" i="9"/>
  <c r="BA181" i="9"/>
  <c r="HZ181" i="9" s="1"/>
  <c r="HY181" i="9"/>
  <c r="IA184" i="9"/>
  <c r="HY190" i="9"/>
  <c r="BB190" i="9"/>
  <c r="BA190" i="9"/>
  <c r="HZ190" i="9" s="1"/>
  <c r="BZ192" i="9"/>
  <c r="HZ192" i="9" s="1"/>
  <c r="HY192" i="9"/>
  <c r="BA209" i="9"/>
  <c r="HZ209" i="9" s="1"/>
  <c r="HY209" i="9"/>
  <c r="HY217" i="9"/>
  <c r="EU217" i="9"/>
  <c r="IA217" i="9" s="1"/>
  <c r="ET217" i="9"/>
  <c r="HZ217" i="9" s="1"/>
  <c r="HY228" i="9"/>
  <c r="EU228" i="9"/>
  <c r="IA228" i="9" s="1"/>
  <c r="ET228" i="9"/>
  <c r="HZ228" i="9" s="1"/>
  <c r="HY186" i="9"/>
  <c r="CA186" i="9"/>
  <c r="BZ186" i="9"/>
  <c r="HZ186" i="9" s="1"/>
  <c r="BA188" i="9"/>
  <c r="HZ188" i="9" s="1"/>
  <c r="HY188" i="9"/>
  <c r="HY240" i="9"/>
  <c r="EU240" i="9"/>
  <c r="IA240" i="9" s="1"/>
  <c r="ET240" i="9"/>
  <c r="HZ240" i="9" s="1"/>
  <c r="EU244" i="9"/>
  <c r="IA244" i="9" s="1"/>
  <c r="ET244" i="9"/>
  <c r="HZ244" i="9" s="1"/>
  <c r="HY244" i="9"/>
  <c r="EU248" i="9"/>
  <c r="EY248" i="9" s="1"/>
  <c r="IA248" i="9" s="1"/>
  <c r="ET248" i="9"/>
  <c r="EX248" i="9" s="1"/>
  <c r="HZ248" i="9" s="1"/>
  <c r="BA4" i="9"/>
  <c r="HZ4" i="9" s="1"/>
  <c r="BA5" i="9"/>
  <c r="HZ5" i="9" s="1"/>
  <c r="BA6" i="9"/>
  <c r="HZ6" i="9" s="1"/>
  <c r="BA7" i="9"/>
  <c r="HZ7" i="9" s="1"/>
  <c r="BA8" i="9"/>
  <c r="HZ8" i="9" s="1"/>
  <c r="BA12" i="9"/>
  <c r="BA16" i="9"/>
  <c r="HZ16" i="9" s="1"/>
  <c r="HY16" i="9"/>
  <c r="BA30" i="9"/>
  <c r="HZ30" i="9" s="1"/>
  <c r="AZ32" i="9"/>
  <c r="BA38" i="9"/>
  <c r="HZ38" i="9" s="1"/>
  <c r="HY38" i="9"/>
  <c r="BA45" i="9"/>
  <c r="HZ45" i="9" s="1"/>
  <c r="DT68" i="9"/>
  <c r="HZ68" i="9" s="1"/>
  <c r="GD77" i="9"/>
  <c r="HY78" i="9"/>
  <c r="HY80" i="9"/>
  <c r="CA80" i="9"/>
  <c r="BZ80" i="9"/>
  <c r="HZ80" i="9" s="1"/>
  <c r="GX81" i="9"/>
  <c r="GY81" i="9" s="1"/>
  <c r="HC81" i="9" s="1"/>
  <c r="GM82" i="9"/>
  <c r="GN82" i="9" s="1"/>
  <c r="GR82" i="9" s="1"/>
  <c r="HB84" i="9"/>
  <c r="GX84" i="9"/>
  <c r="GY84" i="9" s="1"/>
  <c r="HC84" i="9" s="1"/>
  <c r="HY87" i="9"/>
  <c r="HY89" i="9"/>
  <c r="DA89" i="9"/>
  <c r="IA89" i="9" s="1"/>
  <c r="CZ89" i="9"/>
  <c r="HZ89" i="9" s="1"/>
  <c r="DA97" i="9"/>
  <c r="IA97" i="9" s="1"/>
  <c r="HY97" i="9"/>
  <c r="CZ97" i="9"/>
  <c r="HZ97" i="9" s="1"/>
  <c r="CZ98" i="9"/>
  <c r="HZ98" i="9" s="1"/>
  <c r="HY102" i="9"/>
  <c r="DU102" i="9"/>
  <c r="IA102" i="9" s="1"/>
  <c r="DT102" i="9"/>
  <c r="HZ102" i="9" s="1"/>
  <c r="GE107" i="9"/>
  <c r="GD107" i="9"/>
  <c r="FV122" i="9"/>
  <c r="DA123" i="9"/>
  <c r="IA123" i="9" s="1"/>
  <c r="HY123" i="9"/>
  <c r="CZ123" i="9"/>
  <c r="HZ123" i="9" s="1"/>
  <c r="DA124" i="9"/>
  <c r="IA124" i="9" s="1"/>
  <c r="HY124" i="9"/>
  <c r="CZ124" i="9"/>
  <c r="HZ124" i="9" s="1"/>
  <c r="HY129" i="9"/>
  <c r="DA132" i="9"/>
  <c r="IA132" i="9" s="1"/>
  <c r="HY132" i="9"/>
  <c r="CZ132" i="9"/>
  <c r="HZ132" i="9" s="1"/>
  <c r="CZ133" i="9"/>
  <c r="HZ133" i="9" s="1"/>
  <c r="HY134" i="9"/>
  <c r="FV135" i="9"/>
  <c r="GG139" i="9"/>
  <c r="GX145" i="9"/>
  <c r="GY145" i="9" s="1"/>
  <c r="HC145" i="9" s="1"/>
  <c r="DA148" i="9"/>
  <c r="IA148" i="9" s="1"/>
  <c r="CZ148" i="9"/>
  <c r="HZ148" i="9" s="1"/>
  <c r="HY148" i="9"/>
  <c r="DT151" i="9"/>
  <c r="HZ151" i="9" s="1"/>
  <c r="DU151" i="9"/>
  <c r="IA151" i="9" s="1"/>
  <c r="GG155" i="9"/>
  <c r="HB158" i="9"/>
  <c r="HA158" i="9"/>
  <c r="GZ158" i="9"/>
  <c r="GZ163" i="9"/>
  <c r="HB163" i="9"/>
  <c r="HA163" i="9"/>
  <c r="HN167" i="9"/>
  <c r="CZ169" i="9"/>
  <c r="HZ169" i="9" s="1"/>
  <c r="HN180" i="9"/>
  <c r="IA187" i="9"/>
  <c r="HX187" i="9"/>
  <c r="HV187" i="9" s="1"/>
  <c r="HY187" i="9"/>
  <c r="CA192" i="9"/>
  <c r="CA193" i="9"/>
  <c r="BZ193" i="9"/>
  <c r="HZ193" i="9" s="1"/>
  <c r="HY193" i="9"/>
  <c r="FV202" i="9"/>
  <c r="BB209" i="9"/>
  <c r="BA210" i="9"/>
  <c r="HZ210" i="9" s="1"/>
  <c r="HY210" i="9"/>
  <c r="BB210" i="9"/>
  <c r="HY242" i="9"/>
  <c r="EU242" i="9"/>
  <c r="IA242" i="9" s="1"/>
  <c r="ET242" i="9"/>
  <c r="HZ242" i="9" s="1"/>
  <c r="FV244" i="9"/>
  <c r="EU249" i="9"/>
  <c r="EY249" i="9" s="1"/>
  <c r="IA249" i="9" s="1"/>
  <c r="ET249" i="9"/>
  <c r="EX249" i="9" s="1"/>
  <c r="HZ249" i="9" s="1"/>
  <c r="EU165" i="9"/>
  <c r="ET165" i="9"/>
  <c r="EX165" i="9" s="1"/>
  <c r="HZ165" i="9" s="1"/>
  <c r="DT200" i="9"/>
  <c r="HZ200" i="9" s="1"/>
  <c r="DU200" i="9"/>
  <c r="DU202" i="9"/>
  <c r="DT202" i="9"/>
  <c r="HZ202" i="9" s="1"/>
  <c r="HY202" i="9"/>
  <c r="HY8" i="9"/>
  <c r="GE77" i="9"/>
  <c r="GQ81" i="9"/>
  <c r="GM81" i="9"/>
  <c r="GN81" i="9" s="1"/>
  <c r="GR81" i="9" s="1"/>
  <c r="FV82" i="9"/>
  <c r="GO84" i="9"/>
  <c r="BB86" i="9"/>
  <c r="IA86" i="9" s="1"/>
  <c r="HY86" i="9"/>
  <c r="BA86" i="9"/>
  <c r="HZ86" i="9" s="1"/>
  <c r="DA96" i="9"/>
  <c r="IA96" i="9" s="1"/>
  <c r="HY96" i="9"/>
  <c r="CZ96" i="9"/>
  <c r="HZ96" i="9" s="1"/>
  <c r="HY105" i="9"/>
  <c r="DA105" i="9"/>
  <c r="CZ105" i="9"/>
  <c r="HZ105" i="9" s="1"/>
  <c r="GF106" i="9"/>
  <c r="GE106" i="9"/>
  <c r="GD106" i="9"/>
  <c r="HY106" i="9"/>
  <c r="CZ115" i="9"/>
  <c r="HZ115" i="9" s="1"/>
  <c r="HY121" i="9"/>
  <c r="DA121" i="9"/>
  <c r="IA121" i="9" s="1"/>
  <c r="CZ121" i="9"/>
  <c r="HZ121" i="9" s="1"/>
  <c r="GG123" i="9"/>
  <c r="GG130" i="9"/>
  <c r="DA131" i="9"/>
  <c r="IA131" i="9" s="1"/>
  <c r="HY131" i="9"/>
  <c r="CZ131" i="9"/>
  <c r="HZ131" i="9" s="1"/>
  <c r="HY137" i="9"/>
  <c r="HB141" i="9"/>
  <c r="HA141" i="9"/>
  <c r="GZ141" i="9"/>
  <c r="HC150" i="9"/>
  <c r="HY151" i="9"/>
  <c r="EU158" i="9"/>
  <c r="IA158" i="9" s="1"/>
  <c r="ET158" i="9"/>
  <c r="HZ158" i="9" s="1"/>
  <c r="HC158" i="9"/>
  <c r="HC163" i="9"/>
  <c r="HA164" i="9"/>
  <c r="HY170" i="9"/>
  <c r="BB170" i="9"/>
  <c r="BA170" i="9"/>
  <c r="HZ170" i="9" s="1"/>
  <c r="FV179" i="9"/>
  <c r="HY182" i="9"/>
  <c r="BB182" i="9"/>
  <c r="BA182" i="9"/>
  <c r="HZ182" i="9" s="1"/>
  <c r="HN183" i="9"/>
  <c r="BZ184" i="9"/>
  <c r="HZ184" i="9" s="1"/>
  <c r="HY184" i="9"/>
  <c r="FV186" i="9"/>
  <c r="BZ187" i="9"/>
  <c r="HZ187" i="9" s="1"/>
  <c r="FV188" i="9"/>
  <c r="FV191" i="9"/>
  <c r="HN192" i="9"/>
  <c r="DU199" i="9"/>
  <c r="DT199" i="9"/>
  <c r="HZ199" i="9" s="1"/>
  <c r="HY199" i="9"/>
  <c r="HN200" i="9"/>
  <c r="DT201" i="9"/>
  <c r="HZ201" i="9" s="1"/>
  <c r="HY201" i="9"/>
  <c r="HX203" i="9"/>
  <c r="HV203" i="9" s="1"/>
  <c r="GR203" i="9"/>
  <c r="GR217" i="9"/>
  <c r="EU220" i="9"/>
  <c r="IA220" i="9" s="1"/>
  <c r="HY220" i="9"/>
  <c r="ET220" i="9"/>
  <c r="HZ220" i="9" s="1"/>
  <c r="HY224" i="9"/>
  <c r="EU224" i="9"/>
  <c r="IA224" i="9" s="1"/>
  <c r="ET224" i="9"/>
  <c r="HZ224" i="9" s="1"/>
  <c r="HY229" i="9"/>
  <c r="EU229" i="9"/>
  <c r="IA229" i="9" s="1"/>
  <c r="ET229" i="9"/>
  <c r="HZ229" i="9" s="1"/>
  <c r="HY232" i="9"/>
  <c r="BB232" i="9"/>
  <c r="IA232" i="9" s="1"/>
  <c r="BA232" i="9"/>
  <c r="HZ232" i="9" s="1"/>
  <c r="HY236" i="9"/>
  <c r="DA236" i="9"/>
  <c r="CZ236" i="9"/>
  <c r="HZ236" i="9" s="1"/>
  <c r="IA237" i="9"/>
  <c r="HX237" i="9"/>
  <c r="HY246" i="9"/>
  <c r="EU246" i="9"/>
  <c r="IA246" i="9" s="1"/>
  <c r="ET246" i="9"/>
  <c r="HZ246" i="9" s="1"/>
  <c r="FV250" i="9"/>
  <c r="HC141" i="9"/>
  <c r="DA144" i="9"/>
  <c r="IA144" i="9" s="1"/>
  <c r="CZ144" i="9"/>
  <c r="HZ144" i="9" s="1"/>
  <c r="HY144" i="9"/>
  <c r="HB147" i="9"/>
  <c r="HA147" i="9"/>
  <c r="GZ147" i="9"/>
  <c r="DA160" i="9"/>
  <c r="IA160" i="9" s="1"/>
  <c r="HY160" i="9"/>
  <c r="HA160" i="9"/>
  <c r="HB160" i="9"/>
  <c r="BB171" i="9"/>
  <c r="BA171" i="9"/>
  <c r="HZ171" i="9" s="1"/>
  <c r="CA185" i="9"/>
  <c r="BZ185" i="9"/>
  <c r="HZ185" i="9" s="1"/>
  <c r="HY185" i="9"/>
  <c r="HY194" i="9"/>
  <c r="CA194" i="9"/>
  <c r="BZ194" i="9"/>
  <c r="HZ194" i="9" s="1"/>
  <c r="IA201" i="9"/>
  <c r="HY211" i="9"/>
  <c r="EU211" i="9"/>
  <c r="ET211" i="9"/>
  <c r="HZ211" i="9" s="1"/>
  <c r="EU215" i="9"/>
  <c r="IA215" i="9" s="1"/>
  <c r="ET215" i="9"/>
  <c r="HZ215" i="9" s="1"/>
  <c r="HY215" i="9"/>
  <c r="HY216" i="9"/>
  <c r="EU216" i="9"/>
  <c r="IA216" i="9" s="1"/>
  <c r="ET216" i="9"/>
  <c r="HZ216" i="9" s="1"/>
  <c r="EU219" i="9"/>
  <c r="IA219" i="9" s="1"/>
  <c r="HY219" i="9"/>
  <c r="ET219" i="9"/>
  <c r="HZ219" i="9" s="1"/>
  <c r="EU226" i="9"/>
  <c r="IA226" i="9" s="1"/>
  <c r="ET226" i="9"/>
  <c r="HZ226" i="9" s="1"/>
  <c r="HY226" i="9"/>
  <c r="HY239" i="9"/>
  <c r="EU239" i="9"/>
  <c r="IA239" i="9" s="1"/>
  <c r="ET239" i="9"/>
  <c r="HZ239" i="9" s="1"/>
  <c r="HY243" i="9"/>
  <c r="EU243" i="9"/>
  <c r="IA243" i="9" s="1"/>
  <c r="ET243" i="9"/>
  <c r="HZ243" i="9" s="1"/>
  <c r="HB78" i="9"/>
  <c r="GM80" i="9"/>
  <c r="GN80" i="9" s="1"/>
  <c r="GR80" i="9" s="1"/>
  <c r="HY100" i="9"/>
  <c r="HY150" i="9"/>
  <c r="GQ160" i="9"/>
  <c r="GM164" i="9"/>
  <c r="GN164" i="9" s="1"/>
  <c r="CY173" i="9"/>
  <c r="HY206" i="9"/>
  <c r="HY214" i="9"/>
  <c r="EU221" i="9"/>
  <c r="IA221" i="9" s="1"/>
  <c r="EU227" i="9"/>
  <c r="IA227" i="9" s="1"/>
  <c r="HY234" i="9"/>
  <c r="BB235" i="9"/>
  <c r="IA235" i="9" s="1"/>
  <c r="HK236" i="9"/>
  <c r="HM237" i="9"/>
  <c r="HW237" i="9" s="1"/>
  <c r="HL238" i="9"/>
  <c r="HY253" i="9"/>
  <c r="FV256" i="9"/>
  <c r="CA257" i="9"/>
  <c r="HY257" i="9"/>
  <c r="DU260" i="9"/>
  <c r="IA260" i="9" s="1"/>
  <c r="BB261" i="9"/>
  <c r="IA261" i="9" s="1"/>
  <c r="DT262" i="9"/>
  <c r="EX262" i="9" s="1"/>
  <c r="HZ262" i="9" s="1"/>
  <c r="FV268" i="9"/>
  <c r="GD268" i="9"/>
  <c r="GR269" i="9"/>
  <c r="FV273" i="9"/>
  <c r="CA277" i="9"/>
  <c r="GD278" i="9"/>
  <c r="HX278" i="9"/>
  <c r="HV278" i="9" s="1"/>
  <c r="DU283" i="9"/>
  <c r="DT283" i="9"/>
  <c r="HZ283" i="9" s="1"/>
  <c r="HY283" i="9"/>
  <c r="BZ292" i="9"/>
  <c r="HZ292" i="9" s="1"/>
  <c r="GG297" i="9"/>
  <c r="HN300" i="9"/>
  <c r="HX304" i="9"/>
  <c r="HV304" i="9" s="1"/>
  <c r="FV315" i="9"/>
  <c r="BA317" i="9"/>
  <c r="HZ317" i="9" s="1"/>
  <c r="HY317" i="9"/>
  <c r="FV318" i="9"/>
  <c r="BB320" i="9"/>
  <c r="IA320" i="9" s="1"/>
  <c r="BA320" i="9"/>
  <c r="HZ320" i="9" s="1"/>
  <c r="HY320" i="9"/>
  <c r="BA321" i="9"/>
  <c r="HZ321" i="9" s="1"/>
  <c r="HY321" i="9"/>
  <c r="HY322" i="9"/>
  <c r="BB322" i="9"/>
  <c r="IA322" i="9" s="1"/>
  <c r="BA322" i="9"/>
  <c r="HZ322" i="9" s="1"/>
  <c r="HY323" i="9"/>
  <c r="BB323" i="9"/>
  <c r="IA323" i="9" s="1"/>
  <c r="BA323" i="9"/>
  <c r="HZ323" i="9" s="1"/>
  <c r="HY339" i="9"/>
  <c r="DT339" i="9"/>
  <c r="HZ339" i="9" s="1"/>
  <c r="HY345" i="9"/>
  <c r="EU345" i="9"/>
  <c r="IA345" i="9" s="1"/>
  <c r="ET345" i="9"/>
  <c r="HZ345" i="9" s="1"/>
  <c r="EU348" i="9"/>
  <c r="ET348" i="9"/>
  <c r="EX348" i="9" s="1"/>
  <c r="HZ348" i="9" s="1"/>
  <c r="EY349" i="9"/>
  <c r="IA349" i="9" s="1"/>
  <c r="EU356" i="9"/>
  <c r="ET356" i="9"/>
  <c r="EX356" i="9" s="1"/>
  <c r="HZ356" i="9" s="1"/>
  <c r="HY400" i="9"/>
  <c r="BB400" i="9"/>
  <c r="BA400" i="9"/>
  <c r="HZ400" i="9" s="1"/>
  <c r="GU78" i="9"/>
  <c r="GV78" i="9" s="1"/>
  <c r="HC78" i="9" s="1"/>
  <c r="GX83" i="9"/>
  <c r="GY83" i="9" s="1"/>
  <c r="HC83" i="9" s="1"/>
  <c r="GM84" i="9"/>
  <c r="GN84" i="9" s="1"/>
  <c r="GR84" i="9" s="1"/>
  <c r="BA90" i="9"/>
  <c r="HZ90" i="9" s="1"/>
  <c r="GM159" i="9"/>
  <c r="GN159" i="9" s="1"/>
  <c r="CY164" i="9"/>
  <c r="HX212" i="9"/>
  <c r="HV212" i="9" s="1"/>
  <c r="HY227" i="9"/>
  <c r="HY235" i="9"/>
  <c r="HL236" i="9"/>
  <c r="HM238" i="9"/>
  <c r="HW238" i="9" s="1"/>
  <c r="HN254" i="9"/>
  <c r="IA255" i="9"/>
  <c r="EW258" i="9"/>
  <c r="HY258" i="9" s="1"/>
  <c r="DU259" i="9"/>
  <c r="IA259" i="9" s="1"/>
  <c r="HY260" i="9"/>
  <c r="GD266" i="9"/>
  <c r="GE268" i="9"/>
  <c r="GF278" i="9"/>
  <c r="HY278" i="9"/>
  <c r="GG281" i="9"/>
  <c r="GE284" i="9"/>
  <c r="GD284" i="9"/>
  <c r="CA292" i="9"/>
  <c r="FV294" i="9"/>
  <c r="CA295" i="9"/>
  <c r="HY295" i="9"/>
  <c r="IA298" i="9"/>
  <c r="HX298" i="9"/>
  <c r="HV298" i="9" s="1"/>
  <c r="HC300" i="9"/>
  <c r="HN301" i="9"/>
  <c r="BA304" i="9"/>
  <c r="HZ304" i="9" s="1"/>
  <c r="HY304" i="9"/>
  <c r="FV309" i="9"/>
  <c r="HY311" i="9"/>
  <c r="BB311" i="9"/>
  <c r="IA311" i="9" s="1"/>
  <c r="BA311" i="9"/>
  <c r="HZ311" i="9" s="1"/>
  <c r="HY314" i="9"/>
  <c r="BB314" i="9"/>
  <c r="IA314" i="9" s="1"/>
  <c r="BA314" i="9"/>
  <c r="HZ314" i="9" s="1"/>
  <c r="BB317" i="9"/>
  <c r="IA317" i="9" s="1"/>
  <c r="BB321" i="9"/>
  <c r="IA321" i="9" s="1"/>
  <c r="HY324" i="9"/>
  <c r="BB324" i="9"/>
  <c r="IA324" i="9" s="1"/>
  <c r="BA324" i="9"/>
  <c r="HZ324" i="9" s="1"/>
  <c r="DU338" i="9"/>
  <c r="IA338" i="9" s="1"/>
  <c r="HY338" i="9"/>
  <c r="DT338" i="9"/>
  <c r="HZ338" i="9" s="1"/>
  <c r="DU339" i="9"/>
  <c r="IA339" i="9" s="1"/>
  <c r="DU340" i="9"/>
  <c r="IA340" i="9" s="1"/>
  <c r="HY340" i="9"/>
  <c r="DT340" i="9"/>
  <c r="HZ340" i="9" s="1"/>
  <c r="GJ381" i="9"/>
  <c r="GK381" i="9" s="1"/>
  <c r="GR381" i="9" s="1"/>
  <c r="GQ381" i="9"/>
  <c r="GP381" i="9"/>
  <c r="IA441" i="9"/>
  <c r="HY196" i="9"/>
  <c r="IA206" i="9"/>
  <c r="IA214" i="9"/>
  <c r="HY245" i="9"/>
  <c r="GF266" i="9"/>
  <c r="HY273" i="9"/>
  <c r="HX281" i="9"/>
  <c r="HV281" i="9" s="1"/>
  <c r="GD282" i="9"/>
  <c r="HN283" i="9"/>
  <c r="EX284" i="9"/>
  <c r="HZ284" i="9" s="1"/>
  <c r="HX302" i="9"/>
  <c r="HV302" i="9" s="1"/>
  <c r="IA302" i="9"/>
  <c r="BB303" i="9"/>
  <c r="BA303" i="9"/>
  <c r="HZ303" i="9" s="1"/>
  <c r="HY303" i="9"/>
  <c r="BA305" i="9"/>
  <c r="HZ305" i="9" s="1"/>
  <c r="HY305" i="9"/>
  <c r="BB308" i="9"/>
  <c r="IA308" i="9" s="1"/>
  <c r="BA308" i="9"/>
  <c r="HZ308" i="9" s="1"/>
  <c r="HY308" i="9"/>
  <c r="HY326" i="9"/>
  <c r="BB326" i="9"/>
  <c r="BA326" i="9"/>
  <c r="HZ326" i="9" s="1"/>
  <c r="DU337" i="9"/>
  <c r="IA337" i="9" s="1"/>
  <c r="HY337" i="9"/>
  <c r="DT337" i="9"/>
  <c r="HZ337" i="9" s="1"/>
  <c r="DU346" i="9"/>
  <c r="DT346" i="9"/>
  <c r="DU354" i="9"/>
  <c r="DT354" i="9"/>
  <c r="DU358" i="9"/>
  <c r="DT358" i="9"/>
  <c r="HY383" i="9"/>
  <c r="BB383" i="9"/>
  <c r="BA383" i="9"/>
  <c r="HZ383" i="9" s="1"/>
  <c r="GU431" i="9"/>
  <c r="GV431" i="9" s="1"/>
  <c r="HB431" i="9"/>
  <c r="CZ130" i="9"/>
  <c r="HZ130" i="9" s="1"/>
  <c r="CZ152" i="9"/>
  <c r="HZ152" i="9" s="1"/>
  <c r="GM157" i="9"/>
  <c r="GN157" i="9" s="1"/>
  <c r="GR157" i="9" s="1"/>
  <c r="ET159" i="9"/>
  <c r="HZ159" i="9" s="1"/>
  <c r="GM165" i="9"/>
  <c r="GN165" i="9" s="1"/>
  <c r="GR165" i="9" s="1"/>
  <c r="HY250" i="9"/>
  <c r="HY256" i="9"/>
  <c r="CA256" i="9"/>
  <c r="DT263" i="9"/>
  <c r="GG266" i="9"/>
  <c r="FV269" i="9"/>
  <c r="HY272" i="9"/>
  <c r="CA272" i="9"/>
  <c r="IA272" i="9" s="1"/>
  <c r="BZ273" i="9"/>
  <c r="HZ273" i="9" s="1"/>
  <c r="BZ278" i="9"/>
  <c r="HZ278" i="9" s="1"/>
  <c r="HN278" i="9"/>
  <c r="BZ281" i="9"/>
  <c r="HZ281" i="9" s="1"/>
  <c r="HX284" i="9"/>
  <c r="HV284" i="9" s="1"/>
  <c r="FV285" i="9"/>
  <c r="HY288" i="9"/>
  <c r="CA291" i="9"/>
  <c r="HY291" i="9"/>
  <c r="IA294" i="9"/>
  <c r="HX294" i="9"/>
  <c r="HV294" i="9" s="1"/>
  <c r="HY297" i="9"/>
  <c r="GG301" i="9"/>
  <c r="BA302" i="9"/>
  <c r="HZ302" i="9" s="1"/>
  <c r="BB305" i="9"/>
  <c r="IA305" i="9" s="1"/>
  <c r="FV313" i="9"/>
  <c r="HY315" i="9"/>
  <c r="BB315" i="9"/>
  <c r="IA315" i="9" s="1"/>
  <c r="BA315" i="9"/>
  <c r="HZ315" i="9" s="1"/>
  <c r="HY318" i="9"/>
  <c r="BB318" i="9"/>
  <c r="IA318" i="9" s="1"/>
  <c r="BA318" i="9"/>
  <c r="HZ318" i="9" s="1"/>
  <c r="HC323" i="9"/>
  <c r="BB328" i="9"/>
  <c r="BA328" i="9"/>
  <c r="HZ328" i="9" s="1"/>
  <c r="HY335" i="9"/>
  <c r="DT335" i="9"/>
  <c r="HZ335" i="9" s="1"/>
  <c r="DU347" i="9"/>
  <c r="EY347" i="9" s="1"/>
  <c r="IA347" i="9" s="1"/>
  <c r="DT347" i="9"/>
  <c r="EX347" i="9" s="1"/>
  <c r="HZ347" i="9" s="1"/>
  <c r="EU350" i="9"/>
  <c r="ET350" i="9"/>
  <c r="EW351" i="9"/>
  <c r="HY351" i="9" s="1"/>
  <c r="DU355" i="9"/>
  <c r="EY355" i="9" s="1"/>
  <c r="IA355" i="9" s="1"/>
  <c r="DT355" i="9"/>
  <c r="EX355" i="9" s="1"/>
  <c r="HZ355" i="9" s="1"/>
  <c r="EU358" i="9"/>
  <c r="ET358" i="9"/>
  <c r="EW359" i="9"/>
  <c r="HY359" i="9" s="1"/>
  <c r="BB378" i="9"/>
  <c r="IA378" i="9" s="1"/>
  <c r="BA378" i="9"/>
  <c r="HZ378" i="9" s="1"/>
  <c r="HY378" i="9"/>
  <c r="HY269" i="9"/>
  <c r="HX279" i="9"/>
  <c r="HV279" i="9" s="1"/>
  <c r="CA282" i="9"/>
  <c r="BZ282" i="9"/>
  <c r="HZ282" i="9" s="1"/>
  <c r="BA309" i="9"/>
  <c r="HZ309" i="9" s="1"/>
  <c r="HY309" i="9"/>
  <c r="BB312" i="9"/>
  <c r="IA312" i="9" s="1"/>
  <c r="BA312" i="9"/>
  <c r="HZ312" i="9" s="1"/>
  <c r="HY312" i="9"/>
  <c r="DU334" i="9"/>
  <c r="IA334" i="9" s="1"/>
  <c r="HY334" i="9"/>
  <c r="DT334" i="9"/>
  <c r="HZ334" i="9" s="1"/>
  <c r="DU336" i="9"/>
  <c r="IA336" i="9" s="1"/>
  <c r="HY336" i="9"/>
  <c r="DT336" i="9"/>
  <c r="HZ336" i="9" s="1"/>
  <c r="EU346" i="9"/>
  <c r="ET346" i="9"/>
  <c r="DU352" i="9"/>
  <c r="DT352" i="9"/>
  <c r="EX352" i="9" s="1"/>
  <c r="HZ352" i="9" s="1"/>
  <c r="EU354" i="9"/>
  <c r="ET354" i="9"/>
  <c r="HY375" i="9"/>
  <c r="BB375" i="9"/>
  <c r="IA375" i="9" s="1"/>
  <c r="BA375" i="9"/>
  <c r="HZ375" i="9" s="1"/>
  <c r="BB391" i="9"/>
  <c r="BA391" i="9"/>
  <c r="HZ391" i="9" s="1"/>
  <c r="HY391" i="9"/>
  <c r="IA397" i="9"/>
  <c r="HX397" i="9"/>
  <c r="HV397" i="9" s="1"/>
  <c r="HY435" i="9"/>
  <c r="BB435" i="9"/>
  <c r="BA435" i="9"/>
  <c r="HZ435" i="9" s="1"/>
  <c r="HY237" i="9"/>
  <c r="EU254" i="9"/>
  <c r="HY254" i="9"/>
  <c r="EX258" i="9"/>
  <c r="HZ258" i="9" s="1"/>
  <c r="CA275" i="9"/>
  <c r="IA275" i="9" s="1"/>
  <c r="BZ275" i="9"/>
  <c r="HZ275" i="9" s="1"/>
  <c r="GF282" i="9"/>
  <c r="GE282" i="9"/>
  <c r="GG283" i="9"/>
  <c r="HY290" i="9"/>
  <c r="DU290" i="9"/>
  <c r="DT290" i="9"/>
  <c r="HZ290" i="9" s="1"/>
  <c r="BB299" i="9"/>
  <c r="BA299" i="9"/>
  <c r="HZ299" i="9" s="1"/>
  <c r="IA300" i="9"/>
  <c r="HY306" i="9"/>
  <c r="BB306" i="9"/>
  <c r="IA306" i="9" s="1"/>
  <c r="BA306" i="9"/>
  <c r="HZ306" i="9" s="1"/>
  <c r="HY319" i="9"/>
  <c r="BB319" i="9"/>
  <c r="IA319" i="9" s="1"/>
  <c r="BA319" i="9"/>
  <c r="HZ319" i="9" s="1"/>
  <c r="HY330" i="9"/>
  <c r="DU330" i="9"/>
  <c r="HY333" i="9"/>
  <c r="CA333" i="9"/>
  <c r="BZ333" i="9"/>
  <c r="HZ333" i="9" s="1"/>
  <c r="HY343" i="9"/>
  <c r="ET343" i="9"/>
  <c r="HZ343" i="9" s="1"/>
  <c r="BB369" i="9"/>
  <c r="BA369" i="9"/>
  <c r="HZ369" i="9" s="1"/>
  <c r="HY369" i="9"/>
  <c r="HV255" i="9"/>
  <c r="HY285" i="9"/>
  <c r="CA285" i="9"/>
  <c r="CA286" i="9"/>
  <c r="HY287" i="9"/>
  <c r="CA287" i="9"/>
  <c r="BZ287" i="9"/>
  <c r="HZ287" i="9" s="1"/>
  <c r="CA288" i="9"/>
  <c r="HY289" i="9"/>
  <c r="CA289" i="9"/>
  <c r="BZ289" i="9"/>
  <c r="HZ289" i="9" s="1"/>
  <c r="FV295" i="9"/>
  <c r="GG298" i="9"/>
  <c r="FV311" i="9"/>
  <c r="BA313" i="9"/>
  <c r="HZ313" i="9" s="1"/>
  <c r="HY313" i="9"/>
  <c r="FV314" i="9"/>
  <c r="BB316" i="9"/>
  <c r="IA316" i="9" s="1"/>
  <c r="BA316" i="9"/>
  <c r="HZ316" i="9" s="1"/>
  <c r="HY316" i="9"/>
  <c r="DT330" i="9"/>
  <c r="HZ330" i="9" s="1"/>
  <c r="HY332" i="9"/>
  <c r="DU332" i="9"/>
  <c r="DT332" i="9"/>
  <c r="HZ332" i="9" s="1"/>
  <c r="EU342" i="9"/>
  <c r="IA342" i="9" s="1"/>
  <c r="HY342" i="9"/>
  <c r="ET342" i="9"/>
  <c r="HZ342" i="9" s="1"/>
  <c r="EU343" i="9"/>
  <c r="IA343" i="9" s="1"/>
  <c r="HY344" i="9"/>
  <c r="EU344" i="9"/>
  <c r="IA344" i="9" s="1"/>
  <c r="ET344" i="9"/>
  <c r="HZ344" i="9" s="1"/>
  <c r="EU351" i="9"/>
  <c r="EY351" i="9" s="1"/>
  <c r="IA351" i="9" s="1"/>
  <c r="ET351" i="9"/>
  <c r="EX351" i="9" s="1"/>
  <c r="HZ351" i="9" s="1"/>
  <c r="EU352" i="9"/>
  <c r="EU359" i="9"/>
  <c r="EY359" i="9" s="1"/>
  <c r="IA359" i="9" s="1"/>
  <c r="ET359" i="9"/>
  <c r="EX359" i="9" s="1"/>
  <c r="HZ359" i="9" s="1"/>
  <c r="EU360" i="9"/>
  <c r="BB374" i="9"/>
  <c r="IA374" i="9" s="1"/>
  <c r="BA374" i="9"/>
  <c r="HZ374" i="9" s="1"/>
  <c r="HY374" i="9"/>
  <c r="FV387" i="9"/>
  <c r="HX393" i="9"/>
  <c r="HV393" i="9" s="1"/>
  <c r="IA393" i="9"/>
  <c r="BB426" i="9"/>
  <c r="BA426" i="9"/>
  <c r="HZ426" i="9" s="1"/>
  <c r="HY426" i="9"/>
  <c r="ET221" i="9"/>
  <c r="HZ221" i="9" s="1"/>
  <c r="BA261" i="9"/>
  <c r="HZ261" i="9" s="1"/>
  <c r="GF265" i="9"/>
  <c r="GD265" i="9"/>
  <c r="GG268" i="9"/>
  <c r="CA271" i="9"/>
  <c r="IA271" i="9" s="1"/>
  <c r="HY271" i="9"/>
  <c r="BZ274" i="9"/>
  <c r="HZ274" i="9" s="1"/>
  <c r="HY274" i="9"/>
  <c r="BZ277" i="9"/>
  <c r="HZ277" i="9" s="1"/>
  <c r="FV278" i="9"/>
  <c r="GG278" i="9"/>
  <c r="GF280" i="9"/>
  <c r="BZ285" i="9"/>
  <c r="HZ285" i="9" s="1"/>
  <c r="GG287" i="9"/>
  <c r="GG289" i="9"/>
  <c r="CA293" i="9"/>
  <c r="IA296" i="9"/>
  <c r="HX296" i="9"/>
  <c r="HV296" i="9" s="1"/>
  <c r="FV298" i="9"/>
  <c r="BB301" i="9"/>
  <c r="HY301" i="9"/>
  <c r="HY302" i="9"/>
  <c r="FV305" i="9"/>
  <c r="HY307" i="9"/>
  <c r="BB307" i="9"/>
  <c r="IA307" i="9" s="1"/>
  <c r="BA307" i="9"/>
  <c r="HZ307" i="9" s="1"/>
  <c r="HY310" i="9"/>
  <c r="BB310" i="9"/>
  <c r="IA310" i="9" s="1"/>
  <c r="BA310" i="9"/>
  <c r="HZ310" i="9" s="1"/>
  <c r="BB313" i="9"/>
  <c r="IA313" i="9" s="1"/>
  <c r="HY331" i="9"/>
  <c r="BB331" i="9"/>
  <c r="BA331" i="9"/>
  <c r="HZ331" i="9" s="1"/>
  <c r="DU341" i="9"/>
  <c r="IA341" i="9" s="1"/>
  <c r="HY341" i="9"/>
  <c r="DT341" i="9"/>
  <c r="HZ341" i="9" s="1"/>
  <c r="DU348" i="9"/>
  <c r="EY348" i="9" s="1"/>
  <c r="IA348" i="9" s="1"/>
  <c r="DU356" i="9"/>
  <c r="ET361" i="9"/>
  <c r="EU361" i="9"/>
  <c r="HY365" i="9"/>
  <c r="BB365" i="9"/>
  <c r="BA365" i="9"/>
  <c r="HZ365" i="9" s="1"/>
  <c r="HY371" i="9"/>
  <c r="BB371" i="9"/>
  <c r="BA371" i="9"/>
  <c r="HZ371" i="9" s="1"/>
  <c r="FL325" i="9"/>
  <c r="FT325" i="9"/>
  <c r="HY329" i="9"/>
  <c r="EW352" i="9"/>
  <c r="HY352" i="9" s="1"/>
  <c r="EW360" i="9"/>
  <c r="HY360" i="9" s="1"/>
  <c r="HN370" i="9"/>
  <c r="HY373" i="9"/>
  <c r="BB373" i="9"/>
  <c r="IA373" i="9" s="1"/>
  <c r="BA373" i="9"/>
  <c r="HZ373" i="9" s="1"/>
  <c r="HN379" i="9"/>
  <c r="HY380" i="9"/>
  <c r="BB380" i="9"/>
  <c r="HC380" i="9"/>
  <c r="GO381" i="9"/>
  <c r="GR384" i="9"/>
  <c r="HN387" i="9"/>
  <c r="HY388" i="9"/>
  <c r="BB388" i="9"/>
  <c r="HC388" i="9"/>
  <c r="HY395" i="9"/>
  <c r="BB395" i="9"/>
  <c r="BA395" i="9"/>
  <c r="HZ395" i="9" s="1"/>
  <c r="HY403" i="9"/>
  <c r="BB403" i="9"/>
  <c r="BA403" i="9"/>
  <c r="HZ403" i="9" s="1"/>
  <c r="HX411" i="9"/>
  <c r="HV411" i="9" s="1"/>
  <c r="IA411" i="9"/>
  <c r="HN413" i="9"/>
  <c r="IA414" i="9"/>
  <c r="HX414" i="9"/>
  <c r="HV414" i="9" s="1"/>
  <c r="HN414" i="9"/>
  <c r="BB415" i="9"/>
  <c r="BA415" i="9"/>
  <c r="HZ415" i="9" s="1"/>
  <c r="HN421" i="9"/>
  <c r="BB422" i="9"/>
  <c r="BA422" i="9"/>
  <c r="HZ422" i="9" s="1"/>
  <c r="HA431" i="9"/>
  <c r="HN434" i="9"/>
  <c r="HN437" i="9"/>
  <c r="BB438" i="9"/>
  <c r="BA438" i="9"/>
  <c r="FV438" i="9"/>
  <c r="FV439" i="9"/>
  <c r="HY448" i="9"/>
  <c r="DA448" i="9"/>
  <c r="CZ448" i="9"/>
  <c r="HZ448" i="9" s="1"/>
  <c r="HC450" i="9"/>
  <c r="HY452" i="9"/>
  <c r="BB452" i="9"/>
  <c r="BA452" i="9"/>
  <c r="HZ452" i="9" s="1"/>
  <c r="HC454" i="9"/>
  <c r="HY458" i="9"/>
  <c r="DA458" i="9"/>
  <c r="CZ458" i="9"/>
  <c r="HZ458" i="9" s="1"/>
  <c r="HY472" i="9"/>
  <c r="CA472" i="9"/>
  <c r="BZ472" i="9"/>
  <c r="HZ472" i="9" s="1"/>
  <c r="CA479" i="9"/>
  <c r="IA479" i="9" s="1"/>
  <c r="BZ479" i="9"/>
  <c r="HZ479" i="9" s="1"/>
  <c r="HY479" i="9"/>
  <c r="HX499" i="9"/>
  <c r="HV499" i="9" s="1"/>
  <c r="FU325" i="9"/>
  <c r="DS360" i="9"/>
  <c r="FV364" i="9"/>
  <c r="HX367" i="9"/>
  <c r="HV367" i="9" s="1"/>
  <c r="GQ379" i="9"/>
  <c r="BA380" i="9"/>
  <c r="HZ380" i="9" s="1"/>
  <c r="GP384" i="9"/>
  <c r="HN384" i="9"/>
  <c r="HY385" i="9"/>
  <c r="BB385" i="9"/>
  <c r="HC385" i="9"/>
  <c r="GO386" i="9"/>
  <c r="GQ387" i="9"/>
  <c r="BA388" i="9"/>
  <c r="HZ388" i="9" s="1"/>
  <c r="HY390" i="9"/>
  <c r="BA390" i="9"/>
  <c r="HZ390" i="9" s="1"/>
  <c r="HY392" i="9"/>
  <c r="BB392" i="9"/>
  <c r="HY398" i="9"/>
  <c r="BB398" i="9"/>
  <c r="BA398" i="9"/>
  <c r="HZ398" i="9" s="1"/>
  <c r="HN400" i="9"/>
  <c r="FV405" i="9"/>
  <c r="HY406" i="9"/>
  <c r="BB406" i="9"/>
  <c r="IA406" i="9" s="1"/>
  <c r="BA406" i="9"/>
  <c r="HZ406" i="9" s="1"/>
  <c r="FV409" i="9"/>
  <c r="HY410" i="9"/>
  <c r="BB410" i="9"/>
  <c r="IA410" i="9" s="1"/>
  <c r="BA410" i="9"/>
  <c r="HZ410" i="9" s="1"/>
  <c r="FV427" i="9"/>
  <c r="HC429" i="9"/>
  <c r="HC431" i="9"/>
  <c r="HY433" i="9"/>
  <c r="BB433" i="9"/>
  <c r="BA433" i="9"/>
  <c r="HZ433" i="9" s="1"/>
  <c r="GR435" i="9"/>
  <c r="HN439" i="9"/>
  <c r="FV440" i="9"/>
  <c r="HN441" i="9"/>
  <c r="HY442" i="9"/>
  <c r="DA442" i="9"/>
  <c r="IA442" i="9" s="1"/>
  <c r="CZ442" i="9"/>
  <c r="HZ442" i="9" s="1"/>
  <c r="FV456" i="9"/>
  <c r="DA457" i="9"/>
  <c r="CZ457" i="9"/>
  <c r="HZ457" i="9" s="1"/>
  <c r="HY457" i="9"/>
  <c r="GG458" i="9"/>
  <c r="HY468" i="9"/>
  <c r="CZ468" i="9"/>
  <c r="HZ468" i="9" s="1"/>
  <c r="DA468" i="9"/>
  <c r="FV471" i="9"/>
  <c r="BB490" i="9"/>
  <c r="BA490" i="9"/>
  <c r="HZ490" i="9" s="1"/>
  <c r="HY490" i="9"/>
  <c r="HY501" i="9"/>
  <c r="BB501" i="9"/>
  <c r="BA501" i="9"/>
  <c r="HZ501" i="9" s="1"/>
  <c r="IA506" i="9"/>
  <c r="HX506" i="9"/>
  <c r="HV506" i="9" s="1"/>
  <c r="HY512" i="9"/>
  <c r="BB512" i="9"/>
  <c r="BA512" i="9"/>
  <c r="HZ512" i="9" s="1"/>
  <c r="HN526" i="9"/>
  <c r="EW346" i="9"/>
  <c r="HY346" i="9" s="1"/>
  <c r="EW354" i="9"/>
  <c r="HY354" i="9" s="1"/>
  <c r="HY382" i="9"/>
  <c r="BB382" i="9"/>
  <c r="HX390" i="9"/>
  <c r="HV390" i="9" s="1"/>
  <c r="IA390" i="9"/>
  <c r="IA401" i="9"/>
  <c r="HX401" i="9"/>
  <c r="HV401" i="9" s="1"/>
  <c r="HN402" i="9"/>
  <c r="HY404" i="9"/>
  <c r="BB404" i="9"/>
  <c r="BB418" i="9"/>
  <c r="BA418" i="9"/>
  <c r="HZ418" i="9" s="1"/>
  <c r="HY418" i="9"/>
  <c r="HX420" i="9"/>
  <c r="HV420" i="9" s="1"/>
  <c r="IA420" i="9"/>
  <c r="GZ430" i="9"/>
  <c r="GX430" i="9"/>
  <c r="GY430" i="9" s="1"/>
  <c r="HC430" i="9" s="1"/>
  <c r="HB430" i="9"/>
  <c r="HC433" i="9"/>
  <c r="HX436" i="9"/>
  <c r="HV436" i="9" s="1"/>
  <c r="IA436" i="9"/>
  <c r="HY437" i="9"/>
  <c r="CA437" i="9"/>
  <c r="BZ437" i="9"/>
  <c r="HZ437" i="9" s="1"/>
  <c r="CA438" i="9"/>
  <c r="BZ438" i="9"/>
  <c r="BB440" i="9"/>
  <c r="BA440" i="9"/>
  <c r="GU440" i="9"/>
  <c r="GV440" i="9" s="1"/>
  <c r="HA440" i="9"/>
  <c r="GZ440" i="9"/>
  <c r="HY443" i="9"/>
  <c r="DA443" i="9"/>
  <c r="IA443" i="9" s="1"/>
  <c r="CZ443" i="9"/>
  <c r="HZ443" i="9" s="1"/>
  <c r="DA449" i="9"/>
  <c r="CZ449" i="9"/>
  <c r="HZ449" i="9" s="1"/>
  <c r="HY449" i="9"/>
  <c r="BB453" i="9"/>
  <c r="BA453" i="9"/>
  <c r="HZ453" i="9" s="1"/>
  <c r="HY453" i="9"/>
  <c r="CA484" i="9"/>
  <c r="EY484" i="9" s="1"/>
  <c r="BZ484" i="9"/>
  <c r="HY533" i="9"/>
  <c r="DU533" i="9"/>
  <c r="DT533" i="9"/>
  <c r="HZ533" i="9" s="1"/>
  <c r="BB575" i="9"/>
  <c r="HY575" i="9"/>
  <c r="BA575" i="9"/>
  <c r="HZ575" i="9" s="1"/>
  <c r="HX325" i="9"/>
  <c r="HV325" i="9" s="1"/>
  <c r="BA327" i="9"/>
  <c r="HZ327" i="9" s="1"/>
  <c r="DT349" i="9"/>
  <c r="ET353" i="9"/>
  <c r="DT357" i="9"/>
  <c r="EX357" i="9" s="1"/>
  <c r="HZ357" i="9" s="1"/>
  <c r="GR360" i="9"/>
  <c r="DU361" i="9"/>
  <c r="EY361" i="9" s="1"/>
  <c r="IA361" i="9" s="1"/>
  <c r="DT361" i="9"/>
  <c r="FV361" i="9"/>
  <c r="HY364" i="9"/>
  <c r="HN365" i="9"/>
  <c r="HY379" i="9"/>
  <c r="BB379" i="9"/>
  <c r="HC379" i="9"/>
  <c r="GO380" i="9"/>
  <c r="BA382" i="9"/>
  <c r="HZ382" i="9" s="1"/>
  <c r="GP386" i="9"/>
  <c r="HN386" i="9"/>
  <c r="HY387" i="9"/>
  <c r="BB387" i="9"/>
  <c r="HC387" i="9"/>
  <c r="GO388" i="9"/>
  <c r="HX396" i="9"/>
  <c r="HV396" i="9" s="1"/>
  <c r="BA404" i="9"/>
  <c r="HZ404" i="9" s="1"/>
  <c r="HF404" i="9"/>
  <c r="HG404" i="9" s="1"/>
  <c r="HN404" i="9" s="1"/>
  <c r="HL404" i="9"/>
  <c r="HK404" i="9"/>
  <c r="BB412" i="9"/>
  <c r="BA412" i="9"/>
  <c r="HZ412" i="9" s="1"/>
  <c r="HY412" i="9"/>
  <c r="HY415" i="9"/>
  <c r="HY422" i="9"/>
  <c r="HA430" i="9"/>
  <c r="HB434" i="9"/>
  <c r="GZ434" i="9"/>
  <c r="GX434" i="9"/>
  <c r="GY434" i="9" s="1"/>
  <c r="HC434" i="9" s="1"/>
  <c r="HA438" i="9"/>
  <c r="HY444" i="9"/>
  <c r="DA444" i="9"/>
  <c r="IA444" i="9" s="1"/>
  <c r="CZ444" i="9"/>
  <c r="HZ444" i="9" s="1"/>
  <c r="GG449" i="9"/>
  <c r="GG453" i="9"/>
  <c r="GR456" i="9"/>
  <c r="DA460" i="9"/>
  <c r="HY460" i="9"/>
  <c r="CZ460" i="9"/>
  <c r="HZ460" i="9" s="1"/>
  <c r="BY473" i="9"/>
  <c r="EW473" i="9"/>
  <c r="HY473" i="9" s="1"/>
  <c r="HY491" i="9"/>
  <c r="BB491" i="9"/>
  <c r="BA491" i="9"/>
  <c r="HZ491" i="9" s="1"/>
  <c r="BB496" i="9"/>
  <c r="HY496" i="9"/>
  <c r="BA496" i="9"/>
  <c r="HZ496" i="9" s="1"/>
  <c r="IA503" i="9"/>
  <c r="BB510" i="9"/>
  <c r="BA510" i="9"/>
  <c r="HZ510" i="9" s="1"/>
  <c r="HY510" i="9"/>
  <c r="EW284" i="9"/>
  <c r="HY284" i="9" s="1"/>
  <c r="HY300" i="9"/>
  <c r="HY325" i="9"/>
  <c r="BB327" i="9"/>
  <c r="EW348" i="9"/>
  <c r="HY348" i="9" s="1"/>
  <c r="EW356" i="9"/>
  <c r="HY356" i="9" s="1"/>
  <c r="IA364" i="9"/>
  <c r="HX364" i="9"/>
  <c r="HV364" i="9" s="1"/>
  <c r="BB366" i="9"/>
  <c r="HY366" i="9"/>
  <c r="HY368" i="9"/>
  <c r="BA368" i="9"/>
  <c r="HZ368" i="9" s="1"/>
  <c r="HY370" i="9"/>
  <c r="BB370" i="9"/>
  <c r="BB372" i="9"/>
  <c r="BA372" i="9"/>
  <c r="HZ372" i="9" s="1"/>
  <c r="HY372" i="9"/>
  <c r="GR380" i="9"/>
  <c r="HY384" i="9"/>
  <c r="BB384" i="9"/>
  <c r="GQ386" i="9"/>
  <c r="GR388" i="9"/>
  <c r="FV389" i="9"/>
  <c r="BB399" i="9"/>
  <c r="BA399" i="9"/>
  <c r="HZ399" i="9" s="1"/>
  <c r="HY399" i="9"/>
  <c r="GR414" i="9"/>
  <c r="FV428" i="9"/>
  <c r="HY430" i="9"/>
  <c r="BB430" i="9"/>
  <c r="BA430" i="9"/>
  <c r="HZ430" i="9" s="1"/>
  <c r="HC438" i="9"/>
  <c r="CA440" i="9"/>
  <c r="BZ440" i="9"/>
  <c r="HC440" i="9"/>
  <c r="GG442" i="9"/>
  <c r="HY445" i="9"/>
  <c r="DA445" i="9"/>
  <c r="IA445" i="9" s="1"/>
  <c r="CZ445" i="9"/>
  <c r="HZ445" i="9" s="1"/>
  <c r="HY450" i="9"/>
  <c r="DA450" i="9"/>
  <c r="CZ450" i="9"/>
  <c r="HZ450" i="9" s="1"/>
  <c r="HY454" i="9"/>
  <c r="BB454" i="9"/>
  <c r="BA454" i="9"/>
  <c r="HZ454" i="9" s="1"/>
  <c r="DA459" i="9"/>
  <c r="CZ459" i="9"/>
  <c r="HZ459" i="9" s="1"/>
  <c r="HY459" i="9"/>
  <c r="CA481" i="9"/>
  <c r="BZ481" i="9"/>
  <c r="HZ481" i="9" s="1"/>
  <c r="HY481" i="9"/>
  <c r="BA364" i="9"/>
  <c r="HZ364" i="9" s="1"/>
  <c r="BA366" i="9"/>
  <c r="HZ366" i="9" s="1"/>
  <c r="BB368" i="9"/>
  <c r="BA370" i="9"/>
  <c r="HZ370" i="9" s="1"/>
  <c r="GP380" i="9"/>
  <c r="HN380" i="9"/>
  <c r="HY381" i="9"/>
  <c r="BB381" i="9"/>
  <c r="HC381" i="9"/>
  <c r="GO382" i="9"/>
  <c r="BA384" i="9"/>
  <c r="HZ384" i="9" s="1"/>
  <c r="GR385" i="9"/>
  <c r="GP388" i="9"/>
  <c r="HN388" i="9"/>
  <c r="FV397" i="9"/>
  <c r="FV398" i="9"/>
  <c r="HM403" i="9"/>
  <c r="HW403" i="9" s="1"/>
  <c r="HK403" i="9"/>
  <c r="HI403" i="9"/>
  <c r="HJ403" i="9" s="1"/>
  <c r="HN403" i="9" s="1"/>
  <c r="BB408" i="9"/>
  <c r="IA408" i="9" s="1"/>
  <c r="BA408" i="9"/>
  <c r="HZ408" i="9" s="1"/>
  <c r="HY408" i="9"/>
  <c r="HN412" i="9"/>
  <c r="HY413" i="9"/>
  <c r="BB413" i="9"/>
  <c r="BA413" i="9"/>
  <c r="HZ413" i="9" s="1"/>
  <c r="BB416" i="9"/>
  <c r="BA416" i="9"/>
  <c r="HZ416" i="9" s="1"/>
  <c r="HY416" i="9"/>
  <c r="HY419" i="9"/>
  <c r="BB419" i="9"/>
  <c r="BB421" i="9"/>
  <c r="BA421" i="9"/>
  <c r="HZ421" i="9" s="1"/>
  <c r="HY421" i="9"/>
  <c r="BB423" i="9"/>
  <c r="BA423" i="9"/>
  <c r="HZ423" i="9" s="1"/>
  <c r="HY423" i="9"/>
  <c r="HY425" i="9"/>
  <c r="BB425" i="9"/>
  <c r="BB427" i="9"/>
  <c r="BA427" i="9"/>
  <c r="HZ427" i="9" s="1"/>
  <c r="HY427" i="9"/>
  <c r="FV431" i="9"/>
  <c r="FV433" i="9"/>
  <c r="GU435" i="9"/>
  <c r="GV435" i="9" s="1"/>
  <c r="HC435" i="9" s="1"/>
  <c r="HA435" i="9"/>
  <c r="GZ435" i="9"/>
  <c r="HC437" i="9"/>
  <c r="HB438" i="9"/>
  <c r="GR439" i="9"/>
  <c r="HC439" i="9"/>
  <c r="HB440" i="9"/>
  <c r="GG443" i="9"/>
  <c r="HY446" i="9"/>
  <c r="DA446" i="9"/>
  <c r="IA446" i="9" s="1"/>
  <c r="CZ446" i="9"/>
  <c r="HZ446" i="9" s="1"/>
  <c r="HY456" i="9"/>
  <c r="DA456" i="9"/>
  <c r="CZ456" i="9"/>
  <c r="HZ456" i="9" s="1"/>
  <c r="HY471" i="9"/>
  <c r="DA471" i="9"/>
  <c r="CZ471" i="9"/>
  <c r="HZ471" i="9" s="1"/>
  <c r="CZ474" i="9"/>
  <c r="HZ474" i="9" s="1"/>
  <c r="HY474" i="9"/>
  <c r="DA474" i="9"/>
  <c r="IA474" i="9" s="1"/>
  <c r="BB498" i="9"/>
  <c r="BA498" i="9"/>
  <c r="HZ498" i="9" s="1"/>
  <c r="HY498" i="9"/>
  <c r="BB362" i="9"/>
  <c r="HY362" i="9"/>
  <c r="BB376" i="9"/>
  <c r="IA376" i="9" s="1"/>
  <c r="BA376" i="9"/>
  <c r="HZ376" i="9" s="1"/>
  <c r="HY377" i="9"/>
  <c r="BB377" i="9"/>
  <c r="IA377" i="9" s="1"/>
  <c r="BA377" i="9"/>
  <c r="HZ377" i="9" s="1"/>
  <c r="GQ380" i="9"/>
  <c r="HY386" i="9"/>
  <c r="BB386" i="9"/>
  <c r="GQ388" i="9"/>
  <c r="HX389" i="9"/>
  <c r="HV389" i="9" s="1"/>
  <c r="BB394" i="9"/>
  <c r="BA394" i="9"/>
  <c r="HZ394" i="9" s="1"/>
  <c r="HY394" i="9"/>
  <c r="HY402" i="9"/>
  <c r="BB402" i="9"/>
  <c r="BA402" i="9"/>
  <c r="HZ402" i="9" s="1"/>
  <c r="HY429" i="9"/>
  <c r="BB429" i="9"/>
  <c r="BA429" i="9"/>
  <c r="HZ429" i="9" s="1"/>
  <c r="HY434" i="9"/>
  <c r="BB434" i="9"/>
  <c r="BA434" i="9"/>
  <c r="HZ434" i="9" s="1"/>
  <c r="DA447" i="9"/>
  <c r="CZ447" i="9"/>
  <c r="HZ447" i="9" s="1"/>
  <c r="HY447" i="9"/>
  <c r="BB451" i="9"/>
  <c r="BA451" i="9"/>
  <c r="HZ451" i="9" s="1"/>
  <c r="HY451" i="9"/>
  <c r="DA455" i="9"/>
  <c r="CZ455" i="9"/>
  <c r="HZ455" i="9" s="1"/>
  <c r="HY455" i="9"/>
  <c r="HX566" i="9"/>
  <c r="HV566" i="9" s="1"/>
  <c r="IA566" i="9"/>
  <c r="HY464" i="9"/>
  <c r="DU464" i="9"/>
  <c r="DT464" i="9"/>
  <c r="HZ464" i="9" s="1"/>
  <c r="HY478" i="9"/>
  <c r="CA478" i="9"/>
  <c r="IA478" i="9" s="1"/>
  <c r="BZ478" i="9"/>
  <c r="HZ478" i="9" s="1"/>
  <c r="DA482" i="9"/>
  <c r="EY482" i="9" s="1"/>
  <c r="IA482" i="9" s="1"/>
  <c r="CZ482" i="9"/>
  <c r="EX482" i="9" s="1"/>
  <c r="HZ482" i="9" s="1"/>
  <c r="BZ485" i="9"/>
  <c r="EX485" i="9" s="1"/>
  <c r="HZ485" i="9" s="1"/>
  <c r="CA485" i="9"/>
  <c r="EY485" i="9" s="1"/>
  <c r="DU527" i="9"/>
  <c r="DT527" i="9"/>
  <c r="HZ527" i="9" s="1"/>
  <c r="HY527" i="9"/>
  <c r="HK552" i="9"/>
  <c r="HI552" i="9"/>
  <c r="HJ552" i="9" s="1"/>
  <c r="HN552" i="9" s="1"/>
  <c r="HM552" i="9"/>
  <c r="HW552" i="9" s="1"/>
  <c r="HV552" i="9" s="1"/>
  <c r="HL552" i="9"/>
  <c r="HY396" i="9"/>
  <c r="GZ428" i="9"/>
  <c r="HA429" i="9"/>
  <c r="GZ436" i="9"/>
  <c r="HA437" i="9"/>
  <c r="HA441" i="9"/>
  <c r="IA469" i="9"/>
  <c r="HX469" i="9"/>
  <c r="HV469" i="9" s="1"/>
  <c r="GR473" i="9"/>
  <c r="HY480" i="9"/>
  <c r="CA480" i="9"/>
  <c r="GR481" i="9"/>
  <c r="IA519" i="9"/>
  <c r="HX519" i="9"/>
  <c r="HV519" i="9" s="1"/>
  <c r="FV524" i="9"/>
  <c r="BA565" i="9"/>
  <c r="HZ565" i="9" s="1"/>
  <c r="HY565" i="9"/>
  <c r="BB565" i="9"/>
  <c r="BA585" i="9"/>
  <c r="HZ585" i="9" s="1"/>
  <c r="HY585" i="9"/>
  <c r="BB585" i="9"/>
  <c r="HY363" i="9"/>
  <c r="HA428" i="9"/>
  <c r="HA436" i="9"/>
  <c r="FV461" i="9"/>
  <c r="CZ469" i="9"/>
  <c r="HZ469" i="9" s="1"/>
  <c r="HY469" i="9"/>
  <c r="BZ480" i="9"/>
  <c r="HZ480" i="9" s="1"/>
  <c r="HN486" i="9"/>
  <c r="IA487" i="9"/>
  <c r="HX487" i="9"/>
  <c r="HV487" i="9" s="1"/>
  <c r="BA493" i="9"/>
  <c r="HZ493" i="9" s="1"/>
  <c r="BB502" i="9"/>
  <c r="BA502" i="9"/>
  <c r="HZ502" i="9" s="1"/>
  <c r="HY504" i="9"/>
  <c r="BB504" i="9"/>
  <c r="BA504" i="9"/>
  <c r="HZ504" i="9" s="1"/>
  <c r="BB507" i="9"/>
  <c r="BA507" i="9"/>
  <c r="HZ507" i="9" s="1"/>
  <c r="HY507" i="9"/>
  <c r="FV514" i="9"/>
  <c r="FV515" i="9"/>
  <c r="HY523" i="9"/>
  <c r="DA523" i="9"/>
  <c r="IA523" i="9" s="1"/>
  <c r="HY549" i="9"/>
  <c r="DA549" i="9"/>
  <c r="CZ549" i="9"/>
  <c r="HZ549" i="9" s="1"/>
  <c r="BA581" i="9"/>
  <c r="HZ581" i="9" s="1"/>
  <c r="HY581" i="9"/>
  <c r="BB581" i="9"/>
  <c r="BA584" i="9"/>
  <c r="HZ584" i="9" s="1"/>
  <c r="BB584" i="9"/>
  <c r="HY584" i="9"/>
  <c r="BA588" i="9"/>
  <c r="HZ588" i="9" s="1"/>
  <c r="HY588" i="9"/>
  <c r="BB588" i="9"/>
  <c r="BB593" i="9"/>
  <c r="BA593" i="9"/>
  <c r="HZ593" i="9" s="1"/>
  <c r="HY593" i="9"/>
  <c r="HY414" i="9"/>
  <c r="DU465" i="9"/>
  <c r="IA465" i="9" s="1"/>
  <c r="HY465" i="9"/>
  <c r="GE473" i="9"/>
  <c r="GD473" i="9"/>
  <c r="GB473" i="9"/>
  <c r="GC473" i="9" s="1"/>
  <c r="GG473" i="9" s="1"/>
  <c r="BB493" i="9"/>
  <c r="BB494" i="9"/>
  <c r="BA494" i="9"/>
  <c r="HZ494" i="9" s="1"/>
  <c r="HN498" i="9"/>
  <c r="BA499" i="9"/>
  <c r="HZ499" i="9" s="1"/>
  <c r="HN505" i="9"/>
  <c r="GR507" i="9"/>
  <c r="CZ523" i="9"/>
  <c r="HZ523" i="9" s="1"/>
  <c r="HN527" i="9"/>
  <c r="HX572" i="9"/>
  <c r="HV572" i="9" s="1"/>
  <c r="IA572" i="9"/>
  <c r="FV596" i="9"/>
  <c r="BB605" i="9"/>
  <c r="BA605" i="9"/>
  <c r="HZ605" i="9" s="1"/>
  <c r="HY605" i="9"/>
  <c r="BB604" i="9"/>
  <c r="BA604" i="9"/>
  <c r="HZ604" i="9" s="1"/>
  <c r="HY604" i="9"/>
  <c r="HL402" i="9"/>
  <c r="BB431" i="9"/>
  <c r="GZ432" i="9"/>
  <c r="HA439" i="9"/>
  <c r="HY462" i="9"/>
  <c r="DU462" i="9"/>
  <c r="HY463" i="9"/>
  <c r="GF473" i="9"/>
  <c r="DA476" i="9"/>
  <c r="HN485" i="9"/>
  <c r="HN488" i="9"/>
  <c r="FV498" i="9"/>
  <c r="FV510" i="9"/>
  <c r="IA514" i="9"/>
  <c r="HY524" i="9"/>
  <c r="DA524" i="9"/>
  <c r="IA524" i="9" s="1"/>
  <c r="CZ524" i="9"/>
  <c r="HZ524" i="9" s="1"/>
  <c r="GG527" i="9"/>
  <c r="BZ536" i="9"/>
  <c r="EX536" i="9" s="1"/>
  <c r="HZ536" i="9" s="1"/>
  <c r="CA536" i="9"/>
  <c r="DU543" i="9"/>
  <c r="HY543" i="9"/>
  <c r="DT543" i="9"/>
  <c r="HZ543" i="9" s="1"/>
  <c r="BB574" i="9"/>
  <c r="BA574" i="9"/>
  <c r="HZ574" i="9" s="1"/>
  <c r="HY574" i="9"/>
  <c r="BA582" i="9"/>
  <c r="HZ582" i="9" s="1"/>
  <c r="HY582" i="9"/>
  <c r="BB582" i="9"/>
  <c r="HY617" i="9"/>
  <c r="BB617" i="9"/>
  <c r="BA617" i="9"/>
  <c r="HZ617" i="9" s="1"/>
  <c r="HM402" i="9"/>
  <c r="HW402" i="9" s="1"/>
  <c r="GZ431" i="9"/>
  <c r="HB433" i="9"/>
  <c r="GZ438" i="9"/>
  <c r="HY461" i="9"/>
  <c r="DU461" i="9"/>
  <c r="DT461" i="9"/>
  <c r="HZ461" i="9" s="1"/>
  <c r="IA467" i="9"/>
  <c r="HX467" i="9"/>
  <c r="HV467" i="9" s="1"/>
  <c r="HY486" i="9"/>
  <c r="FV488" i="9"/>
  <c r="BA492" i="9"/>
  <c r="HZ492" i="9" s="1"/>
  <c r="HY492" i="9"/>
  <c r="IA495" i="9"/>
  <c r="HX495" i="9"/>
  <c r="HV495" i="9" s="1"/>
  <c r="GR505" i="9"/>
  <c r="BB515" i="9"/>
  <c r="BA515" i="9"/>
  <c r="HZ515" i="9" s="1"/>
  <c r="HY515" i="9"/>
  <c r="BB516" i="9"/>
  <c r="BA516" i="9"/>
  <c r="HZ516" i="9" s="1"/>
  <c r="HY516" i="9"/>
  <c r="HY517" i="9"/>
  <c r="BB517" i="9"/>
  <c r="FV521" i="9"/>
  <c r="CZ550" i="9"/>
  <c r="HZ550" i="9" s="1"/>
  <c r="DA550" i="9"/>
  <c r="HY550" i="9"/>
  <c r="BB616" i="9"/>
  <c r="BA616" i="9"/>
  <c r="HZ616" i="9" s="1"/>
  <c r="HY616" i="9"/>
  <c r="DU463" i="9"/>
  <c r="DT467" i="9"/>
  <c r="HZ467" i="9" s="1"/>
  <c r="HY467" i="9"/>
  <c r="GG468" i="9"/>
  <c r="HY470" i="9"/>
  <c r="CZ470" i="9"/>
  <c r="HZ470" i="9" s="1"/>
  <c r="HN473" i="9"/>
  <c r="GR474" i="9"/>
  <c r="HN477" i="9"/>
  <c r="BB486" i="9"/>
  <c r="HN487" i="9"/>
  <c r="IA488" i="9"/>
  <c r="HX488" i="9"/>
  <c r="HV488" i="9" s="1"/>
  <c r="BB492" i="9"/>
  <c r="BB500" i="9"/>
  <c r="BA500" i="9"/>
  <c r="HZ500" i="9" s="1"/>
  <c r="HY500" i="9"/>
  <c r="FV502" i="9"/>
  <c r="HX505" i="9"/>
  <c r="HV505" i="9" s="1"/>
  <c r="GR506" i="9"/>
  <c r="BB508" i="9"/>
  <c r="BA508" i="9"/>
  <c r="HZ508" i="9" s="1"/>
  <c r="HY508" i="9"/>
  <c r="HY509" i="9"/>
  <c r="BB509" i="9"/>
  <c r="FV513" i="9"/>
  <c r="BA517" i="9"/>
  <c r="HZ517" i="9" s="1"/>
  <c r="BB518" i="9"/>
  <c r="BA518" i="9"/>
  <c r="HZ518" i="9" s="1"/>
  <c r="HY520" i="9"/>
  <c r="BB520" i="9"/>
  <c r="BA520" i="9"/>
  <c r="HZ520" i="9" s="1"/>
  <c r="DU526" i="9"/>
  <c r="DT526" i="9"/>
  <c r="HZ526" i="9" s="1"/>
  <c r="HY526" i="9"/>
  <c r="FV527" i="9"/>
  <c r="BA571" i="9"/>
  <c r="HZ571" i="9" s="1"/>
  <c r="HY571" i="9"/>
  <c r="BB571" i="9"/>
  <c r="BB598" i="9"/>
  <c r="BA598" i="9"/>
  <c r="HZ598" i="9" s="1"/>
  <c r="HY598" i="9"/>
  <c r="BB489" i="9"/>
  <c r="BB497" i="9"/>
  <c r="BA506" i="9"/>
  <c r="HZ506" i="9" s="1"/>
  <c r="BA514" i="9"/>
  <c r="HZ514" i="9" s="1"/>
  <c r="DA522" i="9"/>
  <c r="IA522" i="9" s="1"/>
  <c r="DU525" i="9"/>
  <c r="HN528" i="9"/>
  <c r="HY529" i="9"/>
  <c r="DU531" i="9"/>
  <c r="HN532" i="9"/>
  <c r="CA534" i="9"/>
  <c r="EY534" i="9" s="1"/>
  <c r="HN535" i="9"/>
  <c r="EW536" i="9"/>
  <c r="HY536" i="9" s="1"/>
  <c r="HN538" i="9"/>
  <c r="DA548" i="9"/>
  <c r="HN549" i="9"/>
  <c r="HY553" i="9"/>
  <c r="BB553" i="9"/>
  <c r="HN553" i="9"/>
  <c r="FV555" i="9"/>
  <c r="HY556" i="9"/>
  <c r="HN558" i="9"/>
  <c r="IA560" i="9"/>
  <c r="HX560" i="9"/>
  <c r="HV560" i="9" s="1"/>
  <c r="BB568" i="9"/>
  <c r="BA572" i="9"/>
  <c r="HZ572" i="9" s="1"/>
  <c r="HY572" i="9"/>
  <c r="BB579" i="9"/>
  <c r="BA579" i="9"/>
  <c r="HZ579" i="9" s="1"/>
  <c r="HY579" i="9"/>
  <c r="BB583" i="9"/>
  <c r="BA583" i="9"/>
  <c r="HZ583" i="9" s="1"/>
  <c r="BB587" i="9"/>
  <c r="BA587" i="9"/>
  <c r="HZ587" i="9" s="1"/>
  <c r="HY587" i="9"/>
  <c r="HN589" i="9"/>
  <c r="BB597" i="9"/>
  <c r="BA597" i="9"/>
  <c r="HZ597" i="9" s="1"/>
  <c r="HN598" i="9"/>
  <c r="HY599" i="9"/>
  <c r="BB599" i="9"/>
  <c r="HY641" i="9"/>
  <c r="BA641" i="9"/>
  <c r="HZ641" i="9" s="1"/>
  <c r="BB641" i="9"/>
  <c r="BB642" i="9"/>
  <c r="BA642" i="9"/>
  <c r="HZ642" i="9" s="1"/>
  <c r="HY642" i="9"/>
  <c r="BB643" i="9"/>
  <c r="BA643" i="9"/>
  <c r="HZ643" i="9" s="1"/>
  <c r="HY643" i="9"/>
  <c r="HY657" i="9"/>
  <c r="BA657" i="9"/>
  <c r="HZ657" i="9" s="1"/>
  <c r="BB657" i="9"/>
  <c r="BB658" i="9"/>
  <c r="BA658" i="9"/>
  <c r="HZ658" i="9" s="1"/>
  <c r="HY658" i="9"/>
  <c r="BB659" i="9"/>
  <c r="BA659" i="9"/>
  <c r="HZ659" i="9" s="1"/>
  <c r="HY659" i="9"/>
  <c r="FV530" i="9"/>
  <c r="HY535" i="9"/>
  <c r="DU535" i="9"/>
  <c r="HN537" i="9"/>
  <c r="DU538" i="9"/>
  <c r="HY538" i="9"/>
  <c r="FI547" i="9"/>
  <c r="HN551" i="9"/>
  <c r="GG553" i="9"/>
  <c r="FV561" i="9"/>
  <c r="FV567" i="9"/>
  <c r="IA576" i="9"/>
  <c r="HX576" i="9"/>
  <c r="HV576" i="9" s="1"/>
  <c r="BA592" i="9"/>
  <c r="HZ592" i="9" s="1"/>
  <c r="HY592" i="9"/>
  <c r="HN599" i="9"/>
  <c r="BB600" i="9"/>
  <c r="HY600" i="9"/>
  <c r="HN604" i="9"/>
  <c r="FV606" i="9"/>
  <c r="GG528" i="9"/>
  <c r="DU530" i="9"/>
  <c r="HY530" i="9"/>
  <c r="GG532" i="9"/>
  <c r="HN541" i="9"/>
  <c r="DU542" i="9"/>
  <c r="HY542" i="9"/>
  <c r="FV549" i="9"/>
  <c r="HY551" i="9"/>
  <c r="DA551" i="9"/>
  <c r="BB557" i="9"/>
  <c r="BA557" i="9"/>
  <c r="HZ557" i="9" s="1"/>
  <c r="HY557" i="9"/>
  <c r="BB558" i="9"/>
  <c r="BA558" i="9"/>
  <c r="HZ558" i="9" s="1"/>
  <c r="FV570" i="9"/>
  <c r="FV574" i="9"/>
  <c r="HN575" i="9"/>
  <c r="HN580" i="9"/>
  <c r="HN584" i="9"/>
  <c r="FV589" i="9"/>
  <c r="BB592" i="9"/>
  <c r="BB595" i="9"/>
  <c r="HY595" i="9"/>
  <c r="BA600" i="9"/>
  <c r="HZ600" i="9" s="1"/>
  <c r="BB601" i="9"/>
  <c r="BA601" i="9"/>
  <c r="HZ601" i="9" s="1"/>
  <c r="HY601" i="9"/>
  <c r="BB602" i="9"/>
  <c r="BA602" i="9"/>
  <c r="HZ602" i="9" s="1"/>
  <c r="HY602" i="9"/>
  <c r="BB613" i="9"/>
  <c r="BA613" i="9"/>
  <c r="HZ613" i="9" s="1"/>
  <c r="HY613" i="9"/>
  <c r="BB630" i="9"/>
  <c r="BA630" i="9"/>
  <c r="HZ630" i="9" s="1"/>
  <c r="HY630" i="9"/>
  <c r="BB632" i="9"/>
  <c r="BA632" i="9"/>
  <c r="HZ632" i="9" s="1"/>
  <c r="HY632" i="9"/>
  <c r="BB633" i="9"/>
  <c r="BA633" i="9"/>
  <c r="HZ633" i="9" s="1"/>
  <c r="HY633" i="9"/>
  <c r="FV634" i="9"/>
  <c r="HY647" i="9"/>
  <c r="BA647" i="9"/>
  <c r="HZ647" i="9" s="1"/>
  <c r="BB647" i="9"/>
  <c r="BB648" i="9"/>
  <c r="BA648" i="9"/>
  <c r="HZ648" i="9" s="1"/>
  <c r="HY648" i="9"/>
  <c r="BB649" i="9"/>
  <c r="BA649" i="9"/>
  <c r="HZ649" i="9" s="1"/>
  <c r="HY649" i="9"/>
  <c r="FV650" i="9"/>
  <c r="EW485" i="9"/>
  <c r="HY485" i="9" s="1"/>
  <c r="HY487" i="9"/>
  <c r="HY531" i="9"/>
  <c r="HY537" i="9"/>
  <c r="DU537" i="9"/>
  <c r="HX539" i="9"/>
  <c r="HV539" i="9" s="1"/>
  <c r="BB555" i="9"/>
  <c r="BA555" i="9"/>
  <c r="HZ555" i="9" s="1"/>
  <c r="HY555" i="9"/>
  <c r="BB564" i="9"/>
  <c r="BA564" i="9"/>
  <c r="HZ564" i="9" s="1"/>
  <c r="FV580" i="9"/>
  <c r="HN590" i="9"/>
  <c r="HN594" i="9"/>
  <c r="BB618" i="9"/>
  <c r="BA618" i="9"/>
  <c r="HZ618" i="9" s="1"/>
  <c r="HY618" i="9"/>
  <c r="HX631" i="9"/>
  <c r="HV631" i="9" s="1"/>
  <c r="IA631" i="9"/>
  <c r="CZ477" i="9"/>
  <c r="HZ477" i="9" s="1"/>
  <c r="EW482" i="9"/>
  <c r="HY482" i="9" s="1"/>
  <c r="CZ483" i="9"/>
  <c r="EX483" i="9" s="1"/>
  <c r="HZ483" i="9" s="1"/>
  <c r="BA487" i="9"/>
  <c r="HZ487" i="9" s="1"/>
  <c r="BA505" i="9"/>
  <c r="HZ505" i="9" s="1"/>
  <c r="BA513" i="9"/>
  <c r="HZ513" i="9" s="1"/>
  <c r="CZ521" i="9"/>
  <c r="HZ521" i="9" s="1"/>
  <c r="HX528" i="9"/>
  <c r="HV528" i="9" s="1"/>
  <c r="DT534" i="9"/>
  <c r="EX534" i="9" s="1"/>
  <c r="HZ534" i="9" s="1"/>
  <c r="HN540" i="9"/>
  <c r="HY541" i="9"/>
  <c r="DU541" i="9"/>
  <c r="HN544" i="9"/>
  <c r="FV551" i="9"/>
  <c r="HY552" i="9"/>
  <c r="FV553" i="9"/>
  <c r="HN555" i="9"/>
  <c r="HY558" i="9"/>
  <c r="HY561" i="9"/>
  <c r="BB561" i="9"/>
  <c r="BB569" i="9"/>
  <c r="BA569" i="9"/>
  <c r="HZ569" i="9" s="1"/>
  <c r="HY569" i="9"/>
  <c r="BB570" i="9"/>
  <c r="BA570" i="9"/>
  <c r="HZ570" i="9" s="1"/>
  <c r="FV590" i="9"/>
  <c r="BB591" i="9"/>
  <c r="FV594" i="9"/>
  <c r="HY596" i="9"/>
  <c r="BB596" i="9"/>
  <c r="FV598" i="9"/>
  <c r="FV599" i="9"/>
  <c r="BB603" i="9"/>
  <c r="FV604" i="9"/>
  <c r="BB606" i="9"/>
  <c r="HY606" i="9"/>
  <c r="BB614" i="9"/>
  <c r="HY614" i="9"/>
  <c r="BA614" i="9"/>
  <c r="HZ614" i="9" s="1"/>
  <c r="FV626" i="9"/>
  <c r="HN646" i="9"/>
  <c r="DT530" i="9"/>
  <c r="HZ530" i="9" s="1"/>
  <c r="EW534" i="9"/>
  <c r="HY534" i="9" s="1"/>
  <c r="DT535" i="9"/>
  <c r="HZ535" i="9" s="1"/>
  <c r="DT538" i="9"/>
  <c r="HZ538" i="9" s="1"/>
  <c r="HY548" i="9"/>
  <c r="IA552" i="9"/>
  <c r="BB563" i="9"/>
  <c r="BA563" i="9"/>
  <c r="HZ563" i="9" s="1"/>
  <c r="HY563" i="9"/>
  <c r="HY564" i="9"/>
  <c r="BB567" i="9"/>
  <c r="BA567" i="9"/>
  <c r="HZ567" i="9" s="1"/>
  <c r="HY567" i="9"/>
  <c r="IA578" i="9"/>
  <c r="BB580" i="9"/>
  <c r="BA580" i="9"/>
  <c r="HZ580" i="9" s="1"/>
  <c r="HY586" i="9"/>
  <c r="BB586" i="9"/>
  <c r="BA586" i="9"/>
  <c r="HZ586" i="9" s="1"/>
  <c r="HY603" i="9"/>
  <c r="HN605" i="9"/>
  <c r="HY607" i="9"/>
  <c r="BB607" i="9"/>
  <c r="BA607" i="9"/>
  <c r="HZ607" i="9" s="1"/>
  <c r="BA611" i="9"/>
  <c r="HZ611" i="9" s="1"/>
  <c r="HY611" i="9"/>
  <c r="BB611" i="9"/>
  <c r="FV629" i="9"/>
  <c r="HX672" i="9"/>
  <c r="HV672" i="9" s="1"/>
  <c r="IA672" i="9"/>
  <c r="HY532" i="9"/>
  <c r="DU532" i="9"/>
  <c r="HY540" i="9"/>
  <c r="DU540" i="9"/>
  <c r="HY544" i="9"/>
  <c r="DU544" i="9"/>
  <c r="HY547" i="9"/>
  <c r="DA547" i="9"/>
  <c r="BB559" i="9"/>
  <c r="HY559" i="9"/>
  <c r="BA566" i="9"/>
  <c r="HZ566" i="9" s="1"/>
  <c r="HY566" i="9"/>
  <c r="BB573" i="9"/>
  <c r="BA573" i="9"/>
  <c r="HZ573" i="9" s="1"/>
  <c r="HY573" i="9"/>
  <c r="HY577" i="9"/>
  <c r="BB577" i="9"/>
  <c r="BB589" i="9"/>
  <c r="BA589" i="9"/>
  <c r="HZ589" i="9" s="1"/>
  <c r="HY589" i="9"/>
  <c r="BB590" i="9"/>
  <c r="BA590" i="9"/>
  <c r="HZ590" i="9" s="1"/>
  <c r="BB594" i="9"/>
  <c r="BA594" i="9"/>
  <c r="HZ594" i="9" s="1"/>
  <c r="HX615" i="9"/>
  <c r="HV615" i="9" s="1"/>
  <c r="IA615" i="9"/>
  <c r="BA627" i="9"/>
  <c r="HZ627" i="9" s="1"/>
  <c r="HY627" i="9"/>
  <c r="BB627" i="9"/>
  <c r="HY539" i="9"/>
  <c r="DU545" i="9"/>
  <c r="FV609" i="9"/>
  <c r="HN615" i="9"/>
  <c r="BA619" i="9"/>
  <c r="HZ619" i="9" s="1"/>
  <c r="HY619" i="9"/>
  <c r="BB619" i="9"/>
  <c r="HN623" i="9"/>
  <c r="HY628" i="9"/>
  <c r="BA628" i="9"/>
  <c r="HZ628" i="9" s="1"/>
  <c r="HN631" i="9"/>
  <c r="FV636" i="9"/>
  <c r="HY644" i="9"/>
  <c r="BA644" i="9"/>
  <c r="HZ644" i="9" s="1"/>
  <c r="FV652" i="9"/>
  <c r="HY660" i="9"/>
  <c r="BA660" i="9"/>
  <c r="HZ660" i="9" s="1"/>
  <c r="BA819" i="9"/>
  <c r="HZ819" i="9" s="1"/>
  <c r="HY819" i="9"/>
  <c r="BB819" i="9"/>
  <c r="HY560" i="9"/>
  <c r="HY576" i="9"/>
  <c r="FV607" i="9"/>
  <c r="BB610" i="9"/>
  <c r="BA610" i="9"/>
  <c r="HZ610" i="9" s="1"/>
  <c r="BB620" i="9"/>
  <c r="HY620" i="9"/>
  <c r="BB624" i="9"/>
  <c r="BA624" i="9"/>
  <c r="HZ624" i="9" s="1"/>
  <c r="BB638" i="9"/>
  <c r="BA638" i="9"/>
  <c r="HZ638" i="9" s="1"/>
  <c r="HY638" i="9"/>
  <c r="BB639" i="9"/>
  <c r="BA639" i="9"/>
  <c r="HZ639" i="9" s="1"/>
  <c r="HY639" i="9"/>
  <c r="FV640" i="9"/>
  <c r="HV644" i="9"/>
  <c r="IA645" i="9"/>
  <c r="HX645" i="9"/>
  <c r="HV645" i="9" s="1"/>
  <c r="FV646" i="9"/>
  <c r="BB654" i="9"/>
  <c r="BA654" i="9"/>
  <c r="HZ654" i="9" s="1"/>
  <c r="HY654" i="9"/>
  <c r="BB655" i="9"/>
  <c r="BA655" i="9"/>
  <c r="HZ655" i="9" s="1"/>
  <c r="HY655" i="9"/>
  <c r="FV656" i="9"/>
  <c r="HV660" i="9"/>
  <c r="IA661" i="9"/>
  <c r="HX661" i="9"/>
  <c r="HV661" i="9" s="1"/>
  <c r="FV662" i="9"/>
  <c r="FI677" i="9"/>
  <c r="DU686" i="9"/>
  <c r="DT686" i="9"/>
  <c r="HZ686" i="9" s="1"/>
  <c r="HY686" i="9"/>
  <c r="HI554" i="9"/>
  <c r="HJ554" i="9" s="1"/>
  <c r="HN554" i="9" s="1"/>
  <c r="BA560" i="9"/>
  <c r="HZ560" i="9" s="1"/>
  <c r="BA576" i="9"/>
  <c r="HZ576" i="9" s="1"/>
  <c r="BA609" i="9"/>
  <c r="HZ609" i="9" s="1"/>
  <c r="IA612" i="9"/>
  <c r="FV615" i="9"/>
  <c r="HN618" i="9"/>
  <c r="BA620" i="9"/>
  <c r="HZ620" i="9" s="1"/>
  <c r="FV623" i="9"/>
  <c r="HY625" i="9"/>
  <c r="BA625" i="9"/>
  <c r="HZ625" i="9" s="1"/>
  <c r="HN628" i="9"/>
  <c r="BB629" i="9"/>
  <c r="BA629" i="9"/>
  <c r="HZ629" i="9" s="1"/>
  <c r="HY629" i="9"/>
  <c r="FV630" i="9"/>
  <c r="HN633" i="9"/>
  <c r="BB634" i="9"/>
  <c r="BA634" i="9"/>
  <c r="HZ634" i="9" s="1"/>
  <c r="FV641" i="9"/>
  <c r="HN644" i="9"/>
  <c r="FV647" i="9"/>
  <c r="HN649" i="9"/>
  <c r="BB650" i="9"/>
  <c r="BA650" i="9"/>
  <c r="HZ650" i="9" s="1"/>
  <c r="FV657" i="9"/>
  <c r="HN660" i="9"/>
  <c r="HY562" i="9"/>
  <c r="HY578" i="9"/>
  <c r="BB609" i="9"/>
  <c r="HN612" i="9"/>
  <c r="BB622" i="9"/>
  <c r="BA622" i="9"/>
  <c r="HZ622" i="9" s="1"/>
  <c r="HY622" i="9"/>
  <c r="BA635" i="9"/>
  <c r="HZ635" i="9" s="1"/>
  <c r="HY635" i="9"/>
  <c r="BB635" i="9"/>
  <c r="BB636" i="9"/>
  <c r="BA636" i="9"/>
  <c r="HZ636" i="9" s="1"/>
  <c r="HY636" i="9"/>
  <c r="BA651" i="9"/>
  <c r="HZ651" i="9" s="1"/>
  <c r="HY651" i="9"/>
  <c r="BB651" i="9"/>
  <c r="BB652" i="9"/>
  <c r="BA652" i="9"/>
  <c r="HZ652" i="9" s="1"/>
  <c r="HY652" i="9"/>
  <c r="GG668" i="9"/>
  <c r="HK554" i="9"/>
  <c r="BA608" i="9"/>
  <c r="HZ608" i="9" s="1"/>
  <c r="HY610" i="9"/>
  <c r="HY615" i="9"/>
  <c r="BA615" i="9"/>
  <c r="HZ615" i="9" s="1"/>
  <c r="FV618" i="9"/>
  <c r="BB623" i="9"/>
  <c r="HY623" i="9"/>
  <c r="HN624" i="9"/>
  <c r="HN625" i="9"/>
  <c r="BB626" i="9"/>
  <c r="BA626" i="9"/>
  <c r="HZ626" i="9" s="1"/>
  <c r="HY626" i="9"/>
  <c r="FV633" i="9"/>
  <c r="HN639" i="9"/>
  <c r="BB640" i="9"/>
  <c r="BA640" i="9"/>
  <c r="HZ640" i="9" s="1"/>
  <c r="HN645" i="9"/>
  <c r="BB646" i="9"/>
  <c r="BA646" i="9"/>
  <c r="HZ646" i="9" s="1"/>
  <c r="FV649" i="9"/>
  <c r="HN655" i="9"/>
  <c r="BB656" i="9"/>
  <c r="BA656" i="9"/>
  <c r="HZ656" i="9" s="1"/>
  <c r="HN661" i="9"/>
  <c r="HY662" i="9"/>
  <c r="BB662" i="9"/>
  <c r="BA662" i="9"/>
  <c r="HZ662" i="9" s="1"/>
  <c r="HY666" i="9"/>
  <c r="BB666" i="9"/>
  <c r="BA666" i="9"/>
  <c r="HZ666" i="9" s="1"/>
  <c r="FY673" i="9"/>
  <c r="FZ673" i="9" s="1"/>
  <c r="GE673" i="9"/>
  <c r="GD673" i="9"/>
  <c r="GF673" i="9"/>
  <c r="BA715" i="9"/>
  <c r="BB715" i="9"/>
  <c r="FY679" i="9"/>
  <c r="FZ679" i="9" s="1"/>
  <c r="GG679" i="9" s="1"/>
  <c r="GF679" i="9"/>
  <c r="GD679" i="9"/>
  <c r="HY608" i="9"/>
  <c r="HN609" i="9"/>
  <c r="FV624" i="9"/>
  <c r="HY631" i="9"/>
  <c r="BA631" i="9"/>
  <c r="HZ631" i="9" s="1"/>
  <c r="HN636" i="9"/>
  <c r="FV639" i="9"/>
  <c r="IA644" i="9"/>
  <c r="FV645" i="9"/>
  <c r="HN652" i="9"/>
  <c r="FV655" i="9"/>
  <c r="IA660" i="9"/>
  <c r="FV661" i="9"/>
  <c r="GG669" i="9"/>
  <c r="IA702" i="9"/>
  <c r="HX702" i="9"/>
  <c r="HV702" i="9" s="1"/>
  <c r="BB663" i="9"/>
  <c r="HY663" i="9"/>
  <c r="GE668" i="9"/>
  <c r="GE669" i="9"/>
  <c r="GD670" i="9"/>
  <c r="GB670" i="9"/>
  <c r="GC670" i="9" s="1"/>
  <c r="GF670" i="9"/>
  <c r="HY671" i="9"/>
  <c r="DU671" i="9"/>
  <c r="GE671" i="9"/>
  <c r="FY671" i="9"/>
  <c r="FZ671" i="9" s="1"/>
  <c r="IA674" i="9"/>
  <c r="HX674" i="9"/>
  <c r="HV674" i="9" s="1"/>
  <c r="GF674" i="9"/>
  <c r="GE674" i="9"/>
  <c r="GD674" i="9"/>
  <c r="GB674" i="9"/>
  <c r="GC674" i="9" s="1"/>
  <c r="GG674" i="9" s="1"/>
  <c r="GG675" i="9"/>
  <c r="FG677" i="9"/>
  <c r="GF677" i="9"/>
  <c r="HY680" i="9"/>
  <c r="DU680" i="9"/>
  <c r="DT680" i="9"/>
  <c r="HZ680" i="9" s="1"/>
  <c r="GF680" i="9"/>
  <c r="GD680" i="9"/>
  <c r="GB680" i="9"/>
  <c r="GC680" i="9" s="1"/>
  <c r="GG680" i="9" s="1"/>
  <c r="HN684" i="9"/>
  <c r="DU693" i="9"/>
  <c r="HY693" i="9"/>
  <c r="IA696" i="9"/>
  <c r="FI703" i="9"/>
  <c r="DU705" i="9"/>
  <c r="DT705" i="9"/>
  <c r="HZ705" i="9" s="1"/>
  <c r="HY705" i="9"/>
  <c r="CZ712" i="9"/>
  <c r="CZ713" i="9"/>
  <c r="HX825" i="9"/>
  <c r="HV825" i="9" s="1"/>
  <c r="IA825" i="9"/>
  <c r="IA621" i="9"/>
  <c r="IA637" i="9"/>
  <c r="IA653" i="9"/>
  <c r="HN663" i="9"/>
  <c r="FV668" i="9"/>
  <c r="FH670" i="9"/>
  <c r="FF670" i="9"/>
  <c r="FD670" i="9"/>
  <c r="FE670" i="9" s="1"/>
  <c r="FI670" i="9" s="1"/>
  <c r="GF672" i="9"/>
  <c r="GD672" i="9"/>
  <c r="GB672" i="9"/>
  <c r="GC672" i="9" s="1"/>
  <c r="GG672" i="9" s="1"/>
  <c r="HY673" i="9"/>
  <c r="DU673" i="9"/>
  <c r="HN677" i="9"/>
  <c r="HY683" i="9"/>
  <c r="DU683" i="9"/>
  <c r="HN685" i="9"/>
  <c r="GG689" i="9"/>
  <c r="GG691" i="9"/>
  <c r="FV693" i="9"/>
  <c r="FI695" i="9"/>
  <c r="DU697" i="9"/>
  <c r="DT697" i="9"/>
  <c r="HZ697" i="9" s="1"/>
  <c r="HY697" i="9"/>
  <c r="DU699" i="9"/>
  <c r="DT699" i="9"/>
  <c r="HZ699" i="9" s="1"/>
  <c r="HY699" i="9"/>
  <c r="HN701" i="9"/>
  <c r="FI705" i="9"/>
  <c r="FV711" i="9"/>
  <c r="HN721" i="9"/>
  <c r="BB664" i="9"/>
  <c r="HY664" i="9"/>
  <c r="FV665" i="9"/>
  <c r="HN666" i="9"/>
  <c r="GF668" i="9"/>
  <c r="FI669" i="9"/>
  <c r="GF669" i="9"/>
  <c r="DT673" i="9"/>
  <c r="HZ673" i="9" s="1"/>
  <c r="FD674" i="9"/>
  <c r="FE674" i="9" s="1"/>
  <c r="FI674" i="9" s="1"/>
  <c r="FH674" i="9"/>
  <c r="FF674" i="9"/>
  <c r="FF675" i="9"/>
  <c r="HN675" i="9"/>
  <c r="FH677" i="9"/>
  <c r="HY679" i="9"/>
  <c r="DU679" i="9"/>
  <c r="DT679" i="9"/>
  <c r="HZ679" i="9" s="1"/>
  <c r="GE679" i="9"/>
  <c r="FH680" i="9"/>
  <c r="FG680" i="9"/>
  <c r="FF680" i="9"/>
  <c r="FD680" i="9"/>
  <c r="FE680" i="9" s="1"/>
  <c r="FI680" i="9" s="1"/>
  <c r="HN681" i="9"/>
  <c r="DT683" i="9"/>
  <c r="HZ683" i="9" s="1"/>
  <c r="FV692" i="9"/>
  <c r="FI693" i="9"/>
  <c r="IA694" i="9"/>
  <c r="HX694" i="9"/>
  <c r="HV694" i="9" s="1"/>
  <c r="HN695" i="9"/>
  <c r="FV697" i="9"/>
  <c r="FV699" i="9"/>
  <c r="HN705" i="9"/>
  <c r="CZ715" i="9"/>
  <c r="DA715" i="9"/>
  <c r="DA721" i="9"/>
  <c r="CZ721" i="9"/>
  <c r="CA723" i="9"/>
  <c r="BZ723" i="9"/>
  <c r="HZ723" i="9" s="1"/>
  <c r="HY723" i="9"/>
  <c r="CZ731" i="9"/>
  <c r="HZ731" i="9" s="1"/>
  <c r="HY731" i="9"/>
  <c r="DA731" i="9"/>
  <c r="DA767" i="9"/>
  <c r="IA767" i="9" s="1"/>
  <c r="HY767" i="9"/>
  <c r="CZ767" i="9"/>
  <c r="HZ767" i="9" s="1"/>
  <c r="DA782" i="9"/>
  <c r="CZ782" i="9"/>
  <c r="HZ782" i="9" s="1"/>
  <c r="HY782" i="9"/>
  <c r="HY645" i="9"/>
  <c r="HY661" i="9"/>
  <c r="HY667" i="9"/>
  <c r="DA667" i="9"/>
  <c r="FH672" i="9"/>
  <c r="FF672" i="9"/>
  <c r="FD672" i="9"/>
  <c r="FE672" i="9" s="1"/>
  <c r="FI672" i="9" s="1"/>
  <c r="FA673" i="9"/>
  <c r="FB673" i="9" s="1"/>
  <c r="FH673" i="9"/>
  <c r="GG673" i="9"/>
  <c r="HY677" i="9"/>
  <c r="DU677" i="9"/>
  <c r="FA679" i="9"/>
  <c r="FB679" i="9" s="1"/>
  <c r="FI679" i="9" s="1"/>
  <c r="FF679" i="9"/>
  <c r="GF682" i="9"/>
  <c r="GE682" i="9"/>
  <c r="GD682" i="9"/>
  <c r="GB682" i="9"/>
  <c r="GC682" i="9" s="1"/>
  <c r="GG682" i="9" s="1"/>
  <c r="HX684" i="9"/>
  <c r="HV684" i="9" s="1"/>
  <c r="IA684" i="9"/>
  <c r="DU689" i="9"/>
  <c r="DT689" i="9"/>
  <c r="HZ689" i="9" s="1"/>
  <c r="HY689" i="9"/>
  <c r="DU691" i="9"/>
  <c r="DT691" i="9"/>
  <c r="HZ691" i="9" s="1"/>
  <c r="HY691" i="9"/>
  <c r="DU700" i="9"/>
  <c r="DT700" i="9"/>
  <c r="HZ700" i="9" s="1"/>
  <c r="HY700" i="9"/>
  <c r="HY728" i="9"/>
  <c r="DA728" i="9"/>
  <c r="CZ728" i="9"/>
  <c r="HZ728" i="9" s="1"/>
  <c r="BA645" i="9"/>
  <c r="HZ645" i="9" s="1"/>
  <c r="BA661" i="9"/>
  <c r="HZ661" i="9" s="1"/>
  <c r="FV663" i="9"/>
  <c r="HN664" i="9"/>
  <c r="CZ667" i="9"/>
  <c r="HZ667" i="9" s="1"/>
  <c r="FY667" i="9"/>
  <c r="FZ667" i="9" s="1"/>
  <c r="GG667" i="9" s="1"/>
  <c r="GE667" i="9"/>
  <c r="HY668" i="9"/>
  <c r="DA668" i="9"/>
  <c r="HN668" i="9"/>
  <c r="HN669" i="9"/>
  <c r="FI671" i="9"/>
  <c r="DU676" i="9"/>
  <c r="DT677" i="9"/>
  <c r="HZ677" i="9" s="1"/>
  <c r="GE677" i="9"/>
  <c r="FY681" i="9"/>
  <c r="FZ681" i="9" s="1"/>
  <c r="GD681" i="9"/>
  <c r="HN683" i="9"/>
  <c r="DU687" i="9"/>
  <c r="DT687" i="9"/>
  <c r="HZ687" i="9" s="1"/>
  <c r="HY687" i="9"/>
  <c r="FV689" i="9"/>
  <c r="FV691" i="9"/>
  <c r="HN697" i="9"/>
  <c r="HN699" i="9"/>
  <c r="GG701" i="9"/>
  <c r="HY703" i="9"/>
  <c r="DU703" i="9"/>
  <c r="BB736" i="9"/>
  <c r="BA736" i="9"/>
  <c r="HZ736" i="9" s="1"/>
  <c r="HY736" i="9"/>
  <c r="BB665" i="9"/>
  <c r="HY665" i="9"/>
  <c r="FV666" i="9"/>
  <c r="CZ668" i="9"/>
  <c r="HZ668" i="9" s="1"/>
  <c r="HY669" i="9"/>
  <c r="DU669" i="9"/>
  <c r="FF671" i="9"/>
  <c r="FG672" i="9"/>
  <c r="FG673" i="9"/>
  <c r="HY675" i="9"/>
  <c r="DU675" i="9"/>
  <c r="GB676" i="9"/>
  <c r="GC676" i="9" s="1"/>
  <c r="GG676" i="9" s="1"/>
  <c r="GF676" i="9"/>
  <c r="GD676" i="9"/>
  <c r="GG677" i="9"/>
  <c r="FH678" i="9"/>
  <c r="FF678" i="9"/>
  <c r="FD678" i="9"/>
  <c r="FE678" i="9" s="1"/>
  <c r="FI678" i="9" s="1"/>
  <c r="FG679" i="9"/>
  <c r="HY681" i="9"/>
  <c r="DU681" i="9"/>
  <c r="DU692" i="9"/>
  <c r="DT692" i="9"/>
  <c r="HZ692" i="9" s="1"/>
  <c r="HY692" i="9"/>
  <c r="DU698" i="9"/>
  <c r="DU701" i="9"/>
  <c r="HY701" i="9"/>
  <c r="IA706" i="9"/>
  <c r="DU711" i="9"/>
  <c r="IA711" i="9" s="1"/>
  <c r="DT711" i="9"/>
  <c r="HZ711" i="9" s="1"/>
  <c r="BB712" i="9"/>
  <c r="EY712" i="9" s="1"/>
  <c r="BA712" i="9"/>
  <c r="BB713" i="9"/>
  <c r="EY713" i="9" s="1"/>
  <c r="BA713" i="9"/>
  <c r="DA759" i="9"/>
  <c r="IA759" i="9" s="1"/>
  <c r="HY759" i="9"/>
  <c r="CZ759" i="9"/>
  <c r="HZ759" i="9" s="1"/>
  <c r="DA761" i="9"/>
  <c r="IA761" i="9" s="1"/>
  <c r="HY761" i="9"/>
  <c r="CZ761" i="9"/>
  <c r="HZ761" i="9" s="1"/>
  <c r="HN662" i="9"/>
  <c r="BA665" i="9"/>
  <c r="HZ665" i="9" s="1"/>
  <c r="DT669" i="9"/>
  <c r="HZ669" i="9" s="1"/>
  <c r="DU670" i="9"/>
  <c r="FH671" i="9"/>
  <c r="HN671" i="9"/>
  <c r="HY672" i="9"/>
  <c r="FI673" i="9"/>
  <c r="HN673" i="9"/>
  <c r="DT675" i="9"/>
  <c r="HZ675" i="9" s="1"/>
  <c r="GD677" i="9"/>
  <c r="FG678" i="9"/>
  <c r="DT681" i="9"/>
  <c r="HZ681" i="9" s="1"/>
  <c r="GE681" i="9"/>
  <c r="FD682" i="9"/>
  <c r="FE682" i="9" s="1"/>
  <c r="FI682" i="9" s="1"/>
  <c r="FH682" i="9"/>
  <c r="FF682" i="9"/>
  <c r="DU685" i="9"/>
  <c r="HY685" i="9"/>
  <c r="HN687" i="9"/>
  <c r="DT688" i="9"/>
  <c r="HZ688" i="9" s="1"/>
  <c r="HY688" i="9"/>
  <c r="HN689" i="9"/>
  <c r="HN691" i="9"/>
  <c r="GG693" i="9"/>
  <c r="FI694" i="9"/>
  <c r="HY695" i="9"/>
  <c r="DU695" i="9"/>
  <c r="HY698" i="9"/>
  <c r="HN700" i="9"/>
  <c r="DT701" i="9"/>
  <c r="HZ701" i="9" s="1"/>
  <c r="FV703" i="9"/>
  <c r="HY708" i="9"/>
  <c r="DU708" i="9"/>
  <c r="DT708" i="9"/>
  <c r="HZ708" i="9" s="1"/>
  <c r="HX709" i="9"/>
  <c r="HV709" i="9" s="1"/>
  <c r="IA709" i="9"/>
  <c r="EW714" i="9"/>
  <c r="HY714" i="9" s="1"/>
  <c r="AZ714" i="9"/>
  <c r="FH676" i="9"/>
  <c r="GF678" i="9"/>
  <c r="HN717" i="9"/>
  <c r="HY718" i="9"/>
  <c r="HL721" i="9"/>
  <c r="GG727" i="9"/>
  <c r="BA737" i="9"/>
  <c r="HZ737" i="9" s="1"/>
  <c r="HY737" i="9"/>
  <c r="FV742" i="9"/>
  <c r="HN742" i="9"/>
  <c r="BA747" i="9"/>
  <c r="HZ747" i="9" s="1"/>
  <c r="HY747" i="9"/>
  <c r="HY748" i="9"/>
  <c r="BA748" i="9"/>
  <c r="HZ748" i="9" s="1"/>
  <c r="DA763" i="9"/>
  <c r="IA763" i="9" s="1"/>
  <c r="HY763" i="9"/>
  <c r="CZ763" i="9"/>
  <c r="HZ763" i="9" s="1"/>
  <c r="GG766" i="9"/>
  <c r="IA792" i="9"/>
  <c r="HX792" i="9"/>
  <c r="HV792" i="9" s="1"/>
  <c r="HX808" i="9"/>
  <c r="HV808" i="9" s="1"/>
  <c r="IA808" i="9"/>
  <c r="HY694" i="9"/>
  <c r="HY702" i="9"/>
  <c r="EW712" i="9"/>
  <c r="HY712" i="9" s="1"/>
  <c r="IA718" i="9"/>
  <c r="HX718" i="9"/>
  <c r="HV718" i="9" s="1"/>
  <c r="GE721" i="9"/>
  <c r="GD721" i="9"/>
  <c r="GF721" i="9"/>
  <c r="HY730" i="9"/>
  <c r="DA730" i="9"/>
  <c r="HY732" i="9"/>
  <c r="DA732" i="9"/>
  <c r="CZ732" i="9"/>
  <c r="HZ732" i="9" s="1"/>
  <c r="HX737" i="9"/>
  <c r="HV737" i="9" s="1"/>
  <c r="HN739" i="9"/>
  <c r="GU742" i="9"/>
  <c r="GV742" i="9" s="1"/>
  <c r="HC742" i="9" s="1"/>
  <c r="HA742" i="9"/>
  <c r="GZ742" i="9"/>
  <c r="HY744" i="9"/>
  <c r="DA744" i="9"/>
  <c r="CZ744" i="9"/>
  <c r="HZ744" i="9" s="1"/>
  <c r="GR745" i="9"/>
  <c r="HY746" i="9"/>
  <c r="DA746" i="9"/>
  <c r="IA748" i="9"/>
  <c r="FV749" i="9"/>
  <c r="FV750" i="9"/>
  <c r="BB754" i="9"/>
  <c r="BA754" i="9"/>
  <c r="HZ754" i="9" s="1"/>
  <c r="HY754" i="9"/>
  <c r="DA777" i="9"/>
  <c r="CZ777" i="9"/>
  <c r="HZ777" i="9" s="1"/>
  <c r="HY777" i="9"/>
  <c r="FV781" i="9"/>
  <c r="DT684" i="9"/>
  <c r="HZ684" i="9" s="1"/>
  <c r="DT694" i="9"/>
  <c r="HZ694" i="9" s="1"/>
  <c r="DT702" i="9"/>
  <c r="HZ702" i="9" s="1"/>
  <c r="DT707" i="9"/>
  <c r="HZ707" i="9" s="1"/>
  <c r="CZ718" i="9"/>
  <c r="HZ718" i="9" s="1"/>
  <c r="CA720" i="9"/>
  <c r="HY720" i="9"/>
  <c r="HM720" i="9"/>
  <c r="HW720" i="9" s="1"/>
  <c r="HL720" i="9"/>
  <c r="CZ730" i="9"/>
  <c r="HZ730" i="9" s="1"/>
  <c r="GG735" i="9"/>
  <c r="HY740" i="9"/>
  <c r="BB740" i="9"/>
  <c r="BA740" i="9"/>
  <c r="HZ740" i="9" s="1"/>
  <c r="HB740" i="9"/>
  <c r="HA740" i="9"/>
  <c r="GX740" i="9"/>
  <c r="GY740" i="9" s="1"/>
  <c r="HC740" i="9" s="1"/>
  <c r="CZ746" i="9"/>
  <c r="HZ746" i="9" s="1"/>
  <c r="GR748" i="9"/>
  <c r="HY752" i="9"/>
  <c r="BB752" i="9"/>
  <c r="IA752" i="9" s="1"/>
  <c r="BA752" i="9"/>
  <c r="HZ752" i="9" s="1"/>
  <c r="HN754" i="9"/>
  <c r="HY755" i="9"/>
  <c r="DA755" i="9"/>
  <c r="CZ755" i="9"/>
  <c r="HZ755" i="9" s="1"/>
  <c r="HY758" i="9"/>
  <c r="DA758" i="9"/>
  <c r="CZ758" i="9"/>
  <c r="HZ758" i="9" s="1"/>
  <c r="HY769" i="9"/>
  <c r="DA769" i="9"/>
  <c r="CZ769" i="9"/>
  <c r="HZ769" i="9" s="1"/>
  <c r="HY770" i="9"/>
  <c r="DA770" i="9"/>
  <c r="CZ770" i="9"/>
  <c r="HZ770" i="9" s="1"/>
  <c r="GG773" i="9"/>
  <c r="FV788" i="9"/>
  <c r="GF675" i="9"/>
  <c r="FH681" i="9"/>
  <c r="HY696" i="9"/>
  <c r="HY704" i="9"/>
  <c r="DU707" i="9"/>
  <c r="HK719" i="9"/>
  <c r="HI719" i="9"/>
  <c r="HJ719" i="9" s="1"/>
  <c r="HN719" i="9" s="1"/>
  <c r="HL719" i="9"/>
  <c r="HN720" i="9"/>
  <c r="GG721" i="9"/>
  <c r="HY729" i="9"/>
  <c r="DA729" i="9"/>
  <c r="CZ729" i="9"/>
  <c r="HZ729" i="9" s="1"/>
  <c r="IA734" i="9"/>
  <c r="HX734" i="9"/>
  <c r="HV734" i="9" s="1"/>
  <c r="FV739" i="9"/>
  <c r="FV745" i="9"/>
  <c r="HN749" i="9"/>
  <c r="HN750" i="9"/>
  <c r="HY756" i="9"/>
  <c r="DA756" i="9"/>
  <c r="CZ756" i="9"/>
  <c r="HZ756" i="9" s="1"/>
  <c r="IA772" i="9"/>
  <c r="HX772" i="9"/>
  <c r="HV772" i="9" s="1"/>
  <c r="BB788" i="9"/>
  <c r="BA788" i="9"/>
  <c r="FV790" i="9"/>
  <c r="FD676" i="9"/>
  <c r="FE676" i="9" s="1"/>
  <c r="FI676" i="9" s="1"/>
  <c r="GB678" i="9"/>
  <c r="GC678" i="9" s="1"/>
  <c r="GG678" i="9" s="1"/>
  <c r="CZ719" i="9"/>
  <c r="HZ719" i="9" s="1"/>
  <c r="DA719" i="9"/>
  <c r="HY738" i="9"/>
  <c r="CZ738" i="9"/>
  <c r="HZ738" i="9" s="1"/>
  <c r="CA742" i="9"/>
  <c r="HY742" i="9"/>
  <c r="HN748" i="9"/>
  <c r="BB749" i="9"/>
  <c r="BA749" i="9"/>
  <c r="HZ749" i="9" s="1"/>
  <c r="BB750" i="9"/>
  <c r="BA750" i="9"/>
  <c r="HZ750" i="9" s="1"/>
  <c r="FV754" i="9"/>
  <c r="HY765" i="9"/>
  <c r="CZ765" i="9"/>
  <c r="HZ765" i="9" s="1"/>
  <c r="DA775" i="9"/>
  <c r="CZ775" i="9"/>
  <c r="HZ775" i="9" s="1"/>
  <c r="HY775" i="9"/>
  <c r="IA781" i="9"/>
  <c r="HX781" i="9"/>
  <c r="HV781" i="9" s="1"/>
  <c r="GR740" i="9"/>
  <c r="HB742" i="9"/>
  <c r="GR746" i="9"/>
  <c r="HX747" i="9"/>
  <c r="HV747" i="9" s="1"/>
  <c r="HC749" i="9"/>
  <c r="HC750" i="9"/>
  <c r="DA765" i="9"/>
  <c r="IA765" i="9" s="1"/>
  <c r="HY768" i="9"/>
  <c r="DA768" i="9"/>
  <c r="CZ768" i="9"/>
  <c r="HZ768" i="9" s="1"/>
  <c r="DU788" i="9"/>
  <c r="DT788" i="9"/>
  <c r="HZ788" i="9" s="1"/>
  <c r="HN792" i="9"/>
  <c r="BA810" i="9"/>
  <c r="HZ810" i="9" s="1"/>
  <c r="HY810" i="9"/>
  <c r="BB810" i="9"/>
  <c r="HY717" i="9"/>
  <c r="BB717" i="9"/>
  <c r="FV718" i="9"/>
  <c r="GF719" i="9"/>
  <c r="HK721" i="9"/>
  <c r="CA722" i="9"/>
  <c r="BZ722" i="9"/>
  <c r="HZ722" i="9" s="1"/>
  <c r="HY734" i="9"/>
  <c r="HN738" i="9"/>
  <c r="DA739" i="9"/>
  <c r="CZ739" i="9"/>
  <c r="HZ739" i="9" s="1"/>
  <c r="HN740" i="9"/>
  <c r="HC741" i="9"/>
  <c r="HN744" i="9"/>
  <c r="HY745" i="9"/>
  <c r="DA745" i="9"/>
  <c r="CZ745" i="9"/>
  <c r="HZ745" i="9" s="1"/>
  <c r="GZ745" i="9"/>
  <c r="GX745" i="9"/>
  <c r="GY745" i="9" s="1"/>
  <c r="HC745" i="9" s="1"/>
  <c r="HA745" i="9"/>
  <c r="DA762" i="9"/>
  <c r="IA762" i="9" s="1"/>
  <c r="HY762" i="9"/>
  <c r="CZ762" i="9"/>
  <c r="HZ762" i="9" s="1"/>
  <c r="HY772" i="9"/>
  <c r="DA779" i="9"/>
  <c r="CZ779" i="9"/>
  <c r="HZ779" i="9" s="1"/>
  <c r="HY779" i="9"/>
  <c r="GG784" i="9"/>
  <c r="GG785" i="9"/>
  <c r="GG786" i="9"/>
  <c r="GG787" i="9"/>
  <c r="HN788" i="9"/>
  <c r="DA790" i="9"/>
  <c r="CZ790" i="9"/>
  <c r="HZ790" i="9" s="1"/>
  <c r="HY790" i="9"/>
  <c r="BB813" i="9"/>
  <c r="HY813" i="9"/>
  <c r="BA813" i="9"/>
  <c r="HZ813" i="9" s="1"/>
  <c r="BY721" i="9"/>
  <c r="CA724" i="9"/>
  <c r="IA724" i="9" s="1"/>
  <c r="CA725" i="9"/>
  <c r="IA725" i="9" s="1"/>
  <c r="CA726" i="9"/>
  <c r="IA726" i="9" s="1"/>
  <c r="DA727" i="9"/>
  <c r="HY727" i="9"/>
  <c r="DA735" i="9"/>
  <c r="HY735" i="9"/>
  <c r="CA743" i="9"/>
  <c r="HY743" i="9"/>
  <c r="GZ744" i="9"/>
  <c r="HB746" i="9"/>
  <c r="BB751" i="9"/>
  <c r="DA766" i="9"/>
  <c r="IA766" i="9" s="1"/>
  <c r="DU773" i="9"/>
  <c r="HY773" i="9"/>
  <c r="DA774" i="9"/>
  <c r="DA776" i="9"/>
  <c r="DA778" i="9"/>
  <c r="DA780" i="9"/>
  <c r="DA784" i="9"/>
  <c r="HY784" i="9"/>
  <c r="DA785" i="9"/>
  <c r="HY785" i="9"/>
  <c r="DA786" i="9"/>
  <c r="HY786" i="9"/>
  <c r="DA787" i="9"/>
  <c r="HY787" i="9"/>
  <c r="DU789" i="9"/>
  <c r="HX793" i="9"/>
  <c r="HV793" i="9" s="1"/>
  <c r="FU795" i="9"/>
  <c r="BA808" i="9"/>
  <c r="HZ808" i="9" s="1"/>
  <c r="HY808" i="9"/>
  <c r="GG817" i="9"/>
  <c r="BB824" i="9"/>
  <c r="HY824" i="9"/>
  <c r="BB827" i="9"/>
  <c r="BA827" i="9"/>
  <c r="HZ827" i="9" s="1"/>
  <c r="HY827" i="9"/>
  <c r="HB744" i="9"/>
  <c r="IA783" i="9"/>
  <c r="GG795" i="9"/>
  <c r="BA797" i="9"/>
  <c r="HZ797" i="9" s="1"/>
  <c r="HY797" i="9"/>
  <c r="HY799" i="9"/>
  <c r="BB805" i="9"/>
  <c r="HY805" i="9"/>
  <c r="FV807" i="9"/>
  <c r="BB811" i="9"/>
  <c r="BA811" i="9"/>
  <c r="HZ811" i="9" s="1"/>
  <c r="HY811" i="9"/>
  <c r="IA814" i="9"/>
  <c r="HX814" i="9"/>
  <c r="HV814" i="9" s="1"/>
  <c r="HX816" i="9"/>
  <c r="HV816" i="9" s="1"/>
  <c r="HN824" i="9"/>
  <c r="BB840" i="9"/>
  <c r="BA840" i="9"/>
  <c r="HZ840" i="9" s="1"/>
  <c r="HY840" i="9"/>
  <c r="GZ741" i="9"/>
  <c r="HB743" i="9"/>
  <c r="AZ753" i="9"/>
  <c r="HL793" i="9"/>
  <c r="HY794" i="9"/>
  <c r="BB796" i="9"/>
  <c r="IA796" i="9" s="1"/>
  <c r="HY796" i="9"/>
  <c r="BB797" i="9"/>
  <c r="IA797" i="9" s="1"/>
  <c r="GG798" i="9"/>
  <c r="BA801" i="9"/>
  <c r="FV802" i="9"/>
  <c r="BB804" i="9"/>
  <c r="BA805" i="9"/>
  <c r="HZ805" i="9" s="1"/>
  <c r="IA806" i="9"/>
  <c r="GG811" i="9"/>
  <c r="FV812" i="9"/>
  <c r="HN813" i="9"/>
  <c r="BB817" i="9"/>
  <c r="BA817" i="9"/>
  <c r="HZ817" i="9" s="1"/>
  <c r="DA866" i="9"/>
  <c r="HY866" i="9"/>
  <c r="CZ866" i="9"/>
  <c r="HZ866" i="9" s="1"/>
  <c r="CA869" i="9"/>
  <c r="EY869" i="9" s="1"/>
  <c r="BZ869" i="9"/>
  <c r="EX869" i="9" s="1"/>
  <c r="HZ869" i="9" s="1"/>
  <c r="HY781" i="9"/>
  <c r="HN793" i="9"/>
  <c r="BB822" i="9"/>
  <c r="BA822" i="9"/>
  <c r="HZ822" i="9" s="1"/>
  <c r="HY822" i="9"/>
  <c r="BB823" i="9"/>
  <c r="BA823" i="9"/>
  <c r="HZ823" i="9" s="1"/>
  <c r="BB846" i="9"/>
  <c r="BA846" i="9"/>
  <c r="HZ846" i="9" s="1"/>
  <c r="HY846" i="9"/>
  <c r="GD719" i="9"/>
  <c r="CZ757" i="9"/>
  <c r="HZ757" i="9" s="1"/>
  <c r="CZ760" i="9"/>
  <c r="HZ760" i="9" s="1"/>
  <c r="HY760" i="9"/>
  <c r="CZ781" i="9"/>
  <c r="HZ781" i="9" s="1"/>
  <c r="DT791" i="9"/>
  <c r="BA792" i="9"/>
  <c r="HK793" i="9"/>
  <c r="BB794" i="9"/>
  <c r="FT795" i="9"/>
  <c r="BA799" i="9"/>
  <c r="HZ799" i="9" s="1"/>
  <c r="HY807" i="9"/>
  <c r="BB807" i="9"/>
  <c r="HF811" i="9"/>
  <c r="HG811" i="9" s="1"/>
  <c r="HN811" i="9" s="1"/>
  <c r="HK811" i="9"/>
  <c r="BB812" i="9"/>
  <c r="BA812" i="9"/>
  <c r="HZ812" i="9" s="1"/>
  <c r="BB818" i="9"/>
  <c r="BA818" i="9"/>
  <c r="HZ818" i="9" s="1"/>
  <c r="HY818" i="9"/>
  <c r="BB820" i="9"/>
  <c r="BA820" i="9"/>
  <c r="HZ820" i="9" s="1"/>
  <c r="HY820" i="9"/>
  <c r="HN822" i="9"/>
  <c r="FV824" i="9"/>
  <c r="HY751" i="9"/>
  <c r="DA757" i="9"/>
  <c r="HY780" i="9"/>
  <c r="HY789" i="9"/>
  <c r="FV795" i="9"/>
  <c r="HV806" i="9"/>
  <c r="HY823" i="9"/>
  <c r="IA834" i="9"/>
  <c r="HX834" i="9"/>
  <c r="HV834" i="9" s="1"/>
  <c r="BB842" i="9"/>
  <c r="BA842" i="9"/>
  <c r="HZ842" i="9" s="1"/>
  <c r="HY842" i="9"/>
  <c r="EW856" i="9"/>
  <c r="HY856" i="9" s="1"/>
  <c r="BY856" i="9"/>
  <c r="CZ766" i="9"/>
  <c r="HZ766" i="9" s="1"/>
  <c r="FS795" i="9"/>
  <c r="FS796" i="9"/>
  <c r="FN796" i="9"/>
  <c r="FO796" i="9" s="1"/>
  <c r="FV796" i="9" s="1"/>
  <c r="FU796" i="9"/>
  <c r="FU797" i="9"/>
  <c r="FS797" i="9"/>
  <c r="FQ797" i="9"/>
  <c r="FR797" i="9" s="1"/>
  <c r="FV797" i="9" s="1"/>
  <c r="HY798" i="9"/>
  <c r="FV801" i="9"/>
  <c r="BA802" i="9"/>
  <c r="HZ802" i="9" s="1"/>
  <c r="BB803" i="9"/>
  <c r="HY803" i="9"/>
  <c r="HY804" i="9"/>
  <c r="FV805" i="9"/>
  <c r="HN807" i="9"/>
  <c r="BB809" i="9"/>
  <c r="HY809" i="9"/>
  <c r="HL811" i="9"/>
  <c r="HY812" i="9"/>
  <c r="HY815" i="9"/>
  <c r="BB815" i="9"/>
  <c r="BB821" i="9"/>
  <c r="BB826" i="9"/>
  <c r="HY826" i="9"/>
  <c r="BA826" i="9"/>
  <c r="HZ826" i="9" s="1"/>
  <c r="BB833" i="9"/>
  <c r="BA833" i="9"/>
  <c r="HK794" i="9"/>
  <c r="HM810" i="9"/>
  <c r="HW810" i="9" s="1"/>
  <c r="HY825" i="9"/>
  <c r="FV831" i="9"/>
  <c r="HY832" i="9"/>
  <c r="BA832" i="9"/>
  <c r="HZ832" i="9" s="1"/>
  <c r="BB832" i="9"/>
  <c r="BA837" i="9"/>
  <c r="HZ837" i="9" s="1"/>
  <c r="HY837" i="9"/>
  <c r="BB837" i="9"/>
  <c r="GG840" i="9"/>
  <c r="BA845" i="9"/>
  <c r="HZ845" i="9" s="1"/>
  <c r="HY845" i="9"/>
  <c r="BB845" i="9"/>
  <c r="HN846" i="9"/>
  <c r="GG852" i="9"/>
  <c r="FV854" i="9"/>
  <c r="HY880" i="9"/>
  <c r="DA880" i="9"/>
  <c r="CZ880" i="9"/>
  <c r="HZ880" i="9" s="1"/>
  <c r="HY814" i="9"/>
  <c r="HY828" i="9"/>
  <c r="BA828" i="9"/>
  <c r="HZ828" i="9" s="1"/>
  <c r="HN828" i="9"/>
  <c r="HX833" i="9"/>
  <c r="HV833" i="9" s="1"/>
  <c r="IA833" i="9"/>
  <c r="BB838" i="9"/>
  <c r="BA838" i="9"/>
  <c r="HZ838" i="9" s="1"/>
  <c r="FL795" i="9"/>
  <c r="BA814" i="9"/>
  <c r="HZ814" i="9" s="1"/>
  <c r="HY816" i="9"/>
  <c r="BA825" i="9"/>
  <c r="HZ825" i="9" s="1"/>
  <c r="BB828" i="9"/>
  <c r="BA830" i="9"/>
  <c r="HZ830" i="9" s="1"/>
  <c r="HY830" i="9"/>
  <c r="BB830" i="9"/>
  <c r="GG838" i="9"/>
  <c r="BA843" i="9"/>
  <c r="HZ843" i="9" s="1"/>
  <c r="HY843" i="9"/>
  <c r="BB843" i="9"/>
  <c r="HN854" i="9"/>
  <c r="DU855" i="9"/>
  <c r="DT855" i="9"/>
  <c r="HN830" i="9"/>
  <c r="IA831" i="9"/>
  <c r="HX831" i="9"/>
  <c r="HV831" i="9" s="1"/>
  <c r="BA835" i="9"/>
  <c r="HZ835" i="9" s="1"/>
  <c r="HY835" i="9"/>
  <c r="BB835" i="9"/>
  <c r="BB836" i="9"/>
  <c r="BA836" i="9"/>
  <c r="HZ836" i="9" s="1"/>
  <c r="BB844" i="9"/>
  <c r="BA844" i="9"/>
  <c r="HZ844" i="9" s="1"/>
  <c r="HX848" i="9"/>
  <c r="HV848" i="9" s="1"/>
  <c r="IA848" i="9"/>
  <c r="FV852" i="9"/>
  <c r="HI810" i="9"/>
  <c r="HJ810" i="9" s="1"/>
  <c r="HN810" i="9" s="1"/>
  <c r="GG828" i="9"/>
  <c r="BA831" i="9"/>
  <c r="HZ831" i="9" s="1"/>
  <c r="GG836" i="9"/>
  <c r="HY838" i="9"/>
  <c r="BA841" i="9"/>
  <c r="HZ841" i="9" s="1"/>
  <c r="HY841" i="9"/>
  <c r="BB841" i="9"/>
  <c r="GG844" i="9"/>
  <c r="FV845" i="9"/>
  <c r="HN848" i="9"/>
  <c r="HN849" i="9"/>
  <c r="HX850" i="9"/>
  <c r="HV850" i="9" s="1"/>
  <c r="IA850" i="9"/>
  <c r="DU854" i="9"/>
  <c r="DT854" i="9"/>
  <c r="HZ854" i="9" s="1"/>
  <c r="HY854" i="9"/>
  <c r="HY831" i="9"/>
  <c r="BB834" i="9"/>
  <c r="BA834" i="9"/>
  <c r="HY836" i="9"/>
  <c r="BA839" i="9"/>
  <c r="HZ839" i="9" s="1"/>
  <c r="HY839" i="9"/>
  <c r="BB839" i="9"/>
  <c r="GG842" i="9"/>
  <c r="HY844" i="9"/>
  <c r="FV847" i="9"/>
  <c r="HY852" i="9"/>
  <c r="CA852" i="9"/>
  <c r="DT856" i="9"/>
  <c r="DU856" i="9"/>
  <c r="BZ833" i="9"/>
  <c r="HZ833" i="9" s="1"/>
  <c r="BA848" i="9"/>
  <c r="HZ848" i="9" s="1"/>
  <c r="BA850" i="9"/>
  <c r="HZ850" i="9" s="1"/>
  <c r="BY855" i="9"/>
  <c r="DA883" i="9"/>
  <c r="HY883" i="9"/>
  <c r="CZ883" i="9"/>
  <c r="HZ883" i="9" s="1"/>
  <c r="HY847" i="9"/>
  <c r="HY849" i="9"/>
  <c r="HX851" i="9"/>
  <c r="HV851" i="9" s="1"/>
  <c r="FV856" i="9"/>
  <c r="FV857" i="9"/>
  <c r="FV859" i="9"/>
  <c r="FV861" i="9"/>
  <c r="HN864" i="9"/>
  <c r="HY865" i="9"/>
  <c r="CA865" i="9"/>
  <c r="GG867" i="9"/>
  <c r="HV887" i="9"/>
  <c r="HY851" i="9"/>
  <c r="CA864" i="9"/>
  <c r="HY864" i="9"/>
  <c r="BZ872" i="9"/>
  <c r="HZ872" i="9" s="1"/>
  <c r="CA872" i="9"/>
  <c r="IA872" i="9" s="1"/>
  <c r="IA914" i="9"/>
  <c r="HX914" i="9"/>
  <c r="HV914" i="9" s="1"/>
  <c r="DT853" i="9"/>
  <c r="HZ853" i="9" s="1"/>
  <c r="HN856" i="9"/>
  <c r="HN857" i="9"/>
  <c r="HN858" i="9"/>
  <c r="HN859" i="9"/>
  <c r="HN860" i="9"/>
  <c r="HN861" i="9"/>
  <c r="HN862" i="9"/>
  <c r="HY863" i="9"/>
  <c r="CA863" i="9"/>
  <c r="BZ864" i="9"/>
  <c r="HZ864" i="9" s="1"/>
  <c r="GG865" i="9"/>
  <c r="HX868" i="9"/>
  <c r="HV868" i="9" s="1"/>
  <c r="HY857" i="9"/>
  <c r="DU857" i="9"/>
  <c r="DU858" i="9"/>
  <c r="HY858" i="9"/>
  <c r="HY859" i="9"/>
  <c r="DU859" i="9"/>
  <c r="DU860" i="9"/>
  <c r="HY860" i="9"/>
  <c r="HY861" i="9"/>
  <c r="DU861" i="9"/>
  <c r="DU862" i="9"/>
  <c r="HY862" i="9"/>
  <c r="CZ877" i="9"/>
  <c r="HZ877" i="9" s="1"/>
  <c r="HY877" i="9"/>
  <c r="EW894" i="9"/>
  <c r="HY894" i="9" s="1"/>
  <c r="ES894" i="9"/>
  <c r="IA900" i="9"/>
  <c r="HX900" i="9"/>
  <c r="HV900" i="9" s="1"/>
  <c r="DT857" i="9"/>
  <c r="HZ857" i="9" s="1"/>
  <c r="DT858" i="9"/>
  <c r="HZ858" i="9" s="1"/>
  <c r="DT859" i="9"/>
  <c r="HZ859" i="9" s="1"/>
  <c r="DT860" i="9"/>
  <c r="HZ860" i="9" s="1"/>
  <c r="DT861" i="9"/>
  <c r="HZ861" i="9" s="1"/>
  <c r="DT862" i="9"/>
  <c r="HZ862" i="9" s="1"/>
  <c r="GG863" i="9"/>
  <c r="HY873" i="9"/>
  <c r="CA873" i="9"/>
  <c r="IA873" i="9" s="1"/>
  <c r="BZ873" i="9"/>
  <c r="HZ873" i="9" s="1"/>
  <c r="HY876" i="9"/>
  <c r="DA876" i="9"/>
  <c r="CZ876" i="9"/>
  <c r="HZ876" i="9" s="1"/>
  <c r="HX877" i="9"/>
  <c r="HV877" i="9" s="1"/>
  <c r="IA877" i="9"/>
  <c r="CZ884" i="9"/>
  <c r="HZ884" i="9" s="1"/>
  <c r="HY884" i="9"/>
  <c r="DA884" i="9"/>
  <c r="BZ899" i="9"/>
  <c r="HZ899" i="9" s="1"/>
  <c r="HY899" i="9"/>
  <c r="CA899" i="9"/>
  <c r="GG857" i="9"/>
  <c r="GG858" i="9"/>
  <c r="GG859" i="9"/>
  <c r="GG860" i="9"/>
  <c r="GG861" i="9"/>
  <c r="GG862" i="9"/>
  <c r="FV865" i="9"/>
  <c r="DU870" i="9"/>
  <c r="HN871" i="9"/>
  <c r="CZ878" i="9"/>
  <c r="HZ878" i="9" s="1"/>
  <c r="DA878" i="9"/>
  <c r="HM880" i="9"/>
  <c r="HW880" i="9" s="1"/>
  <c r="HL880" i="9"/>
  <c r="HK880" i="9"/>
  <c r="HF880" i="9"/>
  <c r="HG880" i="9" s="1"/>
  <c r="HN880" i="9" s="1"/>
  <c r="CA923" i="9"/>
  <c r="EY923" i="9" s="1"/>
  <c r="IA923" i="9" s="1"/>
  <c r="BZ923" i="9"/>
  <c r="EX923" i="9" s="1"/>
  <c r="HZ923" i="9" s="1"/>
  <c r="EU888" i="9"/>
  <c r="IA888" i="9" s="1"/>
  <c r="CZ904" i="9"/>
  <c r="HZ904" i="9" s="1"/>
  <c r="HY904" i="9"/>
  <c r="HN907" i="9"/>
  <c r="HN908" i="9"/>
  <c r="FV931" i="9"/>
  <c r="IA933" i="9"/>
  <c r="HX933" i="9"/>
  <c r="HV933" i="9" s="1"/>
  <c r="HY940" i="9"/>
  <c r="CZ940" i="9"/>
  <c r="HZ940" i="9" s="1"/>
  <c r="DA940" i="9"/>
  <c r="HX1011" i="9"/>
  <c r="HV1011" i="9" s="1"/>
  <c r="IA1011" i="9"/>
  <c r="HF881" i="9"/>
  <c r="HG881" i="9" s="1"/>
  <c r="HN881" i="9" s="1"/>
  <c r="HM881" i="9"/>
  <c r="HW881" i="9" s="1"/>
  <c r="GG907" i="9"/>
  <c r="GG910" i="9"/>
  <c r="HY920" i="9"/>
  <c r="CA920" i="9"/>
  <c r="BZ920" i="9"/>
  <c r="HZ920" i="9" s="1"/>
  <c r="FV873" i="9"/>
  <c r="HY887" i="9"/>
  <c r="EU890" i="9"/>
  <c r="IA890" i="9" s="1"/>
  <c r="FV892" i="9"/>
  <c r="EU893" i="9"/>
  <c r="EY893" i="9" s="1"/>
  <c r="IA893" i="9" s="1"/>
  <c r="HN898" i="9"/>
  <c r="FV907" i="9"/>
  <c r="GG908" i="9"/>
  <c r="FI925" i="9"/>
  <c r="GG872" i="9"/>
  <c r="HM879" i="9"/>
  <c r="HW879" i="9" s="1"/>
  <c r="HK879" i="9"/>
  <c r="HY879" i="9"/>
  <c r="DA881" i="9"/>
  <c r="HY881" i="9"/>
  <c r="HY886" i="9"/>
  <c r="BZ886" i="9"/>
  <c r="HZ886" i="9" s="1"/>
  <c r="HN896" i="9"/>
  <c r="HX904" i="9"/>
  <c r="FV913" i="9"/>
  <c r="DA926" i="9"/>
  <c r="IA926" i="9" s="1"/>
  <c r="CZ926" i="9"/>
  <c r="HZ926" i="9" s="1"/>
  <c r="HY929" i="9"/>
  <c r="BB929" i="9"/>
  <c r="CZ868" i="9"/>
  <c r="HZ868" i="9" s="1"/>
  <c r="DS871" i="9"/>
  <c r="BZ874" i="9"/>
  <c r="HZ874" i="9" s="1"/>
  <c r="HN877" i="9"/>
  <c r="HF879" i="9"/>
  <c r="HG879" i="9" s="1"/>
  <c r="HN879" i="9" s="1"/>
  <c r="CZ881" i="9"/>
  <c r="HZ881" i="9" s="1"/>
  <c r="HK881" i="9"/>
  <c r="HL882" i="9"/>
  <c r="HF882" i="9"/>
  <c r="HG882" i="9" s="1"/>
  <c r="HN882" i="9" s="1"/>
  <c r="FV883" i="9"/>
  <c r="CA886" i="9"/>
  <c r="ET889" i="9"/>
  <c r="HZ889" i="9" s="1"/>
  <c r="ET892" i="9"/>
  <c r="EX892" i="9" s="1"/>
  <c r="HZ892" i="9" s="1"/>
  <c r="DA903" i="9"/>
  <c r="CZ903" i="9"/>
  <c r="HZ903" i="9" s="1"/>
  <c r="HY903" i="9"/>
  <c r="HN906" i="9"/>
  <c r="HY907" i="9"/>
  <c r="EU907" i="9"/>
  <c r="ET907" i="9"/>
  <c r="HZ907" i="9" s="1"/>
  <c r="HN917" i="9"/>
  <c r="FI923" i="9"/>
  <c r="BA929" i="9"/>
  <c r="HZ929" i="9" s="1"/>
  <c r="EY935" i="9"/>
  <c r="HL881" i="9"/>
  <c r="HY882" i="9"/>
  <c r="DA882" i="9"/>
  <c r="BZ897" i="9"/>
  <c r="HZ897" i="9" s="1"/>
  <c r="HY897" i="9"/>
  <c r="DA901" i="9"/>
  <c r="CZ901" i="9"/>
  <c r="HZ901" i="9" s="1"/>
  <c r="HY901" i="9"/>
  <c r="CZ902" i="9"/>
  <c r="HZ902" i="9" s="1"/>
  <c r="EU910" i="9"/>
  <c r="ET910" i="9"/>
  <c r="HZ910" i="9" s="1"/>
  <c r="HY910" i="9"/>
  <c r="EU913" i="9"/>
  <c r="ET913" i="9"/>
  <c r="HZ913" i="9" s="1"/>
  <c r="HY913" i="9"/>
  <c r="HY932" i="9"/>
  <c r="BZ932" i="9"/>
  <c r="HZ932" i="9" s="1"/>
  <c r="CA932" i="9"/>
  <c r="HN876" i="9"/>
  <c r="CZ882" i="9"/>
  <c r="HZ882" i="9" s="1"/>
  <c r="HF883" i="9"/>
  <c r="HG883" i="9" s="1"/>
  <c r="HN883" i="9" s="1"/>
  <c r="HL883" i="9"/>
  <c r="BA885" i="9"/>
  <c r="HZ885" i="9" s="1"/>
  <c r="ET891" i="9"/>
  <c r="HZ891" i="9" s="1"/>
  <c r="ES895" i="9"/>
  <c r="IA896" i="9"/>
  <c r="HX896" i="9"/>
  <c r="HV896" i="9" s="1"/>
  <c r="CA897" i="9"/>
  <c r="DA902" i="9"/>
  <c r="HY905" i="9"/>
  <c r="ET909" i="9"/>
  <c r="HZ909" i="9" s="1"/>
  <c r="HY909" i="9"/>
  <c r="EU909" i="9"/>
  <c r="HY911" i="9"/>
  <c r="IA915" i="9"/>
  <c r="HX915" i="9"/>
  <c r="HV915" i="9" s="1"/>
  <c r="FV928" i="9"/>
  <c r="EU908" i="9"/>
  <c r="DA924" i="9"/>
  <c r="CZ924" i="9"/>
  <c r="EX924" i="9" s="1"/>
  <c r="HZ924" i="9" s="1"/>
  <c r="HN939" i="9"/>
  <c r="HX963" i="9"/>
  <c r="HV963" i="9" s="1"/>
  <c r="IA963" i="9"/>
  <c r="HY937" i="9"/>
  <c r="DA937" i="9"/>
  <c r="DA943" i="9"/>
  <c r="CZ943" i="9"/>
  <c r="GR945" i="9"/>
  <c r="DA961" i="9"/>
  <c r="EY961" i="9" s="1"/>
  <c r="CZ961" i="9"/>
  <c r="GG921" i="9"/>
  <c r="GG922" i="9"/>
  <c r="CZ937" i="9"/>
  <c r="HZ937" i="9" s="1"/>
  <c r="DA938" i="9"/>
  <c r="CZ938" i="9"/>
  <c r="HZ938" i="9" s="1"/>
  <c r="HY938" i="9"/>
  <c r="BB941" i="9"/>
  <c r="BA941" i="9"/>
  <c r="HZ941" i="9" s="1"/>
  <c r="GR944" i="9"/>
  <c r="IA945" i="9"/>
  <c r="IA946" i="9"/>
  <c r="FV948" i="9"/>
  <c r="CZ939" i="9"/>
  <c r="HZ939" i="9" s="1"/>
  <c r="HY939" i="9"/>
  <c r="HX942" i="9"/>
  <c r="HV942" i="9" s="1"/>
  <c r="CZ995" i="9"/>
  <c r="HZ995" i="9" s="1"/>
  <c r="HY995" i="9"/>
  <c r="DA995" i="9"/>
  <c r="DA930" i="9"/>
  <c r="CZ930" i="9"/>
  <c r="HZ930" i="9" s="1"/>
  <c r="HY930" i="9"/>
  <c r="HC948" i="9"/>
  <c r="IA912" i="9"/>
  <c r="HX912" i="9"/>
  <c r="HV912" i="9" s="1"/>
  <c r="HN914" i="9"/>
  <c r="FI922" i="9"/>
  <c r="HX931" i="9"/>
  <c r="HV931" i="9" s="1"/>
  <c r="HV944" i="9"/>
  <c r="IA936" i="9"/>
  <c r="HX936" i="9"/>
  <c r="HV936" i="9" s="1"/>
  <c r="HX960" i="9"/>
  <c r="HV960" i="9" s="1"/>
  <c r="IA960" i="9"/>
  <c r="IA944" i="9"/>
  <c r="FV955" i="9"/>
  <c r="GG958" i="9"/>
  <c r="BZ961" i="9"/>
  <c r="CZ963" i="9"/>
  <c r="HC964" i="9"/>
  <c r="GG968" i="9"/>
  <c r="HC972" i="9"/>
  <c r="HN978" i="9"/>
  <c r="GF982" i="9"/>
  <c r="GE982" i="9"/>
  <c r="GD982" i="9"/>
  <c r="IA1035" i="9"/>
  <c r="HX1035" i="9"/>
  <c r="HV1035" i="9" s="1"/>
  <c r="HY966" i="9"/>
  <c r="DA966" i="9"/>
  <c r="HC968" i="9"/>
  <c r="FV970" i="9"/>
  <c r="GR974" i="9"/>
  <c r="FI976" i="9"/>
  <c r="HY977" i="9"/>
  <c r="DA977" i="9"/>
  <c r="CZ977" i="9"/>
  <c r="HZ977" i="9" s="1"/>
  <c r="IA979" i="9"/>
  <c r="HX979" i="9"/>
  <c r="HV979" i="9" s="1"/>
  <c r="FV982" i="9"/>
  <c r="HY928" i="9"/>
  <c r="BA945" i="9"/>
  <c r="HZ945" i="9" s="1"/>
  <c r="FV952" i="9"/>
  <c r="HN956" i="9"/>
  <c r="CZ960" i="9"/>
  <c r="EX960" i="9" s="1"/>
  <c r="HZ960" i="9" s="1"/>
  <c r="EW961" i="9"/>
  <c r="HY961" i="9" s="1"/>
  <c r="GR964" i="9"/>
  <c r="CZ966" i="9"/>
  <c r="HZ966" i="9" s="1"/>
  <c r="DA967" i="9"/>
  <c r="CZ967" i="9"/>
  <c r="HZ967" i="9" s="1"/>
  <c r="FV968" i="9"/>
  <c r="GG969" i="9"/>
  <c r="GR972" i="9"/>
  <c r="HN976" i="9"/>
  <c r="GR978" i="9"/>
  <c r="HY991" i="9"/>
  <c r="CA991" i="9"/>
  <c r="BZ991" i="9"/>
  <c r="HZ991" i="9" s="1"/>
  <c r="HY912" i="9"/>
  <c r="GR950" i="9"/>
  <c r="IA957" i="9"/>
  <c r="HX957" i="9"/>
  <c r="HV957" i="9" s="1"/>
  <c r="FI957" i="9"/>
  <c r="EW960" i="9"/>
  <c r="HY960" i="9" s="1"/>
  <c r="HY964" i="9"/>
  <c r="DA964" i="9"/>
  <c r="FV969" i="9"/>
  <c r="HX990" i="9"/>
  <c r="HV990" i="9" s="1"/>
  <c r="IA990" i="9"/>
  <c r="HY1021" i="9"/>
  <c r="DA1021" i="9"/>
  <c r="CZ1021" i="9"/>
  <c r="HZ1021" i="9" s="1"/>
  <c r="ET912" i="9"/>
  <c r="HZ912" i="9" s="1"/>
  <c r="CZ914" i="9"/>
  <c r="HZ914" i="9" s="1"/>
  <c r="BZ919" i="9"/>
  <c r="HZ919" i="9" s="1"/>
  <c r="BZ922" i="9"/>
  <c r="HZ922" i="9" s="1"/>
  <c r="HY922" i="9"/>
  <c r="BZ925" i="9"/>
  <c r="EX925" i="9" s="1"/>
  <c r="HZ925" i="9" s="1"/>
  <c r="BZ931" i="9"/>
  <c r="HZ931" i="9" s="1"/>
  <c r="CZ933" i="9"/>
  <c r="CZ934" i="9"/>
  <c r="CZ935" i="9"/>
  <c r="EX935" i="9" s="1"/>
  <c r="HZ935" i="9" s="1"/>
  <c r="CZ942" i="9"/>
  <c r="HZ942" i="9" s="1"/>
  <c r="BA949" i="9"/>
  <c r="HZ949" i="9" s="1"/>
  <c r="HN955" i="9"/>
  <c r="HY958" i="9"/>
  <c r="CA958" i="9"/>
  <c r="HN958" i="9"/>
  <c r="HY959" i="9"/>
  <c r="BZ959" i="9"/>
  <c r="HZ959" i="9" s="1"/>
  <c r="CZ964" i="9"/>
  <c r="HZ964" i="9" s="1"/>
  <c r="HN964" i="9"/>
  <c r="GR968" i="9"/>
  <c r="HY972" i="9"/>
  <c r="DA972" i="9"/>
  <c r="CZ972" i="9"/>
  <c r="HZ972" i="9" s="1"/>
  <c r="FV974" i="9"/>
  <c r="HV981" i="9"/>
  <c r="CA919" i="9"/>
  <c r="BB955" i="9"/>
  <c r="HY955" i="9"/>
  <c r="IA959" i="9"/>
  <c r="EX963" i="9"/>
  <c r="HZ963" i="9" s="1"/>
  <c r="IA965" i="9"/>
  <c r="HX965" i="9"/>
  <c r="HV965" i="9" s="1"/>
  <c r="DA968" i="9"/>
  <c r="HY968" i="9"/>
  <c r="DA969" i="9"/>
  <c r="CZ969" i="9"/>
  <c r="HZ969" i="9" s="1"/>
  <c r="DA970" i="9"/>
  <c r="CZ970" i="9"/>
  <c r="HZ970" i="9" s="1"/>
  <c r="HY970" i="9"/>
  <c r="IA971" i="9"/>
  <c r="HX971" i="9"/>
  <c r="HV971" i="9" s="1"/>
  <c r="HX975" i="9"/>
  <c r="HV975" i="9" s="1"/>
  <c r="IA975" i="9"/>
  <c r="IA976" i="9"/>
  <c r="HX976" i="9"/>
  <c r="HV976" i="9" s="1"/>
  <c r="BY997" i="9"/>
  <c r="EW997" i="9"/>
  <c r="HY997" i="9" s="1"/>
  <c r="EU956" i="9"/>
  <c r="HX973" i="9"/>
  <c r="HV973" i="9" s="1"/>
  <c r="GE980" i="9"/>
  <c r="CZ1012" i="9"/>
  <c r="HZ1012" i="9" s="1"/>
  <c r="HY1012" i="9"/>
  <c r="FI1015" i="9"/>
  <c r="HX1019" i="9"/>
  <c r="HV1019" i="9" s="1"/>
  <c r="IA1019" i="9"/>
  <c r="IA1020" i="9"/>
  <c r="HX1020" i="9"/>
  <c r="HV1020" i="9" s="1"/>
  <c r="GG1023" i="9"/>
  <c r="FI1024" i="9"/>
  <c r="HV1026" i="9"/>
  <c r="FV1035" i="9"/>
  <c r="HY987" i="9"/>
  <c r="CA987" i="9"/>
  <c r="HV993" i="9"/>
  <c r="IA1008" i="9"/>
  <c r="HX1008" i="9"/>
  <c r="HV1008" i="9" s="1"/>
  <c r="FI1010" i="9"/>
  <c r="IA1012" i="9"/>
  <c r="HX1012" i="9"/>
  <c r="HV1012" i="9" s="1"/>
  <c r="CZ975" i="9"/>
  <c r="HZ975" i="9" s="1"/>
  <c r="HY976" i="9"/>
  <c r="DA980" i="9"/>
  <c r="CZ981" i="9"/>
  <c r="HZ981" i="9" s="1"/>
  <c r="GD983" i="9"/>
  <c r="CA984" i="9"/>
  <c r="BZ987" i="9"/>
  <c r="HZ987" i="9" s="1"/>
  <c r="CZ1001" i="9"/>
  <c r="HZ1001" i="9" s="1"/>
  <c r="HY1001" i="9"/>
  <c r="FV1002" i="9"/>
  <c r="HY1013" i="9"/>
  <c r="DA1013" i="9"/>
  <c r="CZ1013" i="9"/>
  <c r="HZ1013" i="9" s="1"/>
  <c r="HN1015" i="9"/>
  <c r="IA1030" i="9"/>
  <c r="HX1030" i="9"/>
  <c r="HV1030" i="9" s="1"/>
  <c r="HN1031" i="9"/>
  <c r="DA1034" i="9"/>
  <c r="CZ1034" i="9"/>
  <c r="HZ1034" i="9" s="1"/>
  <c r="HY971" i="9"/>
  <c r="HX974" i="9"/>
  <c r="HV974" i="9" s="1"/>
  <c r="HY979" i="9"/>
  <c r="GF983" i="9"/>
  <c r="CA996" i="9"/>
  <c r="BZ996" i="9"/>
  <c r="EX996" i="9" s="1"/>
  <c r="HZ996" i="9" s="1"/>
  <c r="DA999" i="9"/>
  <c r="CZ999" i="9"/>
  <c r="EX999" i="9" s="1"/>
  <c r="HZ999" i="9" s="1"/>
  <c r="IA1001" i="9"/>
  <c r="HX1001" i="9"/>
  <c r="HV1001" i="9" s="1"/>
  <c r="HX1004" i="9"/>
  <c r="HV1004" i="9" s="1"/>
  <c r="IA1006" i="9"/>
  <c r="HY1017" i="9"/>
  <c r="DA1017" i="9"/>
  <c r="CZ1017" i="9"/>
  <c r="HZ1017" i="9" s="1"/>
  <c r="HX983" i="9"/>
  <c r="HV983" i="9" s="1"/>
  <c r="HX994" i="9"/>
  <c r="HV994" i="9" s="1"/>
  <c r="IA994" i="9"/>
  <c r="IA998" i="9"/>
  <c r="HN999" i="9"/>
  <c r="IA1016" i="9"/>
  <c r="HX1016" i="9"/>
  <c r="HV1016" i="9" s="1"/>
  <c r="IA1022" i="9"/>
  <c r="HX1022" i="9"/>
  <c r="HV1022" i="9" s="1"/>
  <c r="HY1034" i="9"/>
  <c r="HY989" i="9"/>
  <c r="CA989" i="9"/>
  <c r="DA1005" i="9"/>
  <c r="CZ1005" i="9"/>
  <c r="HZ1005" i="9" s="1"/>
  <c r="HY1007" i="9"/>
  <c r="CA1007" i="9"/>
  <c r="BZ1007" i="9"/>
  <c r="HZ1007" i="9" s="1"/>
  <c r="CA1009" i="9"/>
  <c r="EY1009" i="9" s="1"/>
  <c r="BZ1009" i="9"/>
  <c r="EX1009" i="9" s="1"/>
  <c r="HZ1009" i="9" s="1"/>
  <c r="HX1015" i="9"/>
  <c r="HV1015" i="9" s="1"/>
  <c r="IA1015" i="9"/>
  <c r="IA1024" i="9"/>
  <c r="HX1024" i="9"/>
  <c r="HV1024" i="9" s="1"/>
  <c r="IA1027" i="9"/>
  <c r="HX1027" i="9"/>
  <c r="HV1027" i="9" s="1"/>
  <c r="HN983" i="9"/>
  <c r="HY985" i="9"/>
  <c r="CA985" i="9"/>
  <c r="BZ989" i="9"/>
  <c r="HZ989" i="9" s="1"/>
  <c r="DA1000" i="9"/>
  <c r="EY1000" i="9" s="1"/>
  <c r="CZ1000" i="9"/>
  <c r="EX1000" i="9" s="1"/>
  <c r="HZ1000" i="9" s="1"/>
  <c r="DA1002" i="9"/>
  <c r="CZ1002" i="9"/>
  <c r="HZ1002" i="9" s="1"/>
  <c r="HY1002" i="9"/>
  <c r="GR1003" i="9"/>
  <c r="EW1009" i="9"/>
  <c r="HY1009" i="9" s="1"/>
  <c r="FI1018" i="9"/>
  <c r="HN1019" i="9"/>
  <c r="FV1027" i="9"/>
  <c r="HX1031" i="9"/>
  <c r="HV1031" i="9" s="1"/>
  <c r="GF984" i="9"/>
  <c r="IA1023" i="9"/>
  <c r="HY1031" i="9"/>
  <c r="HY1008" i="9"/>
  <c r="CZ1022" i="9"/>
  <c r="HZ1022" i="9" s="1"/>
  <c r="HY1022" i="9"/>
  <c r="IA1026" i="9"/>
  <c r="CZ1031" i="9"/>
  <c r="HZ1031" i="9" s="1"/>
  <c r="BZ992" i="9"/>
  <c r="HZ992" i="9" s="1"/>
  <c r="BZ993" i="9"/>
  <c r="HZ993" i="9" s="1"/>
  <c r="CZ998" i="9"/>
  <c r="HZ998" i="9" s="1"/>
  <c r="HY1004" i="9"/>
  <c r="CA992" i="9"/>
  <c r="EW1000" i="9"/>
  <c r="HY1000" i="9" s="1"/>
  <c r="HY1006" i="9"/>
  <c r="HY1030" i="9"/>
  <c r="CZ1015" i="9"/>
  <c r="HZ1015" i="9" s="1"/>
  <c r="CZ1024" i="9"/>
  <c r="HZ1024" i="9" s="1"/>
  <c r="HY1024" i="9"/>
  <c r="HY1027" i="9"/>
  <c r="HY1035" i="9"/>
  <c r="CZ1027" i="9"/>
  <c r="HZ1027" i="9" s="1"/>
  <c r="HY1032" i="9"/>
  <c r="CZ1035" i="9"/>
  <c r="HZ1035" i="9" s="1"/>
  <c r="IA988" i="9" l="1"/>
  <c r="HX879" i="9"/>
  <c r="GG670" i="9"/>
  <c r="BZ286" i="9"/>
  <c r="HZ286" i="9" s="1"/>
  <c r="IA198" i="9"/>
  <c r="HX917" i="9"/>
  <c r="HV917" i="9" s="1"/>
  <c r="HX23" i="9"/>
  <c r="HV23" i="9" s="1"/>
  <c r="EY999" i="9"/>
  <c r="EX961" i="9"/>
  <c r="HZ961" i="9" s="1"/>
  <c r="GG671" i="9"/>
  <c r="EX349" i="9"/>
  <c r="HZ349" i="9" s="1"/>
  <c r="IA253" i="9"/>
  <c r="HX19" i="9"/>
  <c r="HV19" i="9" s="1"/>
  <c r="HX1025" i="9"/>
  <c r="HV1025" i="9" s="1"/>
  <c r="IA918" i="9"/>
  <c r="HX918" i="9"/>
  <c r="HV918" i="9" s="1"/>
  <c r="HX916" i="9"/>
  <c r="HV916" i="9" s="1"/>
  <c r="HX829" i="9"/>
  <c r="HV829" i="9" s="1"/>
  <c r="IA546" i="9"/>
  <c r="EX484" i="9"/>
  <c r="HZ484" i="9" s="1"/>
  <c r="HX986" i="9"/>
  <c r="HV986" i="9" s="1"/>
  <c r="IA947" i="9"/>
  <c r="EY924" i="9"/>
  <c r="IA924" i="9" s="1"/>
  <c r="HV904" i="9"/>
  <c r="EY165" i="9"/>
  <c r="IA165" i="9" s="1"/>
  <c r="IA928" i="9"/>
  <c r="HX928" i="9"/>
  <c r="HV928" i="9" s="1"/>
  <c r="IA1029" i="9"/>
  <c r="HX511" i="9"/>
  <c r="HV511" i="9" s="1"/>
  <c r="IA927" i="9"/>
  <c r="EY536" i="9"/>
  <c r="IA536" i="9" s="1"/>
  <c r="HN401" i="9"/>
  <c r="HX1033" i="9"/>
  <c r="HV1033" i="9" s="1"/>
  <c r="EY996" i="9"/>
  <c r="HX996" i="9" s="1"/>
  <c r="HV996" i="9" s="1"/>
  <c r="EX933" i="9"/>
  <c r="HZ933" i="9" s="1"/>
  <c r="DU350" i="9"/>
  <c r="HX196" i="9"/>
  <c r="HV196" i="9" s="1"/>
  <c r="EY984" i="9"/>
  <c r="EX713" i="9"/>
  <c r="HZ713" i="9" s="1"/>
  <c r="IA428" i="9"/>
  <c r="GR159" i="9"/>
  <c r="IA911" i="9"/>
  <c r="GG681" i="9"/>
  <c r="IA297" i="9"/>
  <c r="HX898" i="9"/>
  <c r="HV898" i="9" s="1"/>
  <c r="EX792" i="9"/>
  <c r="HZ792" i="9" s="1"/>
  <c r="HX885" i="9"/>
  <c r="HV885" i="9" s="1"/>
  <c r="HX432" i="9"/>
  <c r="HV432" i="9" s="1"/>
  <c r="EX354" i="9"/>
  <c r="HZ354" i="9" s="1"/>
  <c r="IA1010" i="9"/>
  <c r="HX733" i="9"/>
  <c r="HV733" i="9" s="1"/>
  <c r="HX81" i="9"/>
  <c r="HV81" i="9" s="1"/>
  <c r="HX682" i="9"/>
  <c r="HV682" i="9" s="1"/>
  <c r="IA1028" i="9"/>
  <c r="HX1028" i="9"/>
  <c r="HV1028" i="9" s="1"/>
  <c r="BA716" i="9"/>
  <c r="BB716" i="9"/>
  <c r="EY716" i="9" s="1"/>
  <c r="EX346" i="9"/>
  <c r="HZ346" i="9" s="1"/>
  <c r="EY34" i="9"/>
  <c r="IA34" i="9" s="1"/>
  <c r="IA978" i="9"/>
  <c r="HX978" i="9"/>
  <c r="HV978" i="9" s="1"/>
  <c r="HX562" i="9"/>
  <c r="HV562" i="9" s="1"/>
  <c r="IA562" i="9"/>
  <c r="HX424" i="9"/>
  <c r="HV424" i="9" s="1"/>
  <c r="IA424" i="9"/>
  <c r="HX329" i="9"/>
  <c r="HV329" i="9" s="1"/>
  <c r="IA329" i="9"/>
  <c r="HX11" i="9"/>
  <c r="HV11" i="9" s="1"/>
  <c r="IA11" i="9"/>
  <c r="IA25" i="9"/>
  <c r="HX25" i="9"/>
  <c r="HV25" i="9" s="1"/>
  <c r="EY870" i="9"/>
  <c r="HX870" i="9" s="1"/>
  <c r="HV870" i="9" s="1"/>
  <c r="IA704" i="9"/>
  <c r="EX361" i="9"/>
  <c r="HZ361" i="9" s="1"/>
  <c r="EY925" i="9"/>
  <c r="IA925" i="9" s="1"/>
  <c r="CA870" i="9"/>
  <c r="BZ870" i="9"/>
  <c r="EX870" i="9" s="1"/>
  <c r="HZ870" i="9" s="1"/>
  <c r="IA477" i="9"/>
  <c r="HX477" i="9"/>
  <c r="HV477" i="9" s="1"/>
  <c r="GR164" i="9"/>
  <c r="IA741" i="9"/>
  <c r="HX741" i="9"/>
  <c r="HV741" i="9" s="1"/>
  <c r="EX439" i="9"/>
  <c r="HZ439" i="9" s="1"/>
  <c r="DA177" i="9"/>
  <c r="EY177" i="9" s="1"/>
  <c r="CZ177" i="9"/>
  <c r="EX177" i="9" s="1"/>
  <c r="HZ177" i="9" s="1"/>
  <c r="HX363" i="9"/>
  <c r="HV363" i="9" s="1"/>
  <c r="IA363" i="9"/>
  <c r="HX3" i="9"/>
  <c r="HV3" i="9" s="1"/>
  <c r="IA3" i="9"/>
  <c r="HX1032" i="9"/>
  <c r="HV1032" i="9" s="1"/>
  <c r="IA1032" i="9"/>
  <c r="DA962" i="9"/>
  <c r="EY962" i="9" s="1"/>
  <c r="CZ962" i="9"/>
  <c r="EX962" i="9" s="1"/>
  <c r="HZ962" i="9" s="1"/>
  <c r="BB791" i="9"/>
  <c r="EY791" i="9" s="1"/>
  <c r="BA791" i="9"/>
  <c r="EX791" i="9" s="1"/>
  <c r="HZ791" i="9" s="1"/>
  <c r="DA31" i="9"/>
  <c r="EY31" i="9" s="1"/>
  <c r="IA31" i="9" s="1"/>
  <c r="CZ31" i="9"/>
  <c r="EX31" i="9" s="1"/>
  <c r="HZ31" i="9" s="1"/>
  <c r="EX712" i="9"/>
  <c r="HZ712" i="9" s="1"/>
  <c r="EY438" i="9"/>
  <c r="EY356" i="9"/>
  <c r="IA356" i="9" s="1"/>
  <c r="BA943" i="9"/>
  <c r="EX943" i="9" s="1"/>
  <c r="HZ943" i="9" s="1"/>
  <c r="BB943" i="9"/>
  <c r="EY943" i="9" s="1"/>
  <c r="IA849" i="9"/>
  <c r="HX849" i="9"/>
  <c r="HV849" i="9" s="1"/>
  <c r="HX853" i="9"/>
  <c r="HV853" i="9" s="1"/>
  <c r="IA853" i="9"/>
  <c r="DU353" i="9"/>
  <c r="EY353" i="9" s="1"/>
  <c r="IA353" i="9" s="1"/>
  <c r="DT353" i="9"/>
  <c r="EX353" i="9" s="1"/>
  <c r="HZ353" i="9" s="1"/>
  <c r="HX74" i="9"/>
  <c r="HV74" i="9" s="1"/>
  <c r="IA74" i="9"/>
  <c r="EX440" i="9"/>
  <c r="HZ440" i="9" s="1"/>
  <c r="EY352" i="9"/>
  <c r="IA352" i="9" s="1"/>
  <c r="CA934" i="9"/>
  <c r="EY934" i="9" s="1"/>
  <c r="BZ934" i="9"/>
  <c r="EX934" i="9" s="1"/>
  <c r="HZ934" i="9" s="1"/>
  <c r="HX690" i="9"/>
  <c r="HV690" i="9" s="1"/>
  <c r="IA690" i="9"/>
  <c r="EX716" i="9"/>
  <c r="HZ716" i="9" s="1"/>
  <c r="IA771" i="9"/>
  <c r="HX771" i="9"/>
  <c r="HV771" i="9" s="1"/>
  <c r="HX556" i="9"/>
  <c r="HV556" i="9" s="1"/>
  <c r="IA556" i="9"/>
  <c r="HX554" i="9"/>
  <c r="HV554" i="9" s="1"/>
  <c r="IA554" i="9"/>
  <c r="HX529" i="9"/>
  <c r="HV529" i="9" s="1"/>
  <c r="IA529" i="9"/>
  <c r="IA999" i="9"/>
  <c r="HX999" i="9"/>
  <c r="HV999" i="9" s="1"/>
  <c r="HX961" i="9"/>
  <c r="HV961" i="9" s="1"/>
  <c r="IA961" i="9"/>
  <c r="HX1009" i="9"/>
  <c r="HV1009" i="9" s="1"/>
  <c r="IA1009" i="9"/>
  <c r="IA980" i="9"/>
  <c r="HX980" i="9"/>
  <c r="HV980" i="9" s="1"/>
  <c r="IA970" i="9"/>
  <c r="HX970" i="9"/>
  <c r="HV970" i="9" s="1"/>
  <c r="IA966" i="9"/>
  <c r="HX966" i="9"/>
  <c r="HV966" i="9" s="1"/>
  <c r="HX941" i="9"/>
  <c r="HV941" i="9" s="1"/>
  <c r="IA941" i="9"/>
  <c r="IA902" i="9"/>
  <c r="HX902" i="9"/>
  <c r="HV902" i="9" s="1"/>
  <c r="HX901" i="9"/>
  <c r="HV901" i="9" s="1"/>
  <c r="IA901" i="9"/>
  <c r="IA935" i="9"/>
  <c r="HX935" i="9"/>
  <c r="HV935" i="9" s="1"/>
  <c r="DT871" i="9"/>
  <c r="EX871" i="9" s="1"/>
  <c r="HZ871" i="9" s="1"/>
  <c r="DU871" i="9"/>
  <c r="EY871" i="9" s="1"/>
  <c r="IA920" i="9"/>
  <c r="HX920" i="9"/>
  <c r="HV920" i="9" s="1"/>
  <c r="HX899" i="9"/>
  <c r="HV899" i="9" s="1"/>
  <c r="IA899" i="9"/>
  <c r="HX852" i="9"/>
  <c r="HV852" i="9" s="1"/>
  <c r="IA852" i="9"/>
  <c r="HX823" i="9"/>
  <c r="HV823" i="9" s="1"/>
  <c r="IA823" i="9"/>
  <c r="IA840" i="9"/>
  <c r="HX840" i="9"/>
  <c r="HV840" i="9" s="1"/>
  <c r="IA811" i="9"/>
  <c r="HX811" i="9"/>
  <c r="HV811" i="9" s="1"/>
  <c r="IA776" i="9"/>
  <c r="HX776" i="9"/>
  <c r="HV776" i="9" s="1"/>
  <c r="HX745" i="9"/>
  <c r="HV745" i="9" s="1"/>
  <c r="IA745" i="9"/>
  <c r="HX810" i="9"/>
  <c r="HV810" i="9" s="1"/>
  <c r="IA810" i="9"/>
  <c r="IA769" i="9"/>
  <c r="HX769" i="9"/>
  <c r="HV769" i="9" s="1"/>
  <c r="BB714" i="9"/>
  <c r="EY714" i="9" s="1"/>
  <c r="BA714" i="9"/>
  <c r="EX714" i="9" s="1"/>
  <c r="HZ714" i="9" s="1"/>
  <c r="IA675" i="9"/>
  <c r="HX675" i="9"/>
  <c r="HV675" i="9" s="1"/>
  <c r="IA782" i="9"/>
  <c r="HX782" i="9"/>
  <c r="HV782" i="9" s="1"/>
  <c r="HX680" i="9"/>
  <c r="HV680" i="9" s="1"/>
  <c r="IA680" i="9"/>
  <c r="IA656" i="9"/>
  <c r="HX656" i="9"/>
  <c r="HV656" i="9" s="1"/>
  <c r="IA623" i="9"/>
  <c r="HX623" i="9"/>
  <c r="HV623" i="9" s="1"/>
  <c r="IA636" i="9"/>
  <c r="HX636" i="9"/>
  <c r="HV636" i="9" s="1"/>
  <c r="HX609" i="9"/>
  <c r="HV609" i="9" s="1"/>
  <c r="IA609" i="9"/>
  <c r="HX686" i="9"/>
  <c r="HV686" i="9" s="1"/>
  <c r="IA686" i="9"/>
  <c r="IA589" i="9"/>
  <c r="HX589" i="9"/>
  <c r="HV589" i="9" s="1"/>
  <c r="IA606" i="9"/>
  <c r="HX606" i="9"/>
  <c r="HV606" i="9" s="1"/>
  <c r="HX591" i="9"/>
  <c r="HV591" i="9" s="1"/>
  <c r="IA591" i="9"/>
  <c r="IA541" i="9"/>
  <c r="HX541" i="9"/>
  <c r="HV541" i="9" s="1"/>
  <c r="IA618" i="9"/>
  <c r="HX618" i="9"/>
  <c r="HV618" i="9" s="1"/>
  <c r="IA555" i="9"/>
  <c r="HX555" i="9"/>
  <c r="HV555" i="9" s="1"/>
  <c r="HX647" i="9"/>
  <c r="HV647" i="9" s="1"/>
  <c r="IA647" i="9"/>
  <c r="IA595" i="9"/>
  <c r="HX595" i="9"/>
  <c r="HV595" i="9" s="1"/>
  <c r="IA535" i="9"/>
  <c r="HX535" i="9"/>
  <c r="HV535" i="9" s="1"/>
  <c r="IA658" i="9"/>
  <c r="HX658" i="9"/>
  <c r="HV658" i="9" s="1"/>
  <c r="HX548" i="9"/>
  <c r="HV548" i="9" s="1"/>
  <c r="IA548" i="9"/>
  <c r="IA526" i="9"/>
  <c r="HX526" i="9"/>
  <c r="HV526" i="9" s="1"/>
  <c r="HX509" i="9"/>
  <c r="HV509" i="9" s="1"/>
  <c r="IA509" i="9"/>
  <c r="IA463" i="9"/>
  <c r="HX463" i="9"/>
  <c r="HV463" i="9" s="1"/>
  <c r="HX517" i="9"/>
  <c r="HV517" i="9" s="1"/>
  <c r="IA517" i="9"/>
  <c r="HX574" i="9"/>
  <c r="HV574" i="9" s="1"/>
  <c r="IA574" i="9"/>
  <c r="HX476" i="9"/>
  <c r="HV476" i="9" s="1"/>
  <c r="IA476" i="9"/>
  <c r="HX584" i="9"/>
  <c r="HV584" i="9" s="1"/>
  <c r="IA584" i="9"/>
  <c r="HX507" i="9"/>
  <c r="HV507" i="9" s="1"/>
  <c r="IA507" i="9"/>
  <c r="IA423" i="9"/>
  <c r="HX423" i="9"/>
  <c r="HV423" i="9" s="1"/>
  <c r="IA416" i="9"/>
  <c r="HX416" i="9"/>
  <c r="HV416" i="9" s="1"/>
  <c r="IA372" i="9"/>
  <c r="HX372" i="9"/>
  <c r="HV372" i="9" s="1"/>
  <c r="HX491" i="9"/>
  <c r="HV491" i="9" s="1"/>
  <c r="IA491" i="9"/>
  <c r="IA404" i="9"/>
  <c r="HX404" i="9"/>
  <c r="HV404" i="9" s="1"/>
  <c r="IA426" i="9"/>
  <c r="HX426" i="9"/>
  <c r="HV426" i="9" s="1"/>
  <c r="HX287" i="9"/>
  <c r="HV287" i="9" s="1"/>
  <c r="IA287" i="9"/>
  <c r="IA333" i="9"/>
  <c r="HX333" i="9"/>
  <c r="HV333" i="9" s="1"/>
  <c r="HX290" i="9"/>
  <c r="HV290" i="9" s="1"/>
  <c r="IA290" i="9"/>
  <c r="EX358" i="9"/>
  <c r="HZ358" i="9" s="1"/>
  <c r="IA283" i="9"/>
  <c r="HX283" i="9"/>
  <c r="HV283" i="9" s="1"/>
  <c r="DA173" i="9"/>
  <c r="EY173" i="9" s="1"/>
  <c r="CZ173" i="9"/>
  <c r="EX173" i="9" s="1"/>
  <c r="HZ173" i="9" s="1"/>
  <c r="HX236" i="9"/>
  <c r="HV236" i="9" s="1"/>
  <c r="IA236" i="9"/>
  <c r="HX105" i="9"/>
  <c r="HV105" i="9" s="1"/>
  <c r="IA105" i="9"/>
  <c r="HX202" i="9"/>
  <c r="HV202" i="9" s="1"/>
  <c r="IA202" i="9"/>
  <c r="IA80" i="9"/>
  <c r="HX80" i="9"/>
  <c r="HV80" i="9" s="1"/>
  <c r="BA32" i="9"/>
  <c r="EX32" i="9" s="1"/>
  <c r="HZ32" i="9" s="1"/>
  <c r="BB32" i="9"/>
  <c r="EY32" i="9" s="1"/>
  <c r="IA32" i="9" s="1"/>
  <c r="IA181" i="9"/>
  <c r="HX181" i="9"/>
  <c r="HV181" i="9" s="1"/>
  <c r="HX83" i="9"/>
  <c r="HV83" i="9" s="1"/>
  <c r="IA83" i="9"/>
  <c r="IA197" i="9"/>
  <c r="HX197" i="9"/>
  <c r="HV197" i="9" s="1"/>
  <c r="CA12" i="9"/>
  <c r="EY12" i="9" s="1"/>
  <c r="BZ12" i="9"/>
  <c r="EX12" i="9" s="1"/>
  <c r="HZ12" i="9" s="1"/>
  <c r="HX71" i="9"/>
  <c r="HV71" i="9" s="1"/>
  <c r="IA71" i="9"/>
  <c r="HX43" i="9"/>
  <c r="HV43" i="9" s="1"/>
  <c r="IA43" i="9"/>
  <c r="HX21" i="9"/>
  <c r="HV21" i="9" s="1"/>
  <c r="IA21" i="9"/>
  <c r="IA996" i="9"/>
  <c r="IA930" i="9"/>
  <c r="HX930" i="9"/>
  <c r="HV930" i="9" s="1"/>
  <c r="IA897" i="9"/>
  <c r="HX897" i="9"/>
  <c r="HV897" i="9" s="1"/>
  <c r="IA913" i="9"/>
  <c r="HX913" i="9"/>
  <c r="HV913" i="9" s="1"/>
  <c r="IA876" i="9"/>
  <c r="HX876" i="9"/>
  <c r="HV876" i="9" s="1"/>
  <c r="IA860" i="9"/>
  <c r="HX860" i="9"/>
  <c r="HV860" i="9" s="1"/>
  <c r="CA855" i="9"/>
  <c r="EY855" i="9" s="1"/>
  <c r="BZ855" i="9"/>
  <c r="EX855" i="9" s="1"/>
  <c r="HZ855" i="9" s="1"/>
  <c r="IA844" i="9"/>
  <c r="HX844" i="9"/>
  <c r="HV844" i="9" s="1"/>
  <c r="IA803" i="9"/>
  <c r="HX803" i="9"/>
  <c r="HV803" i="9" s="1"/>
  <c r="IA842" i="9"/>
  <c r="HX842" i="9"/>
  <c r="HV842" i="9" s="1"/>
  <c r="HX757" i="9"/>
  <c r="HV757" i="9" s="1"/>
  <c r="IA757" i="9"/>
  <c r="HX786" i="9"/>
  <c r="HV786" i="9" s="1"/>
  <c r="IA786" i="9"/>
  <c r="IA774" i="9"/>
  <c r="HX774" i="9"/>
  <c r="HV774" i="9" s="1"/>
  <c r="HX743" i="9"/>
  <c r="HV743" i="9" s="1"/>
  <c r="IA743" i="9"/>
  <c r="CA721" i="9"/>
  <c r="EY721" i="9" s="1"/>
  <c r="BZ721" i="9"/>
  <c r="EX721" i="9" s="1"/>
  <c r="HZ721" i="9" s="1"/>
  <c r="IA750" i="9"/>
  <c r="HX750" i="9"/>
  <c r="HV750" i="9" s="1"/>
  <c r="IA720" i="9"/>
  <c r="HX720" i="9"/>
  <c r="HV720" i="9" s="1"/>
  <c r="IA746" i="9"/>
  <c r="HX746" i="9"/>
  <c r="HV746" i="9" s="1"/>
  <c r="IA713" i="9"/>
  <c r="HX713" i="9"/>
  <c r="HV713" i="9" s="1"/>
  <c r="IA701" i="9"/>
  <c r="HX701" i="9"/>
  <c r="HV701" i="9" s="1"/>
  <c r="IA668" i="9"/>
  <c r="HX668" i="9"/>
  <c r="HV668" i="9" s="1"/>
  <c r="IA677" i="9"/>
  <c r="HX677" i="9"/>
  <c r="HV677" i="9" s="1"/>
  <c r="IA667" i="9"/>
  <c r="HX667" i="9"/>
  <c r="HV667" i="9" s="1"/>
  <c r="IA723" i="9"/>
  <c r="HX723" i="9"/>
  <c r="HV723" i="9" s="1"/>
  <c r="IA697" i="9"/>
  <c r="HX697" i="9"/>
  <c r="HV697" i="9" s="1"/>
  <c r="IA693" i="9"/>
  <c r="HX693" i="9"/>
  <c r="HV693" i="9" s="1"/>
  <c r="IA666" i="9"/>
  <c r="HX666" i="9"/>
  <c r="HV666" i="9" s="1"/>
  <c r="HX635" i="9"/>
  <c r="HV635" i="9" s="1"/>
  <c r="IA635" i="9"/>
  <c r="IA629" i="9"/>
  <c r="HX629" i="9"/>
  <c r="HV629" i="9" s="1"/>
  <c r="IA655" i="9"/>
  <c r="HX655" i="9"/>
  <c r="HV655" i="9" s="1"/>
  <c r="IA624" i="9"/>
  <c r="HX624" i="9"/>
  <c r="HV624" i="9" s="1"/>
  <c r="HX819" i="9"/>
  <c r="HV819" i="9" s="1"/>
  <c r="IA819" i="9"/>
  <c r="IA577" i="9"/>
  <c r="HX577" i="9"/>
  <c r="HV577" i="9" s="1"/>
  <c r="IA559" i="9"/>
  <c r="HX559" i="9"/>
  <c r="HV559" i="9" s="1"/>
  <c r="IA532" i="9"/>
  <c r="HX532" i="9"/>
  <c r="HV532" i="9" s="1"/>
  <c r="IA632" i="9"/>
  <c r="HX632" i="9"/>
  <c r="HV632" i="9" s="1"/>
  <c r="HX592" i="9"/>
  <c r="HV592" i="9" s="1"/>
  <c r="IA592" i="9"/>
  <c r="HX558" i="9"/>
  <c r="HV558" i="9" s="1"/>
  <c r="IA558" i="9"/>
  <c r="IA542" i="9"/>
  <c r="HX542" i="9"/>
  <c r="HV542" i="9" s="1"/>
  <c r="HX657" i="9"/>
  <c r="HV657" i="9" s="1"/>
  <c r="IA657" i="9"/>
  <c r="IA642" i="9"/>
  <c r="HX642" i="9"/>
  <c r="HV642" i="9" s="1"/>
  <c r="HX597" i="9"/>
  <c r="HV597" i="9" s="1"/>
  <c r="IA597" i="9"/>
  <c r="HX525" i="9"/>
  <c r="HV525" i="9" s="1"/>
  <c r="IA525" i="9"/>
  <c r="IA598" i="9"/>
  <c r="HX598" i="9"/>
  <c r="HV598" i="9" s="1"/>
  <c r="HX617" i="9"/>
  <c r="HV617" i="9" s="1"/>
  <c r="IA617" i="9"/>
  <c r="IA494" i="9"/>
  <c r="HX494" i="9"/>
  <c r="HV494" i="9" s="1"/>
  <c r="IA585" i="9"/>
  <c r="HX585" i="9"/>
  <c r="HV585" i="9" s="1"/>
  <c r="HX429" i="9"/>
  <c r="HV429" i="9" s="1"/>
  <c r="IA429" i="9"/>
  <c r="IA498" i="9"/>
  <c r="HX498" i="9"/>
  <c r="HV498" i="9" s="1"/>
  <c r="HX456" i="9"/>
  <c r="HV456" i="9" s="1"/>
  <c r="IA456" i="9"/>
  <c r="HX368" i="9"/>
  <c r="HV368" i="9" s="1"/>
  <c r="IA368" i="9"/>
  <c r="IA459" i="9"/>
  <c r="HX459" i="9"/>
  <c r="HV459" i="9" s="1"/>
  <c r="HX430" i="9"/>
  <c r="HV430" i="9" s="1"/>
  <c r="IA430" i="9"/>
  <c r="IA370" i="9"/>
  <c r="HX370" i="9"/>
  <c r="HV370" i="9" s="1"/>
  <c r="IA510" i="9"/>
  <c r="HX510" i="9"/>
  <c r="HV510" i="9" s="1"/>
  <c r="HX484" i="9"/>
  <c r="HV484" i="9" s="1"/>
  <c r="IA484" i="9"/>
  <c r="IA468" i="9"/>
  <c r="HX468" i="9"/>
  <c r="HV468" i="9" s="1"/>
  <c r="HX458" i="9"/>
  <c r="HV458" i="9" s="1"/>
  <c r="IA458" i="9"/>
  <c r="HX448" i="9"/>
  <c r="HV448" i="9" s="1"/>
  <c r="IA448" i="9"/>
  <c r="HX395" i="9"/>
  <c r="HV395" i="9" s="1"/>
  <c r="IA395" i="9"/>
  <c r="IA301" i="9"/>
  <c r="HX301" i="9"/>
  <c r="HV301" i="9" s="1"/>
  <c r="HX254" i="9"/>
  <c r="HV254" i="9" s="1"/>
  <c r="IA254" i="9"/>
  <c r="EY358" i="9"/>
  <c r="IA358" i="9" s="1"/>
  <c r="IA182" i="9"/>
  <c r="HX182" i="9"/>
  <c r="HV182" i="9" s="1"/>
  <c r="IA200" i="9"/>
  <c r="HX200" i="9"/>
  <c r="HV200" i="9" s="1"/>
  <c r="IA208" i="9"/>
  <c r="HX208" i="9"/>
  <c r="HV208" i="9" s="1"/>
  <c r="IA252" i="9"/>
  <c r="HX252" i="9"/>
  <c r="HV252" i="9" s="1"/>
  <c r="IA18" i="9"/>
  <c r="HX18" i="9"/>
  <c r="HV18" i="9" s="1"/>
  <c r="HX42" i="9"/>
  <c r="HV42" i="9" s="1"/>
  <c r="IA42" i="9"/>
  <c r="HX77" i="9"/>
  <c r="HV77" i="9" s="1"/>
  <c r="IA77" i="9"/>
  <c r="IA22" i="9"/>
  <c r="HX22" i="9"/>
  <c r="HV22" i="9" s="1"/>
  <c r="IA1002" i="9"/>
  <c r="HX1002" i="9"/>
  <c r="HV1002" i="9" s="1"/>
  <c r="IA1007" i="9"/>
  <c r="HX1007" i="9"/>
  <c r="HV1007" i="9" s="1"/>
  <c r="IA987" i="9"/>
  <c r="HX987" i="9"/>
  <c r="HV987" i="9" s="1"/>
  <c r="HX969" i="9"/>
  <c r="HV969" i="9" s="1"/>
  <c r="IA969" i="9"/>
  <c r="IA955" i="9"/>
  <c r="HX955" i="9"/>
  <c r="HV955" i="9" s="1"/>
  <c r="HX977" i="9"/>
  <c r="HV977" i="9" s="1"/>
  <c r="IA977" i="9"/>
  <c r="IA995" i="9"/>
  <c r="HX995" i="9"/>
  <c r="HV995" i="9" s="1"/>
  <c r="IA859" i="9"/>
  <c r="HX859" i="9"/>
  <c r="HV859" i="9" s="1"/>
  <c r="HX830" i="9"/>
  <c r="HV830" i="9" s="1"/>
  <c r="IA830" i="9"/>
  <c r="HX832" i="9"/>
  <c r="HV832" i="9" s="1"/>
  <c r="IA832" i="9"/>
  <c r="IA818" i="9"/>
  <c r="HX818" i="9"/>
  <c r="HV818" i="9" s="1"/>
  <c r="IA866" i="9"/>
  <c r="HX866" i="9"/>
  <c r="HV866" i="9" s="1"/>
  <c r="HX804" i="9"/>
  <c r="HV804" i="9" s="1"/>
  <c r="IA804" i="9"/>
  <c r="IA722" i="9"/>
  <c r="HX722" i="9"/>
  <c r="HV722" i="9" s="1"/>
  <c r="HX719" i="9"/>
  <c r="HV719" i="9" s="1"/>
  <c r="IA719" i="9"/>
  <c r="IA740" i="9"/>
  <c r="HX740" i="9"/>
  <c r="HV740" i="9" s="1"/>
  <c r="HX777" i="9"/>
  <c r="HV777" i="9" s="1"/>
  <c r="IA777" i="9"/>
  <c r="HX698" i="9"/>
  <c r="HV698" i="9" s="1"/>
  <c r="IA698" i="9"/>
  <c r="IA665" i="9"/>
  <c r="HX665" i="9"/>
  <c r="HV665" i="9" s="1"/>
  <c r="IA691" i="9"/>
  <c r="HX691" i="9"/>
  <c r="HV691" i="9" s="1"/>
  <c r="IA673" i="9"/>
  <c r="HX673" i="9"/>
  <c r="HV673" i="9" s="1"/>
  <c r="EY715" i="9"/>
  <c r="IA652" i="9"/>
  <c r="HX652" i="9"/>
  <c r="HV652" i="9" s="1"/>
  <c r="IA547" i="9"/>
  <c r="HX547" i="9"/>
  <c r="HV547" i="9" s="1"/>
  <c r="IA607" i="9"/>
  <c r="HX607" i="9"/>
  <c r="HV607" i="9" s="1"/>
  <c r="HX580" i="9"/>
  <c r="HV580" i="9" s="1"/>
  <c r="IA580" i="9"/>
  <c r="IA563" i="9"/>
  <c r="HX563" i="9"/>
  <c r="HV563" i="9" s="1"/>
  <c r="HX603" i="9"/>
  <c r="HV603" i="9" s="1"/>
  <c r="IA603" i="9"/>
  <c r="IA602" i="9"/>
  <c r="HX602" i="9"/>
  <c r="HV602" i="9" s="1"/>
  <c r="IA600" i="9"/>
  <c r="HX600" i="9"/>
  <c r="HV600" i="9" s="1"/>
  <c r="HX641" i="9"/>
  <c r="HV641" i="9" s="1"/>
  <c r="IA641" i="9"/>
  <c r="IA579" i="9"/>
  <c r="HX579" i="9"/>
  <c r="HV579" i="9" s="1"/>
  <c r="HX571" i="9"/>
  <c r="HV571" i="9" s="1"/>
  <c r="IA571" i="9"/>
  <c r="HX520" i="9"/>
  <c r="HV520" i="9" s="1"/>
  <c r="IA520" i="9"/>
  <c r="IA500" i="9"/>
  <c r="HX500" i="9"/>
  <c r="HV500" i="9" s="1"/>
  <c r="HX461" i="9"/>
  <c r="HV461" i="9" s="1"/>
  <c r="IA461" i="9"/>
  <c r="HX493" i="9"/>
  <c r="HV493" i="9" s="1"/>
  <c r="IA493" i="9"/>
  <c r="HX581" i="9"/>
  <c r="HV581" i="9" s="1"/>
  <c r="IA581" i="9"/>
  <c r="HX504" i="9"/>
  <c r="HV504" i="9" s="1"/>
  <c r="IA504" i="9"/>
  <c r="IA447" i="9"/>
  <c r="HX447" i="9"/>
  <c r="HV447" i="9" s="1"/>
  <c r="IA394" i="9"/>
  <c r="HX394" i="9"/>
  <c r="HV394" i="9" s="1"/>
  <c r="HX413" i="9"/>
  <c r="HV413" i="9" s="1"/>
  <c r="IA413" i="9"/>
  <c r="HX501" i="9"/>
  <c r="HV501" i="9" s="1"/>
  <c r="IA501" i="9"/>
  <c r="IA433" i="9"/>
  <c r="HX433" i="9"/>
  <c r="HV433" i="9" s="1"/>
  <c r="HX398" i="9"/>
  <c r="HV398" i="9" s="1"/>
  <c r="IA398" i="9"/>
  <c r="IA380" i="9"/>
  <c r="HX380" i="9"/>
  <c r="HV380" i="9" s="1"/>
  <c r="HX365" i="9"/>
  <c r="HV365" i="9" s="1"/>
  <c r="IA365" i="9"/>
  <c r="HX369" i="9"/>
  <c r="HV369" i="9" s="1"/>
  <c r="IA369" i="9"/>
  <c r="IA330" i="9"/>
  <c r="HX330" i="9"/>
  <c r="HV330" i="9" s="1"/>
  <c r="HX391" i="9"/>
  <c r="HV391" i="9" s="1"/>
  <c r="IA391" i="9"/>
  <c r="HX282" i="9"/>
  <c r="HV282" i="9" s="1"/>
  <c r="IA282" i="9"/>
  <c r="HX295" i="9"/>
  <c r="HV295" i="9" s="1"/>
  <c r="IA295" i="9"/>
  <c r="HX211" i="9"/>
  <c r="HV211" i="9" s="1"/>
  <c r="IA211" i="9"/>
  <c r="IA185" i="9"/>
  <c r="HX185" i="9"/>
  <c r="HV185" i="9" s="1"/>
  <c r="IA193" i="9"/>
  <c r="HX193" i="9"/>
  <c r="HV193" i="9" s="1"/>
  <c r="DA176" i="9"/>
  <c r="EY176" i="9" s="1"/>
  <c r="CZ176" i="9"/>
  <c r="EX176" i="9" s="1"/>
  <c r="HZ176" i="9" s="1"/>
  <c r="HX166" i="9"/>
  <c r="HV166" i="9" s="1"/>
  <c r="IA166" i="9"/>
  <c r="IA213" i="9"/>
  <c r="HX213" i="9"/>
  <c r="HV213" i="9" s="1"/>
  <c r="IA70" i="9"/>
  <c r="HX70" i="9"/>
  <c r="HV70" i="9" s="1"/>
  <c r="IA20" i="9"/>
  <c r="HX20" i="9"/>
  <c r="HV20" i="9" s="1"/>
  <c r="HX76" i="9"/>
  <c r="HV76" i="9" s="1"/>
  <c r="IA76" i="9"/>
  <c r="IA41" i="9"/>
  <c r="HX41" i="9"/>
  <c r="HV41" i="9" s="1"/>
  <c r="HX992" i="9"/>
  <c r="HV992" i="9" s="1"/>
  <c r="IA992" i="9"/>
  <c r="HX919" i="9"/>
  <c r="HV919" i="9" s="1"/>
  <c r="IA919" i="9"/>
  <c r="IA938" i="9"/>
  <c r="HX938" i="9"/>
  <c r="HV938" i="9" s="1"/>
  <c r="IA884" i="9"/>
  <c r="HX884" i="9"/>
  <c r="HV884" i="9" s="1"/>
  <c r="IA865" i="9"/>
  <c r="HX865" i="9"/>
  <c r="HV865" i="9" s="1"/>
  <c r="IA836" i="9"/>
  <c r="HX836" i="9"/>
  <c r="HV836" i="9" s="1"/>
  <c r="IA845" i="9"/>
  <c r="HX845" i="9"/>
  <c r="HV845" i="9" s="1"/>
  <c r="HX794" i="9"/>
  <c r="HV794" i="9" s="1"/>
  <c r="IA794" i="9"/>
  <c r="IA822" i="9"/>
  <c r="HX822" i="9"/>
  <c r="HV822" i="9" s="1"/>
  <c r="BB753" i="9"/>
  <c r="EY753" i="9" s="1"/>
  <c r="IA753" i="9" s="1"/>
  <c r="BA753" i="9"/>
  <c r="EX753" i="9" s="1"/>
  <c r="HZ753" i="9" s="1"/>
  <c r="IA805" i="9"/>
  <c r="HX805" i="9"/>
  <c r="HV805" i="9" s="1"/>
  <c r="HX785" i="9"/>
  <c r="HV785" i="9" s="1"/>
  <c r="IA785" i="9"/>
  <c r="HX773" i="9"/>
  <c r="HV773" i="9" s="1"/>
  <c r="IA773" i="9"/>
  <c r="HX735" i="9"/>
  <c r="HV735" i="9" s="1"/>
  <c r="IA735" i="9"/>
  <c r="IA749" i="9"/>
  <c r="HX749" i="9"/>
  <c r="HV749" i="9" s="1"/>
  <c r="HX758" i="9"/>
  <c r="HV758" i="9" s="1"/>
  <c r="IA758" i="9"/>
  <c r="IA695" i="9"/>
  <c r="HX695" i="9"/>
  <c r="HV695" i="9" s="1"/>
  <c r="HX712" i="9"/>
  <c r="HV712" i="9" s="1"/>
  <c r="IA712" i="9"/>
  <c r="HX728" i="9"/>
  <c r="HV728" i="9" s="1"/>
  <c r="IA728" i="9"/>
  <c r="EX715" i="9"/>
  <c r="HZ715" i="9" s="1"/>
  <c r="HX651" i="9"/>
  <c r="HV651" i="9" s="1"/>
  <c r="IA651" i="9"/>
  <c r="IA620" i="9"/>
  <c r="HX620" i="9"/>
  <c r="HV620" i="9" s="1"/>
  <c r="IA545" i="9"/>
  <c r="HX545" i="9"/>
  <c r="HV545" i="9" s="1"/>
  <c r="HX594" i="9"/>
  <c r="HV594" i="9" s="1"/>
  <c r="IA594" i="9"/>
  <c r="HX570" i="9"/>
  <c r="HV570" i="9" s="1"/>
  <c r="IA570" i="9"/>
  <c r="IA537" i="9"/>
  <c r="HX537" i="9"/>
  <c r="HV537" i="9" s="1"/>
  <c r="IA492" i="9"/>
  <c r="HX492" i="9"/>
  <c r="HV492" i="9" s="1"/>
  <c r="IA616" i="9"/>
  <c r="HX616" i="9"/>
  <c r="HV616" i="9" s="1"/>
  <c r="HX582" i="9"/>
  <c r="HV582" i="9" s="1"/>
  <c r="IA582" i="9"/>
  <c r="IA543" i="9"/>
  <c r="HX543" i="9"/>
  <c r="HV543" i="9" s="1"/>
  <c r="IA462" i="9"/>
  <c r="HX462" i="9"/>
  <c r="HV462" i="9" s="1"/>
  <c r="IA604" i="9"/>
  <c r="HX604" i="9"/>
  <c r="HV604" i="9" s="1"/>
  <c r="IA593" i="9"/>
  <c r="HX593" i="9"/>
  <c r="HV593" i="9" s="1"/>
  <c r="IA480" i="9"/>
  <c r="HX480" i="9"/>
  <c r="HV480" i="9" s="1"/>
  <c r="IA427" i="9"/>
  <c r="HX427" i="9"/>
  <c r="HV427" i="9" s="1"/>
  <c r="IA421" i="9"/>
  <c r="HX421" i="9"/>
  <c r="HV421" i="9" s="1"/>
  <c r="HX454" i="9"/>
  <c r="HV454" i="9" s="1"/>
  <c r="IA454" i="9"/>
  <c r="IA384" i="9"/>
  <c r="HX384" i="9"/>
  <c r="HV384" i="9" s="1"/>
  <c r="HX327" i="9"/>
  <c r="HV327" i="9" s="1"/>
  <c r="IA327" i="9"/>
  <c r="CA473" i="9"/>
  <c r="EY473" i="9" s="1"/>
  <c r="BZ473" i="9"/>
  <c r="EX473" i="9" s="1"/>
  <c r="HZ473" i="9" s="1"/>
  <c r="HX437" i="9"/>
  <c r="HV437" i="9" s="1"/>
  <c r="IA437" i="9"/>
  <c r="HX422" i="9"/>
  <c r="HV422" i="9" s="1"/>
  <c r="IA422" i="9"/>
  <c r="HX286" i="9"/>
  <c r="HV286" i="9" s="1"/>
  <c r="IA286" i="9"/>
  <c r="IA256" i="9"/>
  <c r="HX256" i="9"/>
  <c r="HV256" i="9" s="1"/>
  <c r="EY354" i="9"/>
  <c r="IA354" i="9" s="1"/>
  <c r="IA277" i="9"/>
  <c r="HX277" i="9"/>
  <c r="HV277" i="9" s="1"/>
  <c r="IA210" i="9"/>
  <c r="HX210" i="9"/>
  <c r="HV210" i="9" s="1"/>
  <c r="HX192" i="9"/>
  <c r="HV192" i="9" s="1"/>
  <c r="IA192" i="9"/>
  <c r="IA190" i="9"/>
  <c r="HX190" i="9"/>
  <c r="HV190" i="9" s="1"/>
  <c r="CZ179" i="9"/>
  <c r="EX179" i="9" s="1"/>
  <c r="HZ179" i="9" s="1"/>
  <c r="DA179" i="9"/>
  <c r="EY179" i="9" s="1"/>
  <c r="HX251" i="9"/>
  <c r="HV251" i="9" s="1"/>
  <c r="IA251" i="9"/>
  <c r="HX238" i="9"/>
  <c r="HV238" i="9" s="1"/>
  <c r="IA238" i="9"/>
  <c r="IA47" i="9"/>
  <c r="HX47" i="9"/>
  <c r="HV47" i="9" s="1"/>
  <c r="IA72" i="9"/>
  <c r="HX72" i="9"/>
  <c r="HV72" i="9" s="1"/>
  <c r="IA9" i="9"/>
  <c r="HX9" i="9"/>
  <c r="HV9" i="9" s="1"/>
  <c r="HX75" i="9"/>
  <c r="HV75" i="9" s="1"/>
  <c r="IA75" i="9"/>
  <c r="HX10" i="9"/>
  <c r="HV10" i="9" s="1"/>
  <c r="IA10" i="9"/>
  <c r="EX34" i="9"/>
  <c r="HZ34" i="9" s="1"/>
  <c r="IA26" i="9"/>
  <c r="HX26" i="9"/>
  <c r="HV26" i="9" s="1"/>
  <c r="BB13" i="9"/>
  <c r="EY13" i="9" s="1"/>
  <c r="BA13" i="9"/>
  <c r="EX13" i="9" s="1"/>
  <c r="HZ13" i="9" s="1"/>
  <c r="HX1000" i="9"/>
  <c r="HV1000" i="9" s="1"/>
  <c r="IA1000" i="9"/>
  <c r="IA956" i="9"/>
  <c r="HX956" i="9"/>
  <c r="HV956" i="9" s="1"/>
  <c r="IA968" i="9"/>
  <c r="HX968" i="9"/>
  <c r="HV968" i="9" s="1"/>
  <c r="IA964" i="9"/>
  <c r="HX964" i="9"/>
  <c r="HV964" i="9" s="1"/>
  <c r="HX937" i="9"/>
  <c r="HV937" i="9" s="1"/>
  <c r="IA937" i="9"/>
  <c r="HX909" i="9"/>
  <c r="HV909" i="9" s="1"/>
  <c r="IA909" i="9"/>
  <c r="ET895" i="9"/>
  <c r="EX895" i="9" s="1"/>
  <c r="HZ895" i="9" s="1"/>
  <c r="EU895" i="9"/>
  <c r="EY895" i="9" s="1"/>
  <c r="IA895" i="9" s="1"/>
  <c r="IA932" i="9"/>
  <c r="HX932" i="9"/>
  <c r="HV932" i="9" s="1"/>
  <c r="IA910" i="9"/>
  <c r="HX910" i="9"/>
  <c r="HV910" i="9" s="1"/>
  <c r="IA903" i="9"/>
  <c r="HX903" i="9"/>
  <c r="HV903" i="9" s="1"/>
  <c r="HX929" i="9"/>
  <c r="HV929" i="9" s="1"/>
  <c r="IA929" i="9"/>
  <c r="HV879" i="9"/>
  <c r="IA940" i="9"/>
  <c r="HX940" i="9"/>
  <c r="HV940" i="9" s="1"/>
  <c r="IA835" i="9"/>
  <c r="HX835" i="9"/>
  <c r="HV835" i="9" s="1"/>
  <c r="IA809" i="9"/>
  <c r="HX809" i="9"/>
  <c r="HV809" i="9" s="1"/>
  <c r="HX812" i="9"/>
  <c r="HV812" i="9" s="1"/>
  <c r="IA812" i="9"/>
  <c r="HX817" i="9"/>
  <c r="HV817" i="9" s="1"/>
  <c r="IA817" i="9"/>
  <c r="IA827" i="9"/>
  <c r="HX827" i="9"/>
  <c r="HV827" i="9" s="1"/>
  <c r="IA813" i="9"/>
  <c r="HX813" i="9"/>
  <c r="HV813" i="9" s="1"/>
  <c r="HX775" i="9"/>
  <c r="HV775" i="9" s="1"/>
  <c r="IA775" i="9"/>
  <c r="IA756" i="9"/>
  <c r="HX756" i="9"/>
  <c r="HV756" i="9" s="1"/>
  <c r="HX670" i="9"/>
  <c r="HV670" i="9" s="1"/>
  <c r="IA670" i="9"/>
  <c r="IA731" i="9"/>
  <c r="HX731" i="9"/>
  <c r="HV731" i="9" s="1"/>
  <c r="IA662" i="9"/>
  <c r="HX662" i="9"/>
  <c r="HV662" i="9" s="1"/>
  <c r="IA646" i="9"/>
  <c r="HX646" i="9"/>
  <c r="HV646" i="9" s="1"/>
  <c r="IA626" i="9"/>
  <c r="HX626" i="9"/>
  <c r="HV626" i="9" s="1"/>
  <c r="IA634" i="9"/>
  <c r="HX634" i="9"/>
  <c r="HV634" i="9" s="1"/>
  <c r="IA654" i="9"/>
  <c r="HX654" i="9"/>
  <c r="HV654" i="9" s="1"/>
  <c r="IA639" i="9"/>
  <c r="HX639" i="9"/>
  <c r="HV639" i="9" s="1"/>
  <c r="IA544" i="9"/>
  <c r="HX544" i="9"/>
  <c r="HV544" i="9" s="1"/>
  <c r="IA649" i="9"/>
  <c r="HX649" i="9"/>
  <c r="HV649" i="9" s="1"/>
  <c r="IA630" i="9"/>
  <c r="HX630" i="9"/>
  <c r="HV630" i="9" s="1"/>
  <c r="IA557" i="9"/>
  <c r="HX557" i="9"/>
  <c r="HV557" i="9" s="1"/>
  <c r="HX534" i="9"/>
  <c r="HV534" i="9" s="1"/>
  <c r="IA534" i="9"/>
  <c r="IA508" i="9"/>
  <c r="HX508" i="9"/>
  <c r="HV508" i="9" s="1"/>
  <c r="IA516" i="9"/>
  <c r="HX516" i="9"/>
  <c r="HV516" i="9" s="1"/>
  <c r="HX588" i="9"/>
  <c r="HV588" i="9" s="1"/>
  <c r="IA588" i="9"/>
  <c r="HX565" i="9"/>
  <c r="HV565" i="9" s="1"/>
  <c r="IA565" i="9"/>
  <c r="HX527" i="9"/>
  <c r="HV527" i="9" s="1"/>
  <c r="IA527" i="9"/>
  <c r="IA455" i="9"/>
  <c r="HX455" i="9"/>
  <c r="HV455" i="9" s="1"/>
  <c r="HX434" i="9"/>
  <c r="HV434" i="9" s="1"/>
  <c r="IA434" i="9"/>
  <c r="HX425" i="9"/>
  <c r="HV425" i="9" s="1"/>
  <c r="IA425" i="9"/>
  <c r="IA419" i="9"/>
  <c r="HX419" i="9"/>
  <c r="HV419" i="9" s="1"/>
  <c r="HX381" i="9"/>
  <c r="HV381" i="9" s="1"/>
  <c r="IA381" i="9"/>
  <c r="IA575" i="9"/>
  <c r="HX575" i="9"/>
  <c r="HV575" i="9" s="1"/>
  <c r="IA453" i="9"/>
  <c r="HX453" i="9"/>
  <c r="HV453" i="9" s="1"/>
  <c r="IA392" i="9"/>
  <c r="HX392" i="9"/>
  <c r="HV392" i="9" s="1"/>
  <c r="IA385" i="9"/>
  <c r="HX385" i="9"/>
  <c r="HV385" i="9" s="1"/>
  <c r="IA388" i="9"/>
  <c r="HX388" i="9"/>
  <c r="HV388" i="9" s="1"/>
  <c r="HX289" i="9"/>
  <c r="HV289" i="9" s="1"/>
  <c r="IA289" i="9"/>
  <c r="IA299" i="9"/>
  <c r="HX299" i="9"/>
  <c r="HV299" i="9" s="1"/>
  <c r="IA435" i="9"/>
  <c r="HX435" i="9"/>
  <c r="HV435" i="9" s="1"/>
  <c r="EX350" i="9"/>
  <c r="HZ350" i="9" s="1"/>
  <c r="HX326" i="9"/>
  <c r="HV326" i="9" s="1"/>
  <c r="IA326" i="9"/>
  <c r="IA292" i="9"/>
  <c r="HX292" i="9"/>
  <c r="HV292" i="9" s="1"/>
  <c r="HX257" i="9"/>
  <c r="HV257" i="9" s="1"/>
  <c r="IA257" i="9"/>
  <c r="IA171" i="9"/>
  <c r="HX171" i="9"/>
  <c r="HV171" i="9" s="1"/>
  <c r="IA169" i="9"/>
  <c r="HX169" i="9"/>
  <c r="HV169" i="9" s="1"/>
  <c r="EX263" i="9"/>
  <c r="HZ263" i="9" s="1"/>
  <c r="HX82" i="9"/>
  <c r="HV82" i="9" s="1"/>
  <c r="IA82" i="9"/>
  <c r="HX59" i="9"/>
  <c r="HV59" i="9" s="1"/>
  <c r="IA59" i="9"/>
  <c r="HX60" i="9"/>
  <c r="HV60" i="9" s="1"/>
  <c r="IA60" i="9"/>
  <c r="HX1005" i="9"/>
  <c r="HV1005" i="9" s="1"/>
  <c r="IA1005" i="9"/>
  <c r="HX984" i="9"/>
  <c r="HV984" i="9" s="1"/>
  <c r="IA984" i="9"/>
  <c r="IA991" i="9"/>
  <c r="HX991" i="9"/>
  <c r="HV991" i="9" s="1"/>
  <c r="HX967" i="9"/>
  <c r="HV967" i="9" s="1"/>
  <c r="IA967" i="9"/>
  <c r="IA882" i="9"/>
  <c r="HX882" i="9"/>
  <c r="HV882" i="9" s="1"/>
  <c r="HX878" i="9"/>
  <c r="HV878" i="9" s="1"/>
  <c r="IA878" i="9"/>
  <c r="IA862" i="9"/>
  <c r="HX862" i="9"/>
  <c r="HV862" i="9" s="1"/>
  <c r="IA858" i="9"/>
  <c r="HX858" i="9"/>
  <c r="HV858" i="9" s="1"/>
  <c r="IA863" i="9"/>
  <c r="HX863" i="9"/>
  <c r="HV863" i="9" s="1"/>
  <c r="IA839" i="9"/>
  <c r="HX839" i="9"/>
  <c r="HV839" i="9" s="1"/>
  <c r="IA841" i="9"/>
  <c r="HX841" i="9"/>
  <c r="HV841" i="9" s="1"/>
  <c r="IA838" i="9"/>
  <c r="HX838" i="9"/>
  <c r="HV838" i="9" s="1"/>
  <c r="HX880" i="9"/>
  <c r="HV880" i="9" s="1"/>
  <c r="IA880" i="9"/>
  <c r="HX826" i="9"/>
  <c r="HV826" i="9" s="1"/>
  <c r="IA826" i="9"/>
  <c r="CA856" i="9"/>
  <c r="EY856" i="9" s="1"/>
  <c r="BZ856" i="9"/>
  <c r="EX856" i="9" s="1"/>
  <c r="HZ856" i="9" s="1"/>
  <c r="HX789" i="9"/>
  <c r="HV789" i="9" s="1"/>
  <c r="IA789" i="9"/>
  <c r="HX784" i="9"/>
  <c r="HV784" i="9" s="1"/>
  <c r="IA784" i="9"/>
  <c r="HX751" i="9"/>
  <c r="HV751" i="9" s="1"/>
  <c r="IA751" i="9"/>
  <c r="HX727" i="9"/>
  <c r="HV727" i="9" s="1"/>
  <c r="IA727" i="9"/>
  <c r="IA788" i="9"/>
  <c r="HX788" i="9"/>
  <c r="HV788" i="9" s="1"/>
  <c r="HX707" i="9"/>
  <c r="HV707" i="9" s="1"/>
  <c r="IA707" i="9"/>
  <c r="IA770" i="9"/>
  <c r="HX770" i="9"/>
  <c r="HV770" i="9" s="1"/>
  <c r="IA754" i="9"/>
  <c r="HX754" i="9"/>
  <c r="HV754" i="9" s="1"/>
  <c r="HX744" i="9"/>
  <c r="HV744" i="9" s="1"/>
  <c r="IA744" i="9"/>
  <c r="IA732" i="9"/>
  <c r="HX732" i="9"/>
  <c r="HV732" i="9" s="1"/>
  <c r="IA708" i="9"/>
  <c r="HX708" i="9"/>
  <c r="HV708" i="9" s="1"/>
  <c r="IA685" i="9"/>
  <c r="HX685" i="9"/>
  <c r="HV685" i="9" s="1"/>
  <c r="HX692" i="9"/>
  <c r="HV692" i="9" s="1"/>
  <c r="IA692" i="9"/>
  <c r="IA669" i="9"/>
  <c r="HX669" i="9"/>
  <c r="HV669" i="9" s="1"/>
  <c r="IA736" i="9"/>
  <c r="HX736" i="9"/>
  <c r="HV736" i="9" s="1"/>
  <c r="HX676" i="9"/>
  <c r="HV676" i="9" s="1"/>
  <c r="IA676" i="9"/>
  <c r="IA689" i="9"/>
  <c r="HX689" i="9"/>
  <c r="HV689" i="9" s="1"/>
  <c r="IA705" i="9"/>
  <c r="HX705" i="9"/>
  <c r="HV705" i="9" s="1"/>
  <c r="IA671" i="9"/>
  <c r="HX671" i="9"/>
  <c r="HV671" i="9" s="1"/>
  <c r="IA610" i="9"/>
  <c r="HX610" i="9"/>
  <c r="HV610" i="9" s="1"/>
  <c r="IA627" i="9"/>
  <c r="HX627" i="9"/>
  <c r="HV627" i="9" s="1"/>
  <c r="HX590" i="9"/>
  <c r="HV590" i="9" s="1"/>
  <c r="IA590" i="9"/>
  <c r="IA573" i="9"/>
  <c r="HX573" i="9"/>
  <c r="HV573" i="9" s="1"/>
  <c r="HX596" i="9"/>
  <c r="HV596" i="9" s="1"/>
  <c r="IA596" i="9"/>
  <c r="HX564" i="9"/>
  <c r="HV564" i="9" s="1"/>
  <c r="IA564" i="9"/>
  <c r="IA601" i="9"/>
  <c r="HX601" i="9"/>
  <c r="HV601" i="9" s="1"/>
  <c r="IA551" i="9"/>
  <c r="HX551" i="9"/>
  <c r="HV551" i="9" s="1"/>
  <c r="IA530" i="9"/>
  <c r="HX530" i="9"/>
  <c r="HV530" i="9" s="1"/>
  <c r="IA659" i="9"/>
  <c r="HX659" i="9"/>
  <c r="HV659" i="9" s="1"/>
  <c r="IA599" i="9"/>
  <c r="HX599" i="9"/>
  <c r="HV599" i="9" s="1"/>
  <c r="IA587" i="9"/>
  <c r="HX587" i="9"/>
  <c r="HV587" i="9" s="1"/>
  <c r="HX568" i="9"/>
  <c r="HV568" i="9" s="1"/>
  <c r="IA568" i="9"/>
  <c r="IA553" i="9"/>
  <c r="HX553" i="9"/>
  <c r="HV553" i="9" s="1"/>
  <c r="HX497" i="9"/>
  <c r="HV497" i="9" s="1"/>
  <c r="IA497" i="9"/>
  <c r="IA518" i="9"/>
  <c r="HX518" i="9"/>
  <c r="HV518" i="9" s="1"/>
  <c r="HX550" i="9"/>
  <c r="HV550" i="9" s="1"/>
  <c r="IA550" i="9"/>
  <c r="IA502" i="9"/>
  <c r="HX502" i="9"/>
  <c r="HV502" i="9" s="1"/>
  <c r="IA485" i="9"/>
  <c r="HX485" i="9"/>
  <c r="HV485" i="9" s="1"/>
  <c r="IA464" i="9"/>
  <c r="HX464" i="9"/>
  <c r="HV464" i="9" s="1"/>
  <c r="IA386" i="9"/>
  <c r="HX386" i="9"/>
  <c r="HV386" i="9" s="1"/>
  <c r="IA379" i="9"/>
  <c r="HX379" i="9"/>
  <c r="HV379" i="9" s="1"/>
  <c r="HX512" i="9"/>
  <c r="HV512" i="9" s="1"/>
  <c r="IA512" i="9"/>
  <c r="HX452" i="9"/>
  <c r="HV452" i="9" s="1"/>
  <c r="IA452" i="9"/>
  <c r="EX438" i="9"/>
  <c r="HZ438" i="9" s="1"/>
  <c r="IA331" i="9"/>
  <c r="HX331" i="9"/>
  <c r="HV331" i="9" s="1"/>
  <c r="HX293" i="9"/>
  <c r="HV293" i="9" s="1"/>
  <c r="IA293" i="9"/>
  <c r="IA285" i="9"/>
  <c r="HX285" i="9"/>
  <c r="HV285" i="9" s="1"/>
  <c r="EY350" i="9"/>
  <c r="IA350" i="9" s="1"/>
  <c r="IA303" i="9"/>
  <c r="HX303" i="9"/>
  <c r="HV303" i="9" s="1"/>
  <c r="HV237" i="9"/>
  <c r="HX170" i="9"/>
  <c r="HV170" i="9" s="1"/>
  <c r="IA170" i="9"/>
  <c r="IA186" i="9"/>
  <c r="HX186" i="9"/>
  <c r="HV186" i="9" s="1"/>
  <c r="HX207" i="9"/>
  <c r="HV207" i="9" s="1"/>
  <c r="IA207" i="9"/>
  <c r="HX178" i="9"/>
  <c r="HV178" i="9" s="1"/>
  <c r="IA178" i="9"/>
  <c r="HX17" i="9"/>
  <c r="HV17" i="9" s="1"/>
  <c r="IA17" i="9"/>
  <c r="HX24" i="9"/>
  <c r="HV24" i="9" s="1"/>
  <c r="IA24" i="9"/>
  <c r="IA985" i="9"/>
  <c r="HX985" i="9"/>
  <c r="HV985" i="9" s="1"/>
  <c r="CA997" i="9"/>
  <c r="EY997" i="9" s="1"/>
  <c r="BZ997" i="9"/>
  <c r="EX997" i="9" s="1"/>
  <c r="HZ997" i="9" s="1"/>
  <c r="HX908" i="9"/>
  <c r="HV908" i="9" s="1"/>
  <c r="IA908" i="9"/>
  <c r="IA881" i="9"/>
  <c r="HX881" i="9"/>
  <c r="HV881" i="9" s="1"/>
  <c r="IA861" i="9"/>
  <c r="HX861" i="9"/>
  <c r="HV861" i="9" s="1"/>
  <c r="IA857" i="9"/>
  <c r="HX857" i="9"/>
  <c r="HV857" i="9" s="1"/>
  <c r="IA864" i="9"/>
  <c r="HX864" i="9"/>
  <c r="HV864" i="9" s="1"/>
  <c r="IA854" i="9"/>
  <c r="HX854" i="9"/>
  <c r="HV854" i="9" s="1"/>
  <c r="IA843" i="9"/>
  <c r="HX843" i="9"/>
  <c r="HV843" i="9" s="1"/>
  <c r="HX821" i="9"/>
  <c r="HV821" i="9" s="1"/>
  <c r="IA821" i="9"/>
  <c r="IA846" i="9"/>
  <c r="HX846" i="9"/>
  <c r="HV846" i="9" s="1"/>
  <c r="IA824" i="9"/>
  <c r="HX824" i="9"/>
  <c r="HV824" i="9" s="1"/>
  <c r="HX780" i="9"/>
  <c r="HV780" i="9" s="1"/>
  <c r="IA780" i="9"/>
  <c r="IA739" i="9"/>
  <c r="HX739" i="9"/>
  <c r="HV739" i="9" s="1"/>
  <c r="IA717" i="9"/>
  <c r="HX717" i="9"/>
  <c r="HV717" i="9" s="1"/>
  <c r="HX729" i="9"/>
  <c r="HV729" i="9" s="1"/>
  <c r="IA729" i="9"/>
  <c r="IA755" i="9"/>
  <c r="HX755" i="9"/>
  <c r="HV755" i="9" s="1"/>
  <c r="IA716" i="9"/>
  <c r="HX716" i="9"/>
  <c r="HV716" i="9" s="1"/>
  <c r="IA681" i="9"/>
  <c r="HX681" i="9"/>
  <c r="HV681" i="9" s="1"/>
  <c r="IA703" i="9"/>
  <c r="HX703" i="9"/>
  <c r="HV703" i="9" s="1"/>
  <c r="IA699" i="9"/>
  <c r="HX699" i="9"/>
  <c r="HV699" i="9" s="1"/>
  <c r="IA663" i="9"/>
  <c r="HX663" i="9"/>
  <c r="HV663" i="9" s="1"/>
  <c r="IA622" i="9"/>
  <c r="HX622" i="9"/>
  <c r="HV622" i="9" s="1"/>
  <c r="IA650" i="9"/>
  <c r="HX650" i="9"/>
  <c r="HV650" i="9" s="1"/>
  <c r="HX619" i="9"/>
  <c r="HV619" i="9" s="1"/>
  <c r="IA619" i="9"/>
  <c r="IA540" i="9"/>
  <c r="HX540" i="9"/>
  <c r="HV540" i="9" s="1"/>
  <c r="IA611" i="9"/>
  <c r="HX611" i="9"/>
  <c r="HV611" i="9" s="1"/>
  <c r="IA567" i="9"/>
  <c r="HX567" i="9"/>
  <c r="HV567" i="9" s="1"/>
  <c r="IA614" i="9"/>
  <c r="HX614" i="9"/>
  <c r="HV614" i="9" s="1"/>
  <c r="IA569" i="9"/>
  <c r="HX569" i="9"/>
  <c r="HV569" i="9" s="1"/>
  <c r="IA633" i="9"/>
  <c r="HX633" i="9"/>
  <c r="HV633" i="9" s="1"/>
  <c r="IA538" i="9"/>
  <c r="HX538" i="9"/>
  <c r="HV538" i="9" s="1"/>
  <c r="IA643" i="9"/>
  <c r="HX643" i="9"/>
  <c r="HV643" i="9" s="1"/>
  <c r="HX531" i="9"/>
  <c r="HV531" i="9" s="1"/>
  <c r="IA531" i="9"/>
  <c r="HX489" i="9"/>
  <c r="HV489" i="9" s="1"/>
  <c r="IA489" i="9"/>
  <c r="HX605" i="9"/>
  <c r="HV605" i="9" s="1"/>
  <c r="IA605" i="9"/>
  <c r="IA549" i="9"/>
  <c r="HX549" i="9"/>
  <c r="HV549" i="9" s="1"/>
  <c r="IA402" i="9"/>
  <c r="HX402" i="9"/>
  <c r="HV402" i="9" s="1"/>
  <c r="IA362" i="9"/>
  <c r="HX362" i="9"/>
  <c r="HV362" i="9" s="1"/>
  <c r="IA471" i="9"/>
  <c r="HX471" i="9"/>
  <c r="HV471" i="9" s="1"/>
  <c r="HX481" i="9"/>
  <c r="HV481" i="9" s="1"/>
  <c r="IA481" i="9"/>
  <c r="HX450" i="9"/>
  <c r="HV450" i="9" s="1"/>
  <c r="IA450" i="9"/>
  <c r="IA366" i="9"/>
  <c r="HX366" i="9"/>
  <c r="HV366" i="9" s="1"/>
  <c r="IA496" i="9"/>
  <c r="HX496" i="9"/>
  <c r="HV496" i="9" s="1"/>
  <c r="HX460" i="9"/>
  <c r="HV460" i="9" s="1"/>
  <c r="IA460" i="9"/>
  <c r="IA412" i="9"/>
  <c r="HX412" i="9"/>
  <c r="HV412" i="9" s="1"/>
  <c r="IA387" i="9"/>
  <c r="HX387" i="9"/>
  <c r="HV387" i="9" s="1"/>
  <c r="IA533" i="9"/>
  <c r="HX533" i="9"/>
  <c r="HV533" i="9" s="1"/>
  <c r="IA490" i="9"/>
  <c r="HX490" i="9"/>
  <c r="HV490" i="9" s="1"/>
  <c r="DU360" i="9"/>
  <c r="EY360" i="9" s="1"/>
  <c r="IA360" i="9" s="1"/>
  <c r="DT360" i="9"/>
  <c r="EX360" i="9" s="1"/>
  <c r="HZ360" i="9" s="1"/>
  <c r="IA472" i="9"/>
  <c r="HX472" i="9"/>
  <c r="HV472" i="9" s="1"/>
  <c r="IA438" i="9"/>
  <c r="HX438" i="9"/>
  <c r="HV438" i="9" s="1"/>
  <c r="HX415" i="9"/>
  <c r="HV415" i="9" s="1"/>
  <c r="IA415" i="9"/>
  <c r="HX403" i="9"/>
  <c r="HV403" i="9" s="1"/>
  <c r="IA403" i="9"/>
  <c r="HX288" i="9"/>
  <c r="HV288" i="9" s="1"/>
  <c r="IA288" i="9"/>
  <c r="HX328" i="9"/>
  <c r="HV328" i="9" s="1"/>
  <c r="IA328" i="9"/>
  <c r="IA291" i="9"/>
  <c r="HX291" i="9"/>
  <c r="HV291" i="9" s="1"/>
  <c r="IA383" i="9"/>
  <c r="HX383" i="9"/>
  <c r="HV383" i="9" s="1"/>
  <c r="IA400" i="9"/>
  <c r="HX400" i="9"/>
  <c r="HV400" i="9" s="1"/>
  <c r="IA194" i="9"/>
  <c r="HX194" i="9"/>
  <c r="HV194" i="9" s="1"/>
  <c r="IA209" i="9"/>
  <c r="HX209" i="9"/>
  <c r="HV209" i="9" s="1"/>
  <c r="IA167" i="9"/>
  <c r="HX167" i="9"/>
  <c r="HV167" i="9" s="1"/>
  <c r="IA106" i="9"/>
  <c r="HX106" i="9"/>
  <c r="HV106" i="9" s="1"/>
  <c r="HX258" i="9"/>
  <c r="HV258" i="9" s="1"/>
  <c r="IA258" i="9"/>
  <c r="IA168" i="9"/>
  <c r="HX168" i="9"/>
  <c r="HV168" i="9" s="1"/>
  <c r="IA58" i="9"/>
  <c r="HX58" i="9"/>
  <c r="HV58" i="9" s="1"/>
  <c r="IA57" i="9"/>
  <c r="HX57" i="9"/>
  <c r="HV57" i="9" s="1"/>
  <c r="IA103" i="9"/>
  <c r="HX103" i="9"/>
  <c r="HV103" i="9" s="1"/>
  <c r="IA104" i="9"/>
  <c r="HX104" i="9"/>
  <c r="HV104" i="9" s="1"/>
  <c r="HX44" i="9"/>
  <c r="HV44" i="9" s="1"/>
  <c r="IA44" i="9"/>
  <c r="IA989" i="9"/>
  <c r="HX989" i="9"/>
  <c r="HV989" i="9" s="1"/>
  <c r="IA1017" i="9"/>
  <c r="HX1017" i="9"/>
  <c r="HV1017" i="9" s="1"/>
  <c r="HX1034" i="9"/>
  <c r="HV1034" i="9" s="1"/>
  <c r="IA1034" i="9"/>
  <c r="HX1013" i="9"/>
  <c r="HV1013" i="9" s="1"/>
  <c r="IA1013" i="9"/>
  <c r="HX972" i="9"/>
  <c r="HV972" i="9" s="1"/>
  <c r="IA972" i="9"/>
  <c r="IA958" i="9"/>
  <c r="HX958" i="9"/>
  <c r="HV958" i="9" s="1"/>
  <c r="IA1021" i="9"/>
  <c r="HX1021" i="9"/>
  <c r="HV1021" i="9" s="1"/>
  <c r="IA934" i="9"/>
  <c r="HX934" i="9"/>
  <c r="HV934" i="9" s="1"/>
  <c r="IA907" i="9"/>
  <c r="HX907" i="9"/>
  <c r="HV907" i="9" s="1"/>
  <c r="IA886" i="9"/>
  <c r="HX886" i="9"/>
  <c r="HV886" i="9" s="1"/>
  <c r="EU894" i="9"/>
  <c r="EY894" i="9" s="1"/>
  <c r="IA894" i="9" s="1"/>
  <c r="ET894" i="9"/>
  <c r="EX894" i="9" s="1"/>
  <c r="HZ894" i="9" s="1"/>
  <c r="HX883" i="9"/>
  <c r="HV883" i="9" s="1"/>
  <c r="IA883" i="9"/>
  <c r="HX828" i="9"/>
  <c r="HV828" i="9" s="1"/>
  <c r="IA828" i="9"/>
  <c r="IA837" i="9"/>
  <c r="HX837" i="9"/>
  <c r="HV837" i="9" s="1"/>
  <c r="IA815" i="9"/>
  <c r="HX815" i="9"/>
  <c r="HV815" i="9" s="1"/>
  <c r="IA820" i="9"/>
  <c r="HX820" i="9"/>
  <c r="HV820" i="9" s="1"/>
  <c r="IA807" i="9"/>
  <c r="HX807" i="9"/>
  <c r="HV807" i="9" s="1"/>
  <c r="IA869" i="9"/>
  <c r="HX869" i="9"/>
  <c r="HV869" i="9" s="1"/>
  <c r="HX787" i="9"/>
  <c r="HV787" i="9" s="1"/>
  <c r="IA787" i="9"/>
  <c r="IA778" i="9"/>
  <c r="HX778" i="9"/>
  <c r="HV778" i="9" s="1"/>
  <c r="IA790" i="9"/>
  <c r="HX790" i="9"/>
  <c r="HV790" i="9" s="1"/>
  <c r="HX779" i="9"/>
  <c r="HV779" i="9" s="1"/>
  <c r="IA779" i="9"/>
  <c r="IA768" i="9"/>
  <c r="HX768" i="9"/>
  <c r="HV768" i="9" s="1"/>
  <c r="IA742" i="9"/>
  <c r="HX742" i="9"/>
  <c r="HV742" i="9" s="1"/>
  <c r="IA730" i="9"/>
  <c r="HX730" i="9"/>
  <c r="HV730" i="9" s="1"/>
  <c r="IA687" i="9"/>
  <c r="HX687" i="9"/>
  <c r="HV687" i="9" s="1"/>
  <c r="HX700" i="9"/>
  <c r="HV700" i="9" s="1"/>
  <c r="IA700" i="9"/>
  <c r="IA679" i="9"/>
  <c r="HX679" i="9"/>
  <c r="HV679" i="9" s="1"/>
  <c r="IA664" i="9"/>
  <c r="HX664" i="9"/>
  <c r="HV664" i="9" s="1"/>
  <c r="IA683" i="9"/>
  <c r="HX683" i="9"/>
  <c r="HV683" i="9" s="1"/>
  <c r="IA640" i="9"/>
  <c r="HX640" i="9"/>
  <c r="HV640" i="9" s="1"/>
  <c r="IA638" i="9"/>
  <c r="HX638" i="9"/>
  <c r="HV638" i="9" s="1"/>
  <c r="HX586" i="9"/>
  <c r="HV586" i="9" s="1"/>
  <c r="IA586" i="9"/>
  <c r="IA561" i="9"/>
  <c r="HX561" i="9"/>
  <c r="HV561" i="9" s="1"/>
  <c r="IA648" i="9"/>
  <c r="HX648" i="9"/>
  <c r="HV648" i="9" s="1"/>
  <c r="IA613" i="9"/>
  <c r="HX613" i="9"/>
  <c r="HV613" i="9" s="1"/>
  <c r="HX583" i="9"/>
  <c r="HV583" i="9" s="1"/>
  <c r="IA583" i="9"/>
  <c r="HX486" i="9"/>
  <c r="HV486" i="9" s="1"/>
  <c r="IA486" i="9"/>
  <c r="HX515" i="9"/>
  <c r="HV515" i="9" s="1"/>
  <c r="IA515" i="9"/>
  <c r="IA431" i="9"/>
  <c r="HX431" i="9"/>
  <c r="HV431" i="9" s="1"/>
  <c r="IA451" i="9"/>
  <c r="HX451" i="9"/>
  <c r="HV451" i="9" s="1"/>
  <c r="HX399" i="9"/>
  <c r="HV399" i="9" s="1"/>
  <c r="IA399" i="9"/>
  <c r="IA449" i="9"/>
  <c r="HX449" i="9"/>
  <c r="HV449" i="9" s="1"/>
  <c r="EY440" i="9"/>
  <c r="HX418" i="9"/>
  <c r="HV418" i="9" s="1"/>
  <c r="IA418" i="9"/>
  <c r="IA382" i="9"/>
  <c r="HX382" i="9"/>
  <c r="HV382" i="9" s="1"/>
  <c r="IA457" i="9"/>
  <c r="HX457" i="9"/>
  <c r="HV457" i="9" s="1"/>
  <c r="IA439" i="9"/>
  <c r="HX439" i="9"/>
  <c r="HV439" i="9" s="1"/>
  <c r="HX371" i="9"/>
  <c r="HV371" i="9" s="1"/>
  <c r="IA371" i="9"/>
  <c r="IA332" i="9"/>
  <c r="HX332" i="9"/>
  <c r="HV332" i="9" s="1"/>
  <c r="EY346" i="9"/>
  <c r="IA346" i="9" s="1"/>
  <c r="DA164" i="9"/>
  <c r="EY164" i="9" s="1"/>
  <c r="IA164" i="9" s="1"/>
  <c r="CZ164" i="9"/>
  <c r="EX164" i="9" s="1"/>
  <c r="HZ164" i="9" s="1"/>
  <c r="IA199" i="9"/>
  <c r="HX199" i="9"/>
  <c r="HV199" i="9" s="1"/>
  <c r="DA174" i="9"/>
  <c r="EY174" i="9" s="1"/>
  <c r="CZ174" i="9"/>
  <c r="EX174" i="9" s="1"/>
  <c r="HZ174" i="9" s="1"/>
  <c r="IA189" i="9"/>
  <c r="HX189" i="9"/>
  <c r="HV189" i="9" s="1"/>
  <c r="IA73" i="9"/>
  <c r="HX73" i="9"/>
  <c r="HV73" i="9" s="1"/>
  <c r="IA46" i="9"/>
  <c r="HX46" i="9"/>
  <c r="HV46" i="9" s="1"/>
  <c r="HX536" i="9" l="1"/>
  <c r="HV536" i="9" s="1"/>
  <c r="IA943" i="9"/>
  <c r="HX943" i="9"/>
  <c r="HV943" i="9" s="1"/>
  <c r="HX791" i="9"/>
  <c r="HV791" i="9" s="1"/>
  <c r="IA791" i="9"/>
  <c r="HX962" i="9"/>
  <c r="HV962" i="9" s="1"/>
  <c r="IA962" i="9"/>
  <c r="HX177" i="9"/>
  <c r="HV177" i="9" s="1"/>
  <c r="IA177" i="9"/>
  <c r="IA870" i="9"/>
  <c r="IA176" i="9"/>
  <c r="HX176" i="9"/>
  <c r="HV176" i="9" s="1"/>
  <c r="IA871" i="9"/>
  <c r="HX871" i="9"/>
  <c r="HV871" i="9" s="1"/>
  <c r="IA179" i="9"/>
  <c r="HX179" i="9"/>
  <c r="HV179" i="9" s="1"/>
  <c r="IA714" i="9"/>
  <c r="HX714" i="9"/>
  <c r="HV714" i="9" s="1"/>
  <c r="IA12" i="9"/>
  <c r="HX12" i="9"/>
  <c r="HV12" i="9" s="1"/>
  <c r="HX174" i="9"/>
  <c r="HV174" i="9" s="1"/>
  <c r="IA174" i="9"/>
  <c r="HX715" i="9"/>
  <c r="HV715" i="9" s="1"/>
  <c r="IA715" i="9"/>
  <c r="HX997" i="9"/>
  <c r="HV997" i="9" s="1"/>
  <c r="IA997" i="9"/>
  <c r="IA173" i="9"/>
  <c r="HX173" i="9"/>
  <c r="HV173" i="9" s="1"/>
  <c r="IA856" i="9"/>
  <c r="HX856" i="9"/>
  <c r="HV856" i="9" s="1"/>
  <c r="IA473" i="9"/>
  <c r="HX473" i="9"/>
  <c r="HV473" i="9" s="1"/>
  <c r="IA440" i="9"/>
  <c r="HX440" i="9"/>
  <c r="HV440" i="9" s="1"/>
  <c r="HX721" i="9"/>
  <c r="HV721" i="9" s="1"/>
  <c r="IA721" i="9"/>
  <c r="IA855" i="9"/>
  <c r="HX855" i="9"/>
  <c r="HV855" i="9" s="1"/>
  <c r="IA13" i="9"/>
  <c r="HX13" i="9"/>
  <c r="HV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tc={D4B50ADF-1098-430E-8F17-DD8242D29E48}</author>
    <author>tc={24156D03-AE5E-45AD-94EB-5013645D4D5C}</author>
    <author>tc={4A906A9B-381C-41DC-B8E1-B5862EC37AC6}</author>
    <author>tc={7ABBA98B-F0F9-485A-99A8-0A04DC31BE51}</author>
    <author>tc={CC90BEB5-27B7-4167-87F7-C87CA8CDEBD7}</author>
    <author>tc={F302771B-C2D0-4323-8E3E-314B1172A019}</author>
  </authors>
  <commentList>
    <comment ref="HL17" authorId="0" shapeId="0" xr:uid="{7B4309B1-9381-4947-8670-C4A818A84112}">
      <text>
        <r>
          <rPr>
            <sz val="11"/>
            <color theme="1"/>
            <rFont val="等线"/>
            <family val="3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增产过高</t>
        </r>
      </text>
    </comment>
    <comment ref="DY239" authorId="1" shapeId="0" xr:uid="{7A406C06-0ABA-40AA-844B-9EF225056CA1}">
      <text>
        <r>
          <rPr>
            <sz val="11"/>
            <color theme="1"/>
            <rFont val="等线"/>
            <family val="3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数值太高</t>
        </r>
      </text>
    </comment>
    <comment ref="AP474" authorId="2" shapeId="0" xr:uid="{EDA0C688-A247-4BE9-B0C9-A4E09BAFF4B0}">
      <text>
        <r>
          <rPr>
            <sz val="11"/>
            <color theme="1"/>
            <rFont val="等线"/>
            <family val="3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疏松岩性土，粗骨土</t>
        </r>
      </text>
    </comment>
    <comment ref="AP717" authorId="3" shapeId="0" xr:uid="{2C63F6D3-727E-436F-AC31-E21BAE4DA3D7}">
      <text>
        <r>
          <rPr>
            <sz val="11"/>
            <color theme="1"/>
            <rFont val="等线"/>
            <family val="3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潜育土</t>
        </r>
      </text>
    </comment>
    <comment ref="AP951" authorId="4" shapeId="0" xr:uid="{CF30FCE1-9A14-42B8-9163-3428C671161E}">
      <text>
        <r>
          <rPr>
            <sz val="11"/>
            <color theme="1"/>
            <rFont val="等线"/>
            <family val="3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火山灰土，肥力较高</t>
        </r>
      </text>
    </comment>
    <comment ref="AP958" authorId="5" shapeId="0" xr:uid="{F4937A4E-7632-4E34-A6AF-1BE4A4C170A6}">
      <text>
        <r>
          <rPr>
            <sz val="11"/>
            <color theme="1"/>
            <rFont val="等线"/>
            <family val="3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灰色荒漠土</t>
        </r>
      </text>
    </comment>
  </commentList>
</comments>
</file>

<file path=xl/sharedStrings.xml><?xml version="1.0" encoding="utf-8"?>
<sst xmlns="http://schemas.openxmlformats.org/spreadsheetml/2006/main" count="16808" uniqueCount="2478">
  <si>
    <t>Literature ID</t>
  </si>
  <si>
    <t>Study ID</t>
  </si>
  <si>
    <t>Experiment ID</t>
  </si>
  <si>
    <t>Title</t>
  </si>
  <si>
    <t>Author</t>
  </si>
  <si>
    <t>Year of publication</t>
  </si>
  <si>
    <t>Journal</t>
  </si>
  <si>
    <t>Province</t>
  </si>
  <si>
    <t>Continent</t>
  </si>
  <si>
    <t>Lon</t>
  </si>
  <si>
    <t>Crop code</t>
  </si>
  <si>
    <t>Soil pH</t>
  </si>
  <si>
    <t>Yi</t>
  </si>
  <si>
    <t>Yi code</t>
  </si>
  <si>
    <t>Unit-sugar concentration</t>
  </si>
  <si>
    <t>Europe</t>
  </si>
  <si>
    <t>T15</t>
  </si>
  <si>
    <t>T18</t>
  </si>
  <si>
    <t>T19</t>
  </si>
  <si>
    <t>T20</t>
  </si>
  <si>
    <t>T21</t>
  </si>
  <si>
    <t>T23</t>
  </si>
  <si>
    <t>Nigeria</t>
  </si>
  <si>
    <t>Asia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</si>
  <si>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</si>
  <si>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</si>
  <si>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</si>
  <si>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</si>
  <si>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</si>
  <si>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</si>
  <si>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</si>
  <si>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</si>
  <si>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</si>
  <si>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</si>
  <si>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</si>
  <si>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</si>
  <si>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T62</t>
  </si>
  <si>
    <t>T63</t>
  </si>
  <si>
    <t>T64</t>
  </si>
  <si>
    <t>T65</t>
  </si>
  <si>
    <t>T66</t>
  </si>
  <si>
    <t>T67</t>
  </si>
  <si>
    <t>T77</t>
  </si>
  <si>
    <t>T78</t>
  </si>
  <si>
    <t>T79</t>
  </si>
  <si>
    <t>T80</t>
  </si>
  <si>
    <t>T81</t>
  </si>
  <si>
    <t>T82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</si>
  <si>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</si>
  <si>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</si>
  <si>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</si>
  <si>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</si>
  <si>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</si>
  <si>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</si>
  <si>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</si>
  <si>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</si>
  <si>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</si>
  <si>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</si>
  <si>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</si>
  <si>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</si>
  <si>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</si>
  <si>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</si>
  <si>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</si>
  <si>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</si>
  <si>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</si>
  <si>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</si>
  <si>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</si>
  <si>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</si>
  <si>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</si>
  <si>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</si>
  <si>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</si>
  <si>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</si>
  <si>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</si>
  <si>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China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</si>
  <si>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</si>
  <si>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</si>
  <si>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</si>
  <si>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</si>
  <si>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</si>
  <si>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</si>
  <si>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</si>
  <si>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</si>
  <si>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</si>
  <si>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</si>
  <si>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</si>
  <si>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</si>
  <si>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</si>
  <si>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</si>
  <si>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</si>
  <si>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</si>
  <si>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</si>
  <si>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</si>
  <si>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</si>
  <si>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</si>
  <si>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</si>
  <si>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</si>
  <si>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</si>
  <si>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</si>
  <si>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</si>
  <si>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</si>
  <si>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</si>
  <si>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</si>
  <si>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</si>
  <si>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</si>
  <si>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</si>
  <si>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</si>
  <si>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</si>
  <si>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</si>
  <si>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</si>
  <si>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</si>
  <si>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</si>
  <si>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</si>
  <si>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</si>
  <si>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</si>
  <si>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</si>
  <si>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</si>
  <si>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</si>
  <si>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</si>
  <si>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</si>
  <si>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</si>
  <si>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</si>
  <si>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</si>
  <si>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</si>
  <si>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</si>
  <si>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</si>
  <si>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</si>
  <si>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</si>
  <si>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</si>
  <si>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</si>
  <si>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</si>
  <si>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</si>
  <si>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</si>
  <si>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</si>
  <si>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Scientia Agricultura Sinica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</si>
  <si>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</si>
  <si>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</si>
  <si>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</si>
  <si>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</si>
  <si>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</si>
  <si>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</si>
  <si>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</si>
  <si>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</si>
  <si>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</si>
  <si>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</si>
  <si>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</si>
  <si>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</si>
  <si>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</si>
  <si>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</si>
  <si>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</si>
  <si>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</si>
  <si>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</si>
  <si>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</si>
  <si>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</si>
  <si>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</si>
  <si>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</si>
  <si>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</si>
  <si>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</si>
  <si>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</si>
  <si>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</si>
  <si>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</si>
  <si>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</si>
  <si>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</si>
  <si>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</si>
  <si>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</si>
  <si>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</si>
  <si>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</si>
  <si>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</si>
  <si>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</si>
  <si>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</si>
  <si>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</si>
  <si>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</si>
  <si>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</si>
  <si>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</si>
  <si>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</si>
  <si>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</si>
  <si>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</si>
  <si>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</si>
  <si>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</si>
  <si>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</si>
  <si>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</si>
  <si>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</si>
  <si>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</si>
  <si>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</si>
  <si>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</si>
  <si>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</si>
  <si>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</si>
  <si>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</si>
  <si>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</si>
  <si>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</si>
  <si>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</si>
  <si>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</si>
  <si>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</si>
  <si>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</si>
  <si>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</si>
  <si>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</si>
  <si>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</si>
  <si>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</si>
  <si>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</si>
  <si>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</si>
  <si>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</si>
  <si>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</si>
  <si>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</si>
  <si>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</si>
  <si>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</si>
  <si>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</si>
  <si>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</si>
  <si>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</si>
  <si>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</si>
  <si>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</si>
  <si>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</si>
  <si>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</si>
  <si>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</si>
  <si>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</si>
  <si>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</si>
  <si>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</si>
  <si>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</si>
  <si>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</si>
  <si>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</si>
  <si>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</si>
  <si>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</si>
  <si>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</si>
  <si>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</si>
  <si>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</si>
  <si>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</si>
  <si>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</si>
  <si>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</si>
  <si>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</si>
  <si>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</si>
  <si>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</si>
  <si>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</si>
  <si>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</si>
  <si>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</si>
  <si>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</si>
  <si>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</si>
  <si>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</si>
  <si>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</si>
  <si>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</si>
  <si>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</si>
  <si>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</si>
  <si>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</si>
  <si>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</si>
  <si>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</si>
  <si>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</si>
  <si>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</si>
  <si>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</si>
  <si>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</si>
  <si>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</si>
  <si>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</si>
  <si>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</si>
  <si>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</si>
  <si>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</si>
  <si>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</si>
  <si>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</si>
  <si>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</si>
  <si>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</si>
  <si>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</si>
  <si>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</si>
  <si>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</si>
  <si>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</si>
  <si>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</si>
  <si>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</si>
  <si>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</si>
  <si>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</si>
  <si>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</si>
  <si>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</si>
  <si>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</si>
  <si>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</si>
  <si>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</si>
  <si>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</si>
  <si>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</si>
  <si>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</si>
  <si>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</si>
  <si>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</si>
  <si>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</si>
  <si>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</si>
  <si>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</si>
  <si>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</si>
  <si>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</si>
  <si>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</si>
  <si>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</si>
  <si>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</si>
  <si>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</si>
  <si>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</si>
  <si>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</si>
  <si>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</si>
  <si>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</si>
  <si>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</si>
  <si>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</si>
  <si>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</si>
  <si>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</si>
  <si>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</si>
  <si>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</si>
  <si>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</si>
  <si>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</si>
  <si>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</si>
  <si>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</si>
  <si>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</si>
  <si>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</si>
  <si>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</si>
  <si>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</si>
  <si>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</si>
  <si>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</si>
  <si>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</si>
  <si>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</si>
  <si>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</si>
  <si>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</si>
  <si>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</si>
  <si>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</si>
  <si>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</si>
  <si>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</si>
  <si>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</si>
  <si>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</si>
  <si>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</si>
  <si>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</si>
  <si>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</si>
  <si>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</si>
  <si>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</si>
  <si>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</si>
  <si>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</si>
  <si>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</si>
  <si>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</si>
  <si>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</si>
  <si>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</si>
  <si>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</si>
  <si>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</si>
  <si>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</si>
  <si>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</si>
  <si>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</si>
  <si>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</si>
  <si>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</si>
  <si>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</si>
  <si>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</si>
  <si>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</si>
  <si>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</si>
  <si>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</si>
  <si>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</si>
  <si>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</si>
  <si>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</si>
  <si>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</si>
  <si>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</si>
  <si>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</si>
  <si>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</si>
  <si>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</si>
  <si>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</si>
  <si>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</si>
  <si>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</si>
  <si>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</si>
  <si>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</si>
  <si>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</si>
  <si>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</si>
  <si>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</si>
  <si>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</si>
  <si>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</si>
  <si>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</si>
  <si>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</si>
  <si>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</si>
  <si>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</si>
  <si>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</si>
  <si>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</si>
  <si>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</si>
  <si>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</si>
  <si>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</si>
  <si>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</si>
  <si>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</si>
  <si>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</si>
  <si>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</si>
  <si>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</si>
  <si>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</si>
  <si>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</si>
  <si>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</si>
  <si>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</si>
  <si>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</si>
  <si>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</si>
  <si>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</si>
  <si>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</si>
  <si>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</si>
  <si>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</si>
  <si>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</si>
  <si>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</si>
  <si>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</si>
  <si>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</si>
  <si>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</si>
  <si>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</si>
  <si>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</si>
  <si>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</si>
  <si>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</si>
  <si>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</si>
  <si>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</si>
  <si>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</si>
  <si>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</si>
  <si>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</si>
  <si>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</si>
  <si>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</si>
  <si>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</si>
  <si>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</si>
  <si>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</si>
  <si>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</si>
  <si>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</si>
  <si>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</si>
  <si>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</si>
  <si>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</si>
  <si>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</si>
  <si>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</si>
  <si>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</si>
  <si>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</si>
  <si>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</si>
  <si>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</si>
  <si>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</si>
  <si>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</si>
  <si>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</si>
  <si>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</si>
  <si>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</si>
  <si>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</si>
  <si>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</si>
  <si>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</si>
  <si>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</si>
  <si>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</si>
  <si>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</si>
  <si>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</si>
  <si>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</si>
  <si>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</si>
  <si>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</si>
  <si>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</si>
  <si>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</si>
  <si>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</si>
  <si>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</si>
  <si>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</si>
  <si>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</si>
  <si>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</si>
  <si>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</si>
  <si>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</si>
  <si>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</si>
  <si>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</si>
  <si>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</si>
  <si>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</si>
  <si>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</si>
  <si>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</si>
  <si>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</si>
  <si>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</si>
  <si>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</si>
  <si>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</si>
  <si>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</si>
  <si>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</si>
  <si>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</si>
  <si>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</si>
  <si>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</si>
  <si>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</si>
  <si>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</si>
  <si>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</si>
  <si>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</si>
  <si>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</si>
  <si>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</si>
  <si>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</si>
  <si>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</si>
  <si>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</si>
  <si>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</si>
  <si>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</si>
  <si>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</si>
  <si>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</si>
  <si>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</si>
  <si>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</si>
  <si>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</si>
  <si>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</si>
  <si>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</si>
  <si>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</si>
  <si>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</si>
  <si>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</si>
  <si>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</si>
  <si>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</si>
  <si>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</si>
  <si>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</si>
  <si>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</si>
  <si>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</si>
  <si>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</si>
  <si>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</si>
  <si>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</si>
  <si>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</si>
  <si>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</si>
  <si>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North America</t>
  </si>
  <si>
    <t>CEC</t>
    <phoneticPr fontId="2" type="noConversion"/>
  </si>
  <si>
    <t>China</t>
    <phoneticPr fontId="2" type="noConversion"/>
  </si>
  <si>
    <t>ASL(m)</t>
    <phoneticPr fontId="2" type="noConversion"/>
  </si>
  <si>
    <t>Soil CEC (cmol/kg)</t>
    <phoneticPr fontId="2" type="noConversion"/>
  </si>
  <si>
    <t>Soil CEC code</t>
    <phoneticPr fontId="2" type="noConversion"/>
  </si>
  <si>
    <t>Soil BS (%)</t>
    <phoneticPr fontId="2" type="noConversion"/>
  </si>
  <si>
    <t>Soil BS code</t>
    <phoneticPr fontId="2" type="noConversion"/>
  </si>
  <si>
    <t>Soil type</t>
    <phoneticPr fontId="2" type="noConversion"/>
  </si>
  <si>
    <t>Soil OM code</t>
    <phoneticPr fontId="2" type="noConversion"/>
  </si>
  <si>
    <t>Soil OM (g/kg)</t>
    <phoneticPr fontId="2" type="noConversion"/>
  </si>
  <si>
    <t>type</t>
    <phoneticPr fontId="2" type="noConversion"/>
  </si>
  <si>
    <t xml:space="preserve">Lime </t>
    <phoneticPr fontId="2" type="noConversion"/>
  </si>
  <si>
    <t>CaO (%)</t>
    <phoneticPr fontId="2" type="noConversion"/>
  </si>
  <si>
    <t>Lime code</t>
    <phoneticPr fontId="2" type="noConversion"/>
  </si>
  <si>
    <t>pHc</t>
    <phoneticPr fontId="2" type="noConversion"/>
  </si>
  <si>
    <t>pHt</t>
    <phoneticPr fontId="2" type="noConversion"/>
  </si>
  <si>
    <t>pHi</t>
    <phoneticPr fontId="2" type="noConversion"/>
  </si>
  <si>
    <t>lnR1</t>
    <phoneticPr fontId="2" type="noConversion"/>
  </si>
  <si>
    <t>pHi code</t>
    <phoneticPr fontId="2" type="noConversion"/>
  </si>
  <si>
    <t>CECi</t>
    <phoneticPr fontId="2" type="noConversion"/>
  </si>
  <si>
    <t>CECi code</t>
    <phoneticPr fontId="2" type="noConversion"/>
  </si>
  <si>
    <t>lnR3</t>
    <phoneticPr fontId="2" type="noConversion"/>
  </si>
  <si>
    <t>BSi code</t>
    <phoneticPr fontId="2" type="noConversion"/>
  </si>
  <si>
    <t>lnR4</t>
    <phoneticPr fontId="2" type="noConversion"/>
  </si>
  <si>
    <t>Sugar concentration-t</t>
    <phoneticPr fontId="2" type="noConversion"/>
  </si>
  <si>
    <t>CaCO3 (g/kg)</t>
    <phoneticPr fontId="2" type="noConversion"/>
  </si>
  <si>
    <t>pH</t>
    <phoneticPr fontId="2" type="noConversion"/>
  </si>
  <si>
    <t>Mature code</t>
    <phoneticPr fontId="2" type="noConversion"/>
  </si>
  <si>
    <t>Soil texture code</t>
    <phoneticPr fontId="2" type="noConversion"/>
  </si>
  <si>
    <t>Soil type code</t>
    <phoneticPr fontId="2" type="noConversion"/>
  </si>
  <si>
    <r>
      <rPr>
        <sz val="12"/>
        <color indexed="8"/>
        <rFont val="宋体"/>
        <family val="3"/>
        <charset val="134"/>
      </rPr>
      <t>△</t>
    </r>
    <r>
      <rPr>
        <sz val="12"/>
        <color indexed="8"/>
        <rFont val="Times New Roman"/>
        <family val="1"/>
      </rPr>
      <t>pH</t>
    </r>
    <phoneticPr fontId="2" type="noConversion"/>
  </si>
  <si>
    <r>
      <rPr>
        <sz val="12"/>
        <color indexed="8"/>
        <rFont val="宋体"/>
        <family val="3"/>
        <charset val="134"/>
      </rPr>
      <t>△</t>
    </r>
    <r>
      <rPr>
        <sz val="12"/>
        <color indexed="8"/>
        <rFont val="Times New Roman"/>
        <family val="1"/>
      </rPr>
      <t>CEC</t>
    </r>
    <phoneticPr fontId="2" type="noConversion"/>
  </si>
  <si>
    <r>
      <rPr>
        <sz val="12"/>
        <color indexed="8"/>
        <rFont val="宋体"/>
        <family val="3"/>
        <charset val="134"/>
      </rPr>
      <t>△</t>
    </r>
    <r>
      <rPr>
        <sz val="12"/>
        <color indexed="8"/>
        <rFont val="Times New Roman"/>
        <family val="1"/>
      </rPr>
      <t>BS</t>
    </r>
    <phoneticPr fontId="2" type="noConversion"/>
  </si>
  <si>
    <t>Soil texture (%)</t>
    <phoneticPr fontId="2" type="noConversion"/>
  </si>
  <si>
    <t>clay</t>
    <phoneticPr fontId="2" type="noConversion"/>
  </si>
  <si>
    <t>T1</t>
    <phoneticPr fontId="2" type="noConversion"/>
  </si>
  <si>
    <t xml:space="preserve">Journal of Plant Nutrition and Fertilizers </t>
    <phoneticPr fontId="2" type="noConversion"/>
  </si>
  <si>
    <t>Deng XH, Huang J, Yang LL, Chen J,  Li YH, Tian MH, Zou ML, Tian F, Zhang MF</t>
    <phoneticPr fontId="2" type="noConversion"/>
  </si>
  <si>
    <t>Year of experiment</t>
    <phoneticPr fontId="2" type="noConversion"/>
  </si>
  <si>
    <t>2017-2018</t>
    <phoneticPr fontId="2" type="noConversion"/>
  </si>
  <si>
    <t>Xiangxi, Hunan</t>
    <phoneticPr fontId="2" type="noConversion"/>
  </si>
  <si>
    <t>Asia</t>
    <phoneticPr fontId="2" type="noConversion"/>
  </si>
  <si>
    <t>Tobacco</t>
    <phoneticPr fontId="2" type="noConversion"/>
  </si>
  <si>
    <t>Soil bulk density (g/cm3 )</t>
    <phoneticPr fontId="2" type="noConversion"/>
  </si>
  <si>
    <t>Repetition</t>
    <phoneticPr fontId="2" type="noConversion"/>
  </si>
  <si>
    <t>SD-c</t>
    <phoneticPr fontId="2" type="noConversion"/>
  </si>
  <si>
    <t>SD-t</t>
    <phoneticPr fontId="2" type="noConversion"/>
  </si>
  <si>
    <t>BSc (%)</t>
    <phoneticPr fontId="2" type="noConversion"/>
  </si>
  <si>
    <t>Bsi</t>
    <phoneticPr fontId="2" type="noConversion"/>
  </si>
  <si>
    <t>BSt (%)</t>
    <phoneticPr fontId="2" type="noConversion"/>
  </si>
  <si>
    <t>Zhang Y, Hu CX, Tan QL, Hu SQ, Zheng CS, Zeng WN, Gui HP</t>
    <phoneticPr fontId="2" type="noConversion"/>
  </si>
  <si>
    <t>2009-2010</t>
    <phoneticPr fontId="2" type="noConversion"/>
  </si>
  <si>
    <t>Yichang, Hubei</t>
    <phoneticPr fontId="2" type="noConversion"/>
  </si>
  <si>
    <t>NA</t>
    <phoneticPr fontId="2" type="noConversion"/>
  </si>
  <si>
    <t>Journal of Huazhong Agricultural University</t>
    <phoneticPr fontId="2" type="noConversion"/>
  </si>
  <si>
    <t>Responses of maize grain yield to changes in acid soil characteristics
after soil amendments</t>
    <phoneticPr fontId="2" type="noConversion"/>
  </si>
  <si>
    <t xml:space="preserve">The C,  Calba H,  Zonkeng C, Ngonkeu E M, Adetimirin VO, Mafouasson HA, Meka  SS, Horst WJ </t>
    <phoneticPr fontId="2" type="noConversion"/>
  </si>
  <si>
    <t xml:space="preserve">Plant and Soil </t>
    <phoneticPr fontId="2" type="noConversion"/>
  </si>
  <si>
    <t>1997-2000</t>
    <phoneticPr fontId="2" type="noConversion"/>
  </si>
  <si>
    <t>Africa</t>
    <phoneticPr fontId="2" type="noConversion"/>
  </si>
  <si>
    <t>Ebolowa</t>
    <phoneticPr fontId="2" type="noConversion"/>
  </si>
  <si>
    <t>Cameroon</t>
    <phoneticPr fontId="2" type="noConversion"/>
  </si>
  <si>
    <t xml:space="preserve">typic kandiudox </t>
    <phoneticPr fontId="2" type="noConversion"/>
  </si>
  <si>
    <r>
      <t xml:space="preserve">poultry </t>
    </r>
    <r>
      <rPr>
        <sz val="11"/>
        <color indexed="8"/>
        <rFont val="等线"/>
        <family val="3"/>
        <charset val="134"/>
      </rPr>
      <t>（</t>
    </r>
    <r>
      <rPr>
        <sz val="11"/>
        <color indexed="8"/>
        <rFont val="Times New Roman"/>
        <family val="1"/>
      </rPr>
      <t>sheep</t>
    </r>
    <r>
      <rPr>
        <sz val="11"/>
        <color indexed="8"/>
        <rFont val="等线"/>
        <family val="3"/>
        <charset val="134"/>
      </rPr>
      <t>）</t>
    </r>
    <r>
      <rPr>
        <sz val="11"/>
        <color indexed="8"/>
        <rFont val="Times New Roman"/>
        <family val="1"/>
      </rPr>
      <t xml:space="preserve"> manure</t>
    </r>
    <phoneticPr fontId="2" type="noConversion"/>
  </si>
  <si>
    <t>loam</t>
    <phoneticPr fontId="2" type="noConversion"/>
  </si>
  <si>
    <t>sandy</t>
    <phoneticPr fontId="2" type="noConversion"/>
  </si>
  <si>
    <t>CaO</t>
    <phoneticPr fontId="2" type="noConversion"/>
  </si>
  <si>
    <t>Ca(OH)2</t>
    <phoneticPr fontId="2" type="noConversion"/>
  </si>
  <si>
    <t>Crop</t>
    <phoneticPr fontId="2" type="noConversion"/>
  </si>
  <si>
    <t>Experiment</t>
    <phoneticPr fontId="2" type="noConversion"/>
  </si>
  <si>
    <t>Field</t>
    <phoneticPr fontId="2" type="noConversion"/>
  </si>
  <si>
    <t>Maize1</t>
    <phoneticPr fontId="2" type="noConversion"/>
  </si>
  <si>
    <t>Maize2</t>
    <phoneticPr fontId="2" type="noConversion"/>
  </si>
  <si>
    <t>Biochar</t>
    <phoneticPr fontId="7" type="noConversion"/>
  </si>
  <si>
    <t>Straw</t>
    <phoneticPr fontId="7" type="noConversion"/>
  </si>
  <si>
    <t>Code</t>
    <phoneticPr fontId="7" type="noConversion"/>
  </si>
  <si>
    <t>OMc</t>
    <phoneticPr fontId="2" type="noConversion"/>
  </si>
  <si>
    <t>OMt</t>
    <phoneticPr fontId="2" type="noConversion"/>
  </si>
  <si>
    <t>OMi</t>
    <phoneticPr fontId="2" type="noConversion"/>
  </si>
  <si>
    <t>lnR5</t>
    <phoneticPr fontId="2" type="noConversion"/>
  </si>
  <si>
    <t>OMi code</t>
    <phoneticPr fontId="2" type="noConversion"/>
  </si>
  <si>
    <t>Effects of Liming Acidic Soils on Improving Soil Properties and Yield of Haricot Bean</t>
    <phoneticPr fontId="2" type="noConversion"/>
  </si>
  <si>
    <t xml:space="preserve">Adane Buni </t>
    <phoneticPr fontId="2" type="noConversion"/>
  </si>
  <si>
    <t>Journal of
Environmental &amp; Analytical Toxicology</t>
    <phoneticPr fontId="2" type="noConversion"/>
  </si>
  <si>
    <t>T12</t>
    <phoneticPr fontId="2" type="noConversion"/>
  </si>
  <si>
    <t xml:space="preserve"> Ethiopia</t>
    <phoneticPr fontId="2" type="noConversion"/>
  </si>
  <si>
    <t xml:space="preserve">Sodo Zuria Woreda </t>
    <phoneticPr fontId="2" type="noConversion"/>
  </si>
  <si>
    <t>37.60-38.05</t>
    <phoneticPr fontId="2" type="noConversion"/>
  </si>
  <si>
    <t>6.51-6.80</t>
    <phoneticPr fontId="2" type="noConversion"/>
  </si>
  <si>
    <t>1880-1960</t>
    <phoneticPr fontId="2" type="noConversion"/>
  </si>
  <si>
    <t>17.6-25</t>
    <phoneticPr fontId="2" type="noConversion"/>
  </si>
  <si>
    <t xml:space="preserve">Nitisols </t>
    <phoneticPr fontId="2" type="noConversion"/>
  </si>
  <si>
    <t>35-50</t>
    <phoneticPr fontId="2" type="noConversion"/>
  </si>
  <si>
    <t>Extraction solution</t>
    <phoneticPr fontId="9" type="noConversion"/>
  </si>
  <si>
    <t>H2O</t>
  </si>
  <si>
    <t>H2O</t>
    <phoneticPr fontId="2" type="noConversion"/>
  </si>
  <si>
    <t>Haricot Bean</t>
    <phoneticPr fontId="2" type="noConversion"/>
  </si>
  <si>
    <t>CaCO3</t>
    <phoneticPr fontId="2" type="noConversion"/>
  </si>
  <si>
    <t xml:space="preserve">peanut shell </t>
    <phoneticPr fontId="2" type="noConversion"/>
  </si>
  <si>
    <t>S</t>
    <phoneticPr fontId="2" type="noConversion"/>
  </si>
  <si>
    <t>TC (g/kg)</t>
    <phoneticPr fontId="2" type="noConversion"/>
  </si>
  <si>
    <t>Ca (g/kg)</t>
    <phoneticPr fontId="2" type="noConversion"/>
  </si>
  <si>
    <t>Mg (g/kg)</t>
    <phoneticPr fontId="2" type="noConversion"/>
  </si>
  <si>
    <t>T14</t>
    <phoneticPr fontId="2" type="noConversion"/>
  </si>
  <si>
    <t>Effects of Biochar and Lime on Soil Physicochemical Properties and Tobacco Seedling Growth in Red Soil</t>
    <phoneticPr fontId="2" type="noConversion"/>
  </si>
  <si>
    <t>Zhu Pan et al.</t>
    <phoneticPr fontId="2" type="noConversion"/>
  </si>
  <si>
    <t>Journal of Agricultural Resources and Environment</t>
    <phoneticPr fontId="2" type="noConversion"/>
  </si>
  <si>
    <t>Tobacco</t>
  </si>
  <si>
    <t>Red Soil</t>
    <phoneticPr fontId="2" type="noConversion"/>
  </si>
  <si>
    <t>T16</t>
    <phoneticPr fontId="2" type="noConversion"/>
  </si>
  <si>
    <t>T17</t>
    <phoneticPr fontId="2" type="noConversion"/>
  </si>
  <si>
    <t>T22</t>
    <phoneticPr fontId="2" type="noConversion"/>
  </si>
  <si>
    <t>Wu Songwei … Hu Chengxiao</t>
    <phoneticPr fontId="2" type="noConversion"/>
  </si>
  <si>
    <t>Science of the Total Environment</t>
    <phoneticPr fontId="2" type="noConversion"/>
  </si>
  <si>
    <t>2011-2013</t>
    <phoneticPr fontId="2" type="noConversion"/>
  </si>
  <si>
    <t>Wuhan, HuBei</t>
    <phoneticPr fontId="2" type="noConversion"/>
  </si>
  <si>
    <t>Yibin, HuBei</t>
    <phoneticPr fontId="2" type="noConversion"/>
  </si>
  <si>
    <t>Yellow-brown soil</t>
    <phoneticPr fontId="2" type="noConversion"/>
  </si>
  <si>
    <t xml:space="preserve"> straws of maize and sorghum</t>
    <phoneticPr fontId="2" type="noConversion"/>
  </si>
  <si>
    <t>g/plant</t>
  </si>
  <si>
    <t>kg/plant</t>
    <phoneticPr fontId="2" type="noConversion"/>
  </si>
  <si>
    <t>%</t>
    <phoneticPr fontId="2" type="noConversion"/>
  </si>
  <si>
    <t>Unit-lime</t>
    <phoneticPr fontId="2" type="noConversion"/>
  </si>
  <si>
    <t>g/kg</t>
    <phoneticPr fontId="2" type="noConversion"/>
  </si>
  <si>
    <t xml:space="preserve">rate </t>
    <phoneticPr fontId="2" type="noConversion"/>
  </si>
  <si>
    <t>kg/ha</t>
    <phoneticPr fontId="2" type="noConversion"/>
  </si>
  <si>
    <t>T13</t>
    <phoneticPr fontId="2" type="noConversion"/>
  </si>
  <si>
    <t>T11</t>
    <phoneticPr fontId="2" type="noConversion"/>
  </si>
  <si>
    <t>T10</t>
    <phoneticPr fontId="2" type="noConversion"/>
  </si>
  <si>
    <t>Source</t>
    <phoneticPr fontId="2" type="noConversion"/>
  </si>
  <si>
    <r>
      <t>Base cations content</t>
    </r>
    <r>
      <rPr>
        <sz val="12"/>
        <color indexed="8"/>
        <rFont val="宋体"/>
        <family val="3"/>
        <charset val="134"/>
      </rPr>
      <t>（</t>
    </r>
    <r>
      <rPr>
        <sz val="12"/>
        <color indexed="8"/>
        <rFont val="Times New Roman"/>
        <family val="1"/>
      </rPr>
      <t>cmol/kg</t>
    </r>
    <r>
      <rPr>
        <sz val="12"/>
        <color indexed="8"/>
        <rFont val="宋体"/>
        <family val="3"/>
        <charset val="134"/>
      </rPr>
      <t>）</t>
    </r>
    <phoneticPr fontId="2" type="noConversion"/>
  </si>
  <si>
    <t>Type</t>
    <phoneticPr fontId="2" type="noConversion"/>
  </si>
  <si>
    <t>Code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</si>
  <si>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</si>
  <si>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</si>
  <si>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</si>
  <si>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</si>
  <si>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</si>
  <si>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</si>
  <si>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T5</t>
    <phoneticPr fontId="2" type="noConversion"/>
  </si>
  <si>
    <t>T6</t>
    <phoneticPr fontId="2" type="noConversion"/>
  </si>
  <si>
    <t>T25</t>
    <phoneticPr fontId="2" type="noConversion"/>
  </si>
  <si>
    <t>Zhang K et al.</t>
    <phoneticPr fontId="2" type="noConversion"/>
  </si>
  <si>
    <t>Biol. Fertil. Soils</t>
    <phoneticPr fontId="2" type="noConversion"/>
  </si>
  <si>
    <t>Quzhou, ZheJiang</t>
    <phoneticPr fontId="2" type="noConversion"/>
  </si>
  <si>
    <t>1500-2300</t>
    <phoneticPr fontId="2" type="noConversion"/>
  </si>
  <si>
    <t>Soybeans</t>
    <phoneticPr fontId="2" type="noConversion"/>
  </si>
  <si>
    <t>Quarternary red earth</t>
    <phoneticPr fontId="2" type="noConversion"/>
  </si>
  <si>
    <t>wheat</t>
    <phoneticPr fontId="2" type="noConversion"/>
  </si>
  <si>
    <t>rice husk</t>
    <phoneticPr fontId="2" type="noConversion"/>
  </si>
  <si>
    <t>Unit-biochar</t>
    <phoneticPr fontId="2" type="noConversion"/>
  </si>
  <si>
    <t>350-450</t>
    <phoneticPr fontId="2" type="noConversion"/>
  </si>
  <si>
    <t>TN (g/kg)</t>
    <phoneticPr fontId="2" type="noConversion"/>
  </si>
  <si>
    <t>T24</t>
    <phoneticPr fontId="2" type="noConversion"/>
  </si>
  <si>
    <t>T26</t>
    <phoneticPr fontId="2" type="noConversion"/>
  </si>
  <si>
    <t>T27</t>
    <phoneticPr fontId="2" type="noConversion"/>
  </si>
  <si>
    <t>pig manure</t>
    <phoneticPr fontId="2" type="noConversion"/>
  </si>
  <si>
    <t>T28</t>
    <phoneticPr fontId="2" type="noConversion"/>
  </si>
  <si>
    <t>T29</t>
    <phoneticPr fontId="2" type="noConversion"/>
  </si>
  <si>
    <t>T30</t>
    <phoneticPr fontId="2" type="noConversion"/>
  </si>
  <si>
    <t>T31</t>
    <phoneticPr fontId="2" type="noConversion"/>
  </si>
  <si>
    <t>T32</t>
    <phoneticPr fontId="2" type="noConversion"/>
  </si>
  <si>
    <t>rate</t>
    <phoneticPr fontId="2" type="noConversion"/>
  </si>
  <si>
    <t>CECc (cmol/kg)</t>
    <phoneticPr fontId="2" type="noConversion"/>
  </si>
  <si>
    <t>CECt (cmol/kg)</t>
    <phoneticPr fontId="2" type="noConversion"/>
  </si>
  <si>
    <t>Acidity and aluminum speciation as affected by surface liming in tropical no-till soils</t>
    <phoneticPr fontId="2" type="noConversion"/>
  </si>
  <si>
    <t>Alleoni LRF et al.</t>
    <phoneticPr fontId="2" type="noConversion"/>
  </si>
  <si>
    <t>Soil Science Society of America Journal</t>
    <phoneticPr fontId="2" type="noConversion"/>
  </si>
  <si>
    <t>Rondonopolis, Mato Grosso</t>
    <phoneticPr fontId="2" type="noConversion"/>
  </si>
  <si>
    <t>Brazil</t>
    <phoneticPr fontId="2" type="noConversion"/>
  </si>
  <si>
    <t xml:space="preserve"> South America </t>
    <phoneticPr fontId="2" type="noConversion"/>
  </si>
  <si>
    <t>2008-2009</t>
    <phoneticPr fontId="2" type="noConversion"/>
  </si>
  <si>
    <t>Ponta 
Grossa, Paraná</t>
    <phoneticPr fontId="2" type="noConversion"/>
  </si>
  <si>
    <t>T33</t>
    <phoneticPr fontId="2" type="noConversion"/>
  </si>
  <si>
    <t>T34</t>
    <phoneticPr fontId="2" type="noConversion"/>
  </si>
  <si>
    <t>T35</t>
    <phoneticPr fontId="2" type="noConversion"/>
  </si>
  <si>
    <t>T36</t>
    <phoneticPr fontId="2" type="noConversion"/>
  </si>
  <si>
    <t>2008-2012</t>
    <phoneticPr fontId="2" type="noConversion"/>
  </si>
  <si>
    <t>T37</t>
    <phoneticPr fontId="2" type="noConversion"/>
  </si>
  <si>
    <t>2008-2013</t>
    <phoneticPr fontId="2" type="noConversion"/>
  </si>
  <si>
    <t>T38</t>
    <phoneticPr fontId="2" type="noConversion"/>
  </si>
  <si>
    <t>Typic Hapludox</t>
  </si>
  <si>
    <r>
      <t>grain cropping under NTS</t>
    </r>
    <r>
      <rPr>
        <sz val="11"/>
        <color theme="1"/>
        <rFont val="宋体"/>
        <family val="1"/>
        <charset val="134"/>
      </rPr>
      <t>（免耕）</t>
    </r>
    <phoneticPr fontId="2" type="noConversion"/>
  </si>
  <si>
    <t>Rhodic Haplustox</t>
  </si>
  <si>
    <t>CaCl2</t>
    <phoneticPr fontId="2" type="noConversion"/>
  </si>
  <si>
    <r>
      <t>Ca</t>
    </r>
    <r>
      <rPr>
        <sz val="11"/>
        <color indexed="8"/>
        <rFont val="等线"/>
        <family val="3"/>
        <charset val="134"/>
      </rPr>
      <t>(</t>
    </r>
    <r>
      <rPr>
        <sz val="11"/>
        <color indexed="8"/>
        <rFont val="Times New Roman"/>
        <family val="1"/>
      </rPr>
      <t>OH</t>
    </r>
    <r>
      <rPr>
        <sz val="11"/>
        <color indexed="8"/>
        <rFont val="等线"/>
        <family val="3"/>
        <charset val="134"/>
      </rPr>
      <t>)</t>
    </r>
    <r>
      <rPr>
        <sz val="11"/>
        <color indexed="8"/>
        <rFont val="Times New Roman"/>
        <family val="1"/>
      </rPr>
      <t>2</t>
    </r>
    <phoneticPr fontId="2" type="noConversion"/>
  </si>
  <si>
    <t>Unit-yield</t>
    <phoneticPr fontId="2" type="noConversion"/>
  </si>
  <si>
    <t>kg/ha</t>
  </si>
  <si>
    <t xml:space="preserve">Yc </t>
    <phoneticPr fontId="2" type="noConversion"/>
  </si>
  <si>
    <t>Effects of lime for the improvement of acid red-yellow soil on watermelon yield in greenhouse</t>
    <phoneticPr fontId="2" type="noConversion"/>
  </si>
  <si>
    <t xml:space="preserve">An XH, Wang LJ, Wang HJ </t>
    <phoneticPr fontId="2" type="noConversion"/>
  </si>
  <si>
    <t xml:space="preserve">Modern Agricultural Science and Technology </t>
    <phoneticPr fontId="2" type="noConversion"/>
  </si>
  <si>
    <t>Longgang, Linxi, Shandong</t>
    <phoneticPr fontId="2" type="noConversion"/>
  </si>
  <si>
    <t>Xuezhuang, Xuezhuang, Shandong</t>
    <phoneticPr fontId="2" type="noConversion"/>
  </si>
  <si>
    <t>T39</t>
    <phoneticPr fontId="2" type="noConversion"/>
  </si>
  <si>
    <t>T40</t>
    <phoneticPr fontId="2" type="noConversion"/>
  </si>
  <si>
    <t>T41</t>
    <phoneticPr fontId="2" type="noConversion"/>
  </si>
  <si>
    <t>T42</t>
    <phoneticPr fontId="2" type="noConversion"/>
  </si>
  <si>
    <t>T43</t>
    <phoneticPr fontId="2" type="noConversion"/>
  </si>
  <si>
    <t>T44</t>
    <phoneticPr fontId="2" type="noConversion"/>
  </si>
  <si>
    <t>T45</t>
    <phoneticPr fontId="2" type="noConversion"/>
  </si>
  <si>
    <t>T46</t>
    <phoneticPr fontId="2" type="noConversion"/>
  </si>
  <si>
    <t>watermelon</t>
    <phoneticPr fontId="2" type="noConversion"/>
  </si>
  <si>
    <t>Red-yellow soil</t>
    <phoneticPr fontId="2" type="noConversion"/>
  </si>
  <si>
    <t>1989-1995</t>
    <phoneticPr fontId="2" type="noConversion"/>
  </si>
  <si>
    <t>Effects of liming and legume/cereal cropping on populations of indigenous rhizobia in an acid Brazilian Oxisol</t>
    <phoneticPr fontId="2" type="noConversion"/>
  </si>
  <si>
    <t>Andrade DS et al.</t>
    <phoneticPr fontId="2" type="noConversion"/>
  </si>
  <si>
    <t>Soil Biology and Biochemistry</t>
    <phoneticPr fontId="2" type="noConversion"/>
  </si>
  <si>
    <t>Ponta Grossa, Paraná</t>
    <phoneticPr fontId="2" type="noConversion"/>
  </si>
  <si>
    <t>Bean</t>
    <phoneticPr fontId="2" type="noConversion"/>
  </si>
  <si>
    <t>Rice</t>
    <phoneticPr fontId="2" type="noConversion"/>
  </si>
  <si>
    <t>CaCl2</t>
  </si>
  <si>
    <t>Dark red latosol</t>
    <phoneticPr fontId="2" type="noConversion"/>
  </si>
  <si>
    <t xml:space="preserve"> Effects of applying lime on the properties of acid soil and the growth of sugarcane</t>
    <phoneticPr fontId="2" type="noConversion"/>
  </si>
  <si>
    <t>Chinese Agricultural Science Bulletin</t>
    <phoneticPr fontId="2" type="noConversion"/>
  </si>
  <si>
    <t>Ao JH et al.</t>
    <phoneticPr fontId="2" type="noConversion"/>
  </si>
  <si>
    <t>Guangzhou, Guangdong</t>
    <phoneticPr fontId="2" type="noConversion"/>
  </si>
  <si>
    <t>Sugarcane</t>
  </si>
  <si>
    <t>Red soil</t>
    <phoneticPr fontId="2" type="noConversion"/>
  </si>
  <si>
    <t>Sugar concentration-c</t>
    <phoneticPr fontId="30" type="noConversion"/>
  </si>
  <si>
    <t>kg/3根</t>
    <phoneticPr fontId="2" type="noConversion"/>
  </si>
  <si>
    <t>Barman M et al.</t>
    <phoneticPr fontId="2" type="noConversion"/>
  </si>
  <si>
    <t>T59</t>
    <phoneticPr fontId="2" type="noConversion"/>
  </si>
  <si>
    <t>Effect of Applied Lime and Boron on the Availability of Nutrients in an Acid Soil</t>
    <phoneticPr fontId="2" type="noConversion"/>
  </si>
  <si>
    <t>Journal of Plant Nutrition</t>
    <phoneticPr fontId="2" type="noConversion"/>
  </si>
  <si>
    <t>T60</t>
    <phoneticPr fontId="2" type="noConversion"/>
  </si>
  <si>
    <t>T61</t>
    <phoneticPr fontId="2" type="noConversion"/>
  </si>
  <si>
    <t>West Bengal</t>
    <phoneticPr fontId="2" type="noConversion"/>
  </si>
  <si>
    <t>India</t>
    <phoneticPr fontId="2" type="noConversion"/>
  </si>
  <si>
    <t>Sunflower</t>
    <phoneticPr fontId="2" type="noConversion"/>
  </si>
  <si>
    <t>ash (%)</t>
    <phoneticPr fontId="2" type="noConversion"/>
  </si>
  <si>
    <t>Straw and biochar effects on soil properties and
tomato seedling growth under different moisture
levels</t>
    <phoneticPr fontId="2" type="noConversion"/>
  </si>
  <si>
    <t>Archives of Agronomy and Soil Science</t>
    <phoneticPr fontId="2" type="noConversion"/>
  </si>
  <si>
    <t xml:space="preserve">Yangling, Shaanxi </t>
    <phoneticPr fontId="2" type="noConversion"/>
  </si>
  <si>
    <t>Muhammad et al., 2019</t>
    <phoneticPr fontId="2" type="noConversion"/>
  </si>
  <si>
    <t>Muhammad et al., 2020</t>
  </si>
  <si>
    <t>Muhammad et al., 2021</t>
  </si>
  <si>
    <t>Tomato</t>
    <phoneticPr fontId="2" type="noConversion"/>
  </si>
  <si>
    <t>Wheat straw</t>
    <phoneticPr fontId="2" type="noConversion"/>
  </si>
  <si>
    <t>350-500</t>
    <phoneticPr fontId="2" type="noConversion"/>
  </si>
  <si>
    <t>TK (g/kg)</t>
    <phoneticPr fontId="2" type="noConversion"/>
  </si>
  <si>
    <t>TP (g/kg)</t>
    <phoneticPr fontId="2" type="noConversion"/>
  </si>
  <si>
    <t>Muhammad et al., 2022</t>
  </si>
  <si>
    <t>Muhammad et al., 2023</t>
  </si>
  <si>
    <t>Muhammad et al., 2024</t>
  </si>
  <si>
    <t>Manure acts as a better fertilizer for increasing crop yields than synthetic fertilizer does by improving soil fertility</t>
    <phoneticPr fontId="2" type="noConversion"/>
  </si>
  <si>
    <t>Cai, Andong</t>
    <phoneticPr fontId="2" type="noConversion"/>
  </si>
  <si>
    <t>Soil and Tillage Research</t>
    <phoneticPr fontId="2" type="noConversion"/>
  </si>
  <si>
    <t>Qiyang, Hunan</t>
    <phoneticPr fontId="2" type="noConversion"/>
  </si>
  <si>
    <t>1991-2015</t>
    <phoneticPr fontId="2" type="noConversion"/>
  </si>
  <si>
    <t>Wheat</t>
    <phoneticPr fontId="2" type="noConversion"/>
  </si>
  <si>
    <t>Duration of experiment (yr)</t>
    <phoneticPr fontId="2" type="noConversion"/>
  </si>
  <si>
    <t>Maize</t>
    <phoneticPr fontId="2" type="noConversion"/>
  </si>
  <si>
    <t>CK-M</t>
    <phoneticPr fontId="2" type="noConversion"/>
  </si>
  <si>
    <t>NPK-NPKM</t>
    <phoneticPr fontId="2" type="noConversion"/>
  </si>
  <si>
    <t>BDc</t>
    <phoneticPr fontId="2" type="noConversion"/>
  </si>
  <si>
    <t>BDt</t>
    <phoneticPr fontId="2" type="noConversion"/>
  </si>
  <si>
    <t>Bdi</t>
    <phoneticPr fontId="2" type="noConversion"/>
  </si>
  <si>
    <r>
      <rPr>
        <sz val="12"/>
        <color indexed="8"/>
        <rFont val="Segoe UI Symbol"/>
        <family val="2"/>
      </rPr>
      <t>△</t>
    </r>
    <r>
      <rPr>
        <sz val="12"/>
        <color indexed="8"/>
        <rFont val="Times New Roman"/>
        <family val="1"/>
      </rPr>
      <t>OM</t>
    </r>
    <r>
      <rPr>
        <sz val="12"/>
        <color theme="1"/>
        <rFont val="Times New Roman"/>
        <family val="1"/>
      </rPr>
      <t>(g/kg)</t>
    </r>
    <phoneticPr fontId="2" type="noConversion"/>
  </si>
  <si>
    <t>Pig manure</t>
    <phoneticPr fontId="2" type="noConversion"/>
  </si>
  <si>
    <t>Vegetable yields and soil biochemical properties as influenced by fertilization in Southern China</t>
    <phoneticPr fontId="2" type="noConversion"/>
  </si>
  <si>
    <t>Gai, Xiapu et al</t>
    <phoneticPr fontId="2" type="noConversion"/>
  </si>
  <si>
    <t>Applied Soil Ecology</t>
    <phoneticPr fontId="2" type="noConversion"/>
  </si>
  <si>
    <t>Changzhou, Jiangsu</t>
    <phoneticPr fontId="2" type="noConversion"/>
  </si>
  <si>
    <t>yellow-brown paddy</t>
    <phoneticPr fontId="2" type="noConversion"/>
  </si>
  <si>
    <t>Green vegetable</t>
    <phoneticPr fontId="2" type="noConversion"/>
  </si>
  <si>
    <t>Eggplants</t>
    <phoneticPr fontId="2" type="noConversion"/>
  </si>
  <si>
    <t>Chicken manure</t>
    <phoneticPr fontId="2" type="noConversion"/>
  </si>
  <si>
    <t>Treatment (C-T)</t>
    <phoneticPr fontId="2" type="noConversion"/>
  </si>
  <si>
    <t>T68</t>
    <phoneticPr fontId="2" type="noConversion"/>
  </si>
  <si>
    <t>Eutric Cambisol and ferrosols soil</t>
    <phoneticPr fontId="2" type="noConversion"/>
  </si>
  <si>
    <t>T69</t>
    <phoneticPr fontId="2" type="noConversion"/>
  </si>
  <si>
    <t>T70</t>
    <phoneticPr fontId="2" type="noConversion"/>
  </si>
  <si>
    <t>T71</t>
    <phoneticPr fontId="2" type="noConversion"/>
  </si>
  <si>
    <t>T72</t>
    <phoneticPr fontId="2" type="noConversion"/>
  </si>
  <si>
    <t>T73</t>
    <phoneticPr fontId="2" type="noConversion"/>
  </si>
  <si>
    <t>T74</t>
    <phoneticPr fontId="2" type="noConversion"/>
  </si>
  <si>
    <t>T75</t>
    <phoneticPr fontId="2" type="noConversion"/>
  </si>
  <si>
    <t>Ecotoxicology and Environmental Safety</t>
    <phoneticPr fontId="2" type="noConversion"/>
  </si>
  <si>
    <t>Liming effects of poultry litter derived biochar on soil acidity amelioration
and maize growth</t>
    <phoneticPr fontId="2" type="noConversion"/>
  </si>
  <si>
    <t>Masud M M et al.</t>
    <phoneticPr fontId="2" type="noConversion"/>
  </si>
  <si>
    <t>T76</t>
    <phoneticPr fontId="2" type="noConversion"/>
  </si>
  <si>
    <t>CK-Lime</t>
    <phoneticPr fontId="2" type="noConversion"/>
  </si>
  <si>
    <t>CK-Poultry litter</t>
    <phoneticPr fontId="2" type="noConversion"/>
  </si>
  <si>
    <t>CK-Poultry litter biochar</t>
    <phoneticPr fontId="2" type="noConversion"/>
  </si>
  <si>
    <t>Bangladesh</t>
    <phoneticPr fontId="2" type="noConversion"/>
  </si>
  <si>
    <t>Khagrachori, Chittagong</t>
    <phoneticPr fontId="2" type="noConversion"/>
  </si>
  <si>
    <t>kg/ha/yr</t>
    <phoneticPr fontId="2" type="noConversion"/>
  </si>
  <si>
    <t xml:space="preserve">Yt </t>
    <phoneticPr fontId="2" type="noConversion"/>
  </si>
  <si>
    <t>poultry litter</t>
  </si>
  <si>
    <t>600-700</t>
    <phoneticPr fontId="2" type="noConversion"/>
  </si>
  <si>
    <t>poultry litter (chicken)</t>
    <phoneticPr fontId="2" type="noConversion"/>
  </si>
  <si>
    <t>K (g/kg)</t>
    <phoneticPr fontId="2" type="noConversion"/>
  </si>
  <si>
    <t>Na (g/kg)</t>
    <phoneticPr fontId="2" type="noConversion"/>
  </si>
  <si>
    <t>Avi-P(g/kg)</t>
    <phoneticPr fontId="2" type="noConversion"/>
  </si>
  <si>
    <t>Avi-S(g/kg)</t>
    <phoneticPr fontId="2" type="noConversion"/>
  </si>
  <si>
    <t>Effect of Quicklime on Acid Soil pH and Metabolic
Functional Diversity of Microbial Community</t>
    <phoneticPr fontId="2" type="noConversion"/>
  </si>
  <si>
    <t>Comparison of lime- and biochar-mediated pH changes
in nitrification and ammonia oxidizers in degraded acid soil</t>
    <phoneticPr fontId="2" type="noConversion"/>
  </si>
  <si>
    <t>CK-Biochar</t>
    <phoneticPr fontId="2" type="noConversion"/>
  </si>
  <si>
    <t>Southwest China Journal of Agricultural Sciences</t>
  </si>
  <si>
    <t>Changsha,Hunan</t>
    <phoneticPr fontId="2" type="noConversion"/>
  </si>
  <si>
    <t>Biol Fertil Soils</t>
  </si>
  <si>
    <t>Cañamero’s raña</t>
    <phoneticPr fontId="2" type="noConversion"/>
  </si>
  <si>
    <t>Spain</t>
  </si>
  <si>
    <t>Europe</t>
    <phoneticPr fontId="2" type="noConversion"/>
  </si>
  <si>
    <t>Typic Palexerults</t>
  </si>
  <si>
    <t>t/ha</t>
    <phoneticPr fontId="2" type="noConversion"/>
  </si>
  <si>
    <t>CEC(cmol/kg)</t>
    <phoneticPr fontId="2" type="noConversion"/>
  </si>
  <si>
    <t>holm oak</t>
    <phoneticPr fontId="2" type="noConversion"/>
  </si>
  <si>
    <t>Dan J H et al.</t>
    <phoneticPr fontId="2" type="noConversion"/>
  </si>
  <si>
    <t>Nikola et al.</t>
    <phoneticPr fontId="2" type="noConversion"/>
  </si>
  <si>
    <t>Environ Sci Pollut Res</t>
    <phoneticPr fontId="2" type="noConversion"/>
  </si>
  <si>
    <t>Deok et al.</t>
    <phoneticPr fontId="2" type="noConversion"/>
  </si>
  <si>
    <t>Quality improvement of acidic soils by biochar derived
from renewable materials</t>
    <phoneticPr fontId="2" type="noConversion"/>
  </si>
  <si>
    <t xml:space="preserve"> Korea</t>
  </si>
  <si>
    <t>Chungcheongnam do</t>
    <phoneticPr fontId="2" type="noConversion"/>
  </si>
  <si>
    <t>Oak</t>
    <phoneticPr fontId="2" type="noConversion"/>
  </si>
  <si>
    <t>Soybean stover</t>
  </si>
  <si>
    <t>CK-Biochar+straw</t>
    <phoneticPr fontId="2" type="noConversion"/>
  </si>
  <si>
    <t>CK-Straw</t>
    <phoneticPr fontId="2" type="noConversion"/>
  </si>
  <si>
    <t>Effect of Corn Straw and Biochar on Acidify and Exchangeable
Capacity in Tropical Latosol Soil</t>
    <phoneticPr fontId="2" type="noConversion"/>
  </si>
  <si>
    <t>Long et al.</t>
    <phoneticPr fontId="2" type="noConversion"/>
  </si>
  <si>
    <t>Soils</t>
    <phoneticPr fontId="2" type="noConversion"/>
  </si>
  <si>
    <t>Danzhou, Hainan</t>
    <phoneticPr fontId="2" type="noConversion"/>
  </si>
  <si>
    <t>-</t>
    <phoneticPr fontId="2" type="noConversion"/>
  </si>
  <si>
    <t>Maize straw</t>
    <phoneticPr fontId="2" type="noConversion"/>
  </si>
  <si>
    <t>Assessing the potential of biochar and aged biochar to alleviate aluminum
toxicity in an acid soil for achieving cabbage productivity</t>
    <phoneticPr fontId="2" type="noConversion"/>
  </si>
  <si>
    <t>Lin et al.</t>
    <phoneticPr fontId="2" type="noConversion"/>
  </si>
  <si>
    <t>Pot</t>
    <phoneticPr fontId="2" type="noConversion"/>
  </si>
  <si>
    <t xml:space="preserve"> Cabbage</t>
    <phoneticPr fontId="2" type="noConversion"/>
  </si>
  <si>
    <t>g/pot</t>
    <phoneticPr fontId="2" type="noConversion"/>
  </si>
  <si>
    <t>Biochar applied to consolidated land increased the quality of an acid
surface soil and tobacco crop in Southern China</t>
    <phoneticPr fontId="2" type="noConversion"/>
  </si>
  <si>
    <t>Journal of Soils and Sediments</t>
    <phoneticPr fontId="2" type="noConversion"/>
  </si>
  <si>
    <t>Zhang et al.</t>
    <phoneticPr fontId="2" type="noConversion"/>
  </si>
  <si>
    <t>Ninghua, Fujian</t>
    <phoneticPr fontId="2" type="noConversion"/>
  </si>
  <si>
    <t xml:space="preserve"> Corn stover</t>
    <phoneticPr fontId="2" type="noConversion"/>
  </si>
  <si>
    <t>450-480</t>
    <phoneticPr fontId="2" type="noConversion"/>
  </si>
  <si>
    <t>Soil Use and Management</t>
    <phoneticPr fontId="2" type="noConversion"/>
  </si>
  <si>
    <t>Effect of crop residue biochar on soil acidity amelioration
in strongly acidic tea garden soils</t>
    <phoneticPr fontId="2" type="noConversion"/>
  </si>
  <si>
    <t>Wang et al.</t>
    <phoneticPr fontId="2" type="noConversion"/>
  </si>
  <si>
    <t>Langxi, Anhui</t>
    <phoneticPr fontId="2" type="noConversion"/>
  </si>
  <si>
    <t>Yingtan, Jiangxi</t>
    <phoneticPr fontId="2" type="noConversion"/>
  </si>
  <si>
    <t>Ultisol</t>
  </si>
  <si>
    <t>Peanut</t>
    <phoneticPr fontId="2" type="noConversion"/>
  </si>
  <si>
    <t>Effects of pig-manure biochar on soil nitrification and soil microbial enzyme activity in tea soils</t>
    <phoneticPr fontId="2" type="noConversion"/>
  </si>
  <si>
    <t>He L L et al.</t>
    <phoneticPr fontId="2" type="noConversion"/>
  </si>
  <si>
    <t>Journal of Agro⁃Environment Science</t>
    <phoneticPr fontId="2" type="noConversion"/>
  </si>
  <si>
    <t>Anji, Zhejiang</t>
    <phoneticPr fontId="2" type="noConversion"/>
  </si>
  <si>
    <t>Pig-manure</t>
    <phoneticPr fontId="2" type="noConversion"/>
  </si>
  <si>
    <t>Effects of straw biochar on yellow soil physicochemical properties and comprehensive fertility</t>
    <phoneticPr fontId="2" type="noConversion"/>
  </si>
  <si>
    <t>Hou et al.</t>
    <phoneticPr fontId="2" type="noConversion"/>
  </si>
  <si>
    <t>Journal of Northwest A&amp;F University</t>
    <phoneticPr fontId="2" type="noConversion"/>
  </si>
  <si>
    <t>Tongren, Guizhou</t>
    <phoneticPr fontId="2" type="noConversion"/>
  </si>
  <si>
    <t>2017.5-12</t>
    <phoneticPr fontId="2" type="noConversion"/>
  </si>
  <si>
    <t>Corn straw</t>
    <phoneticPr fontId="2" type="noConversion"/>
  </si>
  <si>
    <t>Rice straw</t>
  </si>
  <si>
    <t>Rice straw</t>
    <phoneticPr fontId="2" type="noConversion"/>
  </si>
  <si>
    <t>Rape straw</t>
    <phoneticPr fontId="2" type="noConversion"/>
  </si>
  <si>
    <t>yellow soil</t>
    <phoneticPr fontId="2" type="noConversion"/>
  </si>
  <si>
    <t>Effects of Different Amendments on Soil Microbial Characteristics and
Enzyme Activities in Tobacco Planting Soil</t>
    <phoneticPr fontId="2" type="noConversion"/>
  </si>
  <si>
    <t>Liu et al.</t>
    <phoneticPr fontId="2" type="noConversion"/>
  </si>
  <si>
    <t>Journal of Sichuan Agricultural University</t>
    <phoneticPr fontId="2" type="noConversion"/>
  </si>
  <si>
    <t>Yibin, Sichuan</t>
    <phoneticPr fontId="2" type="noConversion"/>
  </si>
  <si>
    <t>Fruit shell</t>
    <phoneticPr fontId="2" type="noConversion"/>
  </si>
  <si>
    <t>Effects of biochars generated from crop residues</t>
    <phoneticPr fontId="2" type="noConversion"/>
  </si>
  <si>
    <t>Yuan et al.</t>
    <phoneticPr fontId="2" type="noConversion"/>
  </si>
  <si>
    <t>Soil Research</t>
  </si>
  <si>
    <t>Canola straw</t>
    <phoneticPr fontId="2" type="noConversion"/>
  </si>
  <si>
    <t>Wheat straw</t>
  </si>
  <si>
    <t>Rice chaff</t>
  </si>
  <si>
    <t xml:space="preserve">Corn straw </t>
  </si>
  <si>
    <t>Soybean straw</t>
  </si>
  <si>
    <t>Peanut straw</t>
  </si>
  <si>
    <t>Faba bean straw</t>
  </si>
  <si>
    <t>Pea straw</t>
  </si>
  <si>
    <t>Mungbean straw</t>
  </si>
  <si>
    <t>6..1</t>
    <phoneticPr fontId="2" type="noConversion"/>
  </si>
  <si>
    <r>
      <t>Dynamic Effects of Direct Returning of Straw and Corresponding Biochar on Acidity</t>
    </r>
    <r>
      <rPr>
        <sz val="11"/>
        <color theme="1"/>
        <rFont val="宋体"/>
        <family val="1"/>
        <charset val="134"/>
      </rPr>
      <t>，</t>
    </r>
    <r>
      <rPr>
        <sz val="11"/>
        <color theme="1"/>
        <rFont val="Times New Roman"/>
        <family val="1"/>
      </rPr>
      <t>Nutrients</t>
    </r>
    <r>
      <rPr>
        <sz val="11"/>
        <color theme="1"/>
        <rFont val="宋体"/>
        <family val="1"/>
        <charset val="134"/>
      </rPr>
      <t>，</t>
    </r>
    <r>
      <rPr>
        <sz val="11"/>
        <color theme="1"/>
        <rFont val="Times New Roman"/>
        <family val="1"/>
      </rPr>
      <t xml:space="preserve">and Exchangeable Properties of </t>
    </r>
    <r>
      <rPr>
        <sz val="11"/>
        <color theme="1"/>
        <rFont val="宋体"/>
        <family val="1"/>
        <charset val="134"/>
      </rPr>
      <t>Ｒ</t>
    </r>
    <r>
      <rPr>
        <sz val="11"/>
        <color theme="1"/>
        <rFont val="Times New Roman"/>
        <family val="1"/>
      </rPr>
      <t>ed Soil</t>
    </r>
    <phoneticPr fontId="2" type="noConversion"/>
  </si>
  <si>
    <t>Yang et al.</t>
    <phoneticPr fontId="2" type="noConversion"/>
  </si>
  <si>
    <t>Environmental Science</t>
    <phoneticPr fontId="2" type="noConversion"/>
  </si>
  <si>
    <t>Yuyao, Zhejiang</t>
    <phoneticPr fontId="2" type="noConversion"/>
  </si>
  <si>
    <t>Rape stalk</t>
    <phoneticPr fontId="2" type="noConversion"/>
  </si>
  <si>
    <t>CK- Alkaline slag</t>
    <phoneticPr fontId="2" type="noConversion"/>
  </si>
  <si>
    <t>CK-Alkaline slag+Biochar</t>
    <phoneticPr fontId="2" type="noConversion"/>
  </si>
  <si>
    <t>Use of Alkaline Slag and Crop Residue Biochars to Promote Base</t>
  </si>
  <si>
    <t>Pedosphere</t>
  </si>
  <si>
    <t>Langxi, Anhui</t>
  </si>
  <si>
    <t>Alkalinity(cmo/kg)</t>
    <phoneticPr fontId="2" type="noConversion"/>
  </si>
  <si>
    <t xml:space="preserve">Alkaline slag </t>
  </si>
  <si>
    <t>unit</t>
    <phoneticPr fontId="2" type="noConversion"/>
  </si>
  <si>
    <t>Canola straw biochar</t>
  </si>
  <si>
    <t xml:space="preserve">Peanut straw biochar </t>
  </si>
  <si>
    <t>Effect of biochar and quicklime on growth of wheat</t>
  </si>
  <si>
    <t>CK-Biochar+Lime</t>
    <phoneticPr fontId="2" type="noConversion"/>
  </si>
  <si>
    <t>Arabian Journal of Geosciences</t>
  </si>
  <si>
    <t>Ultisol</t>
    <phoneticPr fontId="2" type="noConversion"/>
  </si>
  <si>
    <t xml:space="preserve"> Red soil (Ultisol)</t>
    <phoneticPr fontId="2" type="noConversion"/>
  </si>
  <si>
    <t>Straw biochar</t>
    <phoneticPr fontId="2" type="noConversion"/>
  </si>
  <si>
    <t>Sludge biochar</t>
    <phoneticPr fontId="2" type="noConversion"/>
  </si>
  <si>
    <t>Cattle manure and lime amendments to improve crop production of acidic soils in northern Alberta</t>
    <phoneticPr fontId="2" type="noConversion"/>
  </si>
  <si>
    <t>CK-Manure</t>
    <phoneticPr fontId="2" type="noConversion"/>
  </si>
  <si>
    <t>Zaffar et al.</t>
    <phoneticPr fontId="2" type="noConversion"/>
  </si>
  <si>
    <t>Whalen et al.</t>
    <phoneticPr fontId="2" type="noConversion"/>
  </si>
  <si>
    <t>Canadian Journal Of Soil Science</t>
    <phoneticPr fontId="2" type="noConversion"/>
  </si>
  <si>
    <t>Peace, Alberta</t>
    <phoneticPr fontId="2" type="noConversion"/>
  </si>
  <si>
    <t>Canada</t>
    <phoneticPr fontId="2" type="noConversion"/>
  </si>
  <si>
    <t>Canola</t>
    <phoneticPr fontId="2" type="noConversion"/>
  </si>
  <si>
    <t>CaCO3</t>
  </si>
  <si>
    <t>Manure</t>
    <phoneticPr fontId="2" type="noConversion"/>
  </si>
  <si>
    <t>Cattle manure</t>
    <phoneticPr fontId="2" type="noConversion"/>
  </si>
  <si>
    <t>Unit-manure</t>
    <phoneticPr fontId="2" type="noConversion"/>
  </si>
  <si>
    <t>Org-N(g/kg)</t>
    <phoneticPr fontId="2" type="noConversion"/>
  </si>
  <si>
    <t>Org-P(g/kg)</t>
    <phoneticPr fontId="2" type="noConversion"/>
  </si>
  <si>
    <t>Org-K(g/kg)</t>
    <phoneticPr fontId="2" type="noConversion"/>
  </si>
  <si>
    <t>Effects of straw decayed products of four crops on the amelioration of soil acidity and maize growth in two acidic Ultisols</t>
    <phoneticPr fontId="2" type="noConversion"/>
  </si>
  <si>
    <t>Pan et al.</t>
    <phoneticPr fontId="2" type="noConversion"/>
  </si>
  <si>
    <t>Environmental Science and Pollution Research</t>
    <phoneticPr fontId="2" type="noConversion"/>
  </si>
  <si>
    <t>Peanut straw</t>
    <phoneticPr fontId="2" type="noConversion"/>
  </si>
  <si>
    <t>Pea straw</t>
    <phoneticPr fontId="2" type="noConversion"/>
  </si>
  <si>
    <t>Lime and cow slurry application temporarily increases
organic phosphorus mobility in an acid soil</t>
    <phoneticPr fontId="2" type="noConversion"/>
  </si>
  <si>
    <t>Murphy et al.</t>
    <phoneticPr fontId="2" type="noConversion"/>
  </si>
  <si>
    <t>European Journal of Soil Science</t>
    <phoneticPr fontId="2" type="noConversion"/>
  </si>
  <si>
    <t xml:space="preserve"> Hillsborough</t>
    <phoneticPr fontId="2" type="noConversion"/>
  </si>
  <si>
    <t>Northeast
Ireland</t>
    <phoneticPr fontId="2" type="noConversion"/>
  </si>
  <si>
    <t>Effects of Lime Application Rates on Soil Acidity and Barley Seeding Growth in Acidic Soils</t>
    <phoneticPr fontId="2" type="noConversion"/>
  </si>
  <si>
    <t>Hu et al.</t>
    <phoneticPr fontId="2" type="noConversion"/>
  </si>
  <si>
    <t>Enshi, Hubei</t>
    <phoneticPr fontId="2" type="noConversion"/>
  </si>
  <si>
    <t>Barley</t>
  </si>
  <si>
    <t>mg/plant</t>
    <phoneticPr fontId="2" type="noConversion"/>
  </si>
  <si>
    <t>Environmental Science &amp; Technology</t>
  </si>
  <si>
    <t>Guo et al.</t>
    <phoneticPr fontId="2" type="noConversion"/>
  </si>
  <si>
    <t>Brassica chinensis</t>
    <phoneticPr fontId="2" type="noConversion"/>
  </si>
  <si>
    <t>Effects of different modifiers on improvement of acid soils</t>
  </si>
  <si>
    <t>Journal of Hunan Agricultural University</t>
    <phoneticPr fontId="2" type="noConversion"/>
  </si>
  <si>
    <t>Pepper</t>
    <phoneticPr fontId="2" type="noConversion"/>
  </si>
  <si>
    <t>OM(g/kg)</t>
    <phoneticPr fontId="2" type="noConversion"/>
  </si>
  <si>
    <t>avi-N(mg/kg)</t>
    <phoneticPr fontId="2" type="noConversion"/>
  </si>
  <si>
    <t>avi-P(mg/kg)</t>
    <phoneticPr fontId="2" type="noConversion"/>
  </si>
  <si>
    <t>avi-K(mg/kg)</t>
    <phoneticPr fontId="2" type="noConversion"/>
  </si>
  <si>
    <t>T-Ca(g/kg)</t>
    <phoneticPr fontId="2" type="noConversion"/>
  </si>
  <si>
    <t>T-Mg(g/kg)</t>
    <phoneticPr fontId="2" type="noConversion"/>
  </si>
  <si>
    <t>Effect of Alkaline Slag Applicationon Acidity of Tea Garden Soils and Tea Quality</t>
    <phoneticPr fontId="2" type="noConversion"/>
  </si>
  <si>
    <t>Wei et al.</t>
    <phoneticPr fontId="2" type="noConversion"/>
  </si>
  <si>
    <t>Journal of Ecology and Rural Environment</t>
    <phoneticPr fontId="2" type="noConversion"/>
  </si>
  <si>
    <t>Nanjing, Jiangsu</t>
    <phoneticPr fontId="2" type="noConversion"/>
  </si>
  <si>
    <t>Tea</t>
    <phoneticPr fontId="2" type="noConversion"/>
  </si>
  <si>
    <t>CK-Coal fly ash</t>
    <phoneticPr fontId="2" type="noConversion"/>
  </si>
  <si>
    <t>Phosphogypsum,</t>
    <phoneticPr fontId="2" type="noConversion"/>
  </si>
  <si>
    <t>CK-Red mud</t>
    <phoneticPr fontId="2" type="noConversion"/>
  </si>
  <si>
    <t>CK-Phosphogypsum,</t>
    <phoneticPr fontId="2" type="noConversion"/>
  </si>
  <si>
    <t>Amelioration of Industrial By-Products on Soil Acidity in Red Soil</t>
    <phoneticPr fontId="2" type="noConversion"/>
  </si>
  <si>
    <t>Li et al.</t>
    <phoneticPr fontId="2" type="noConversion"/>
  </si>
  <si>
    <t>CaO(g/kg)</t>
    <phoneticPr fontId="2" type="noConversion"/>
  </si>
  <si>
    <t>MgO(g/kg)</t>
    <phoneticPr fontId="2" type="noConversion"/>
  </si>
  <si>
    <t>K2O(g/kg)</t>
    <phoneticPr fontId="2" type="noConversion"/>
  </si>
  <si>
    <t>Na2O(g/kg)</t>
    <phoneticPr fontId="2" type="noConversion"/>
  </si>
  <si>
    <t>P2O5(g/kg)</t>
    <phoneticPr fontId="2" type="noConversion"/>
  </si>
  <si>
    <r>
      <t>SO</t>
    </r>
    <r>
      <rPr>
        <vertAlign val="subscript"/>
        <sz val="11"/>
        <color theme="1"/>
        <rFont val="Times New Roman"/>
        <family val="1"/>
      </rPr>
      <t>4</t>
    </r>
    <r>
      <rPr>
        <vertAlign val="superscript"/>
        <sz val="11"/>
        <color theme="1"/>
        <rFont val="Times New Roman"/>
        <family val="1"/>
      </rPr>
      <t>2-</t>
    </r>
    <r>
      <rPr>
        <sz val="11"/>
        <color theme="1"/>
        <rFont val="Times New Roman"/>
        <family val="1"/>
      </rPr>
      <t>(g/kg)</t>
    </r>
    <phoneticPr fontId="2" type="noConversion"/>
  </si>
  <si>
    <t>Coal fly ash</t>
    <phoneticPr fontId="2" type="noConversion"/>
  </si>
  <si>
    <t>Alkaline slag</t>
    <phoneticPr fontId="2" type="noConversion"/>
  </si>
  <si>
    <t>Red mud</t>
    <phoneticPr fontId="2" type="noConversion"/>
  </si>
  <si>
    <t>Effects of Biochar + Calcium-magnesium Fertilizer Made
of Soda Waste on Cd-polluted Soil, Yield and
Quality of Peanut (Arachis hypogaea L.)</t>
    <phoneticPr fontId="2" type="noConversion"/>
  </si>
  <si>
    <t>Huang et al.</t>
    <phoneticPr fontId="2" type="noConversion"/>
  </si>
  <si>
    <t xml:space="preserve">Guangdong Agricultural Sciences </t>
  </si>
  <si>
    <t>CK- Biochar</t>
    <phoneticPr fontId="2" type="noConversion"/>
  </si>
  <si>
    <t>CK- Biochar+Alkaline slag</t>
    <phoneticPr fontId="2" type="noConversion"/>
  </si>
  <si>
    <t>Renhua,Guangdong</t>
    <phoneticPr fontId="2" type="noConversion"/>
  </si>
  <si>
    <t>Annual average temperature</t>
    <phoneticPr fontId="2" type="noConversion"/>
  </si>
  <si>
    <t>Coconut shell</t>
    <phoneticPr fontId="2" type="noConversion"/>
  </si>
  <si>
    <t>550-600</t>
    <phoneticPr fontId="2" type="noConversion"/>
  </si>
  <si>
    <t>CK-Phosphogypsum</t>
    <phoneticPr fontId="2" type="noConversion"/>
  </si>
  <si>
    <t>Effect of Different Phosphogypsum Addition Levels on Growth and Cadmium Accumulation of Maize (Zea mays L) Seedlings</t>
    <phoneticPr fontId="2" type="noConversion"/>
  </si>
  <si>
    <t>Gao et al.</t>
    <phoneticPr fontId="2" type="noConversion"/>
  </si>
  <si>
    <t>Mianyang, Sichuan</t>
    <phoneticPr fontId="2" type="noConversion"/>
  </si>
  <si>
    <r>
      <rPr>
        <sz val="11"/>
        <color theme="1"/>
        <rFont val="Times New Roman"/>
        <family val="1"/>
      </rPr>
      <t>J</t>
    </r>
    <r>
      <rPr>
        <sz val="11"/>
        <color theme="1"/>
        <rFont val="宋体"/>
        <family val="1"/>
        <charset val="134"/>
      </rPr>
      <t>．</t>
    </r>
    <r>
      <rPr>
        <sz val="11"/>
        <color theme="1"/>
        <rFont val="Times New Roman"/>
        <family val="1"/>
      </rPr>
      <t>Anhui Agric</t>
    </r>
    <r>
      <rPr>
        <sz val="11"/>
        <color theme="1"/>
        <rFont val="宋体"/>
        <family val="1"/>
        <charset val="134"/>
      </rPr>
      <t>．</t>
    </r>
    <r>
      <rPr>
        <sz val="11"/>
        <color theme="1"/>
        <rFont val="Times New Roman"/>
        <family val="1"/>
      </rPr>
      <t>Sci</t>
    </r>
    <r>
      <rPr>
        <sz val="11"/>
        <color theme="1"/>
        <rFont val="宋体"/>
        <family val="1"/>
        <charset val="134"/>
      </rPr>
      <t>．</t>
    </r>
    <phoneticPr fontId="2" type="noConversion"/>
  </si>
  <si>
    <t>Phosphogypsum</t>
  </si>
  <si>
    <t>CK-Alkaline slag</t>
    <phoneticPr fontId="2" type="noConversion"/>
  </si>
  <si>
    <t>CK-Alkaline slag+Phosphogypsum</t>
    <phoneticPr fontId="2" type="noConversion"/>
  </si>
  <si>
    <t>Alkaline slag is more effective than phosphogypsum in the
amelioration of subsoil acidity in an Ultisol profile</t>
    <phoneticPr fontId="2" type="noConversion"/>
  </si>
  <si>
    <t>T243</t>
    <phoneticPr fontId="2" type="noConversion"/>
  </si>
  <si>
    <t>T244</t>
    <phoneticPr fontId="2" type="noConversion"/>
  </si>
  <si>
    <t>T245</t>
    <phoneticPr fontId="2" type="noConversion"/>
  </si>
  <si>
    <t>T246</t>
    <phoneticPr fontId="2" type="noConversion"/>
  </si>
  <si>
    <t>T247</t>
    <phoneticPr fontId="2" type="noConversion"/>
  </si>
  <si>
    <t>T248</t>
    <phoneticPr fontId="2" type="noConversion"/>
  </si>
  <si>
    <t>Soil &amp; Tillage Research</t>
  </si>
  <si>
    <t>Phosphogypsum</t>
    <phoneticPr fontId="2" type="noConversion"/>
  </si>
  <si>
    <t>Alkaline slag+Phosphogypsum</t>
    <phoneticPr fontId="2" type="noConversion"/>
  </si>
  <si>
    <t>Alkaline slag, Phosphogypsum</t>
    <phoneticPr fontId="2" type="noConversion"/>
  </si>
  <si>
    <t>8.48, 2.12</t>
    <phoneticPr fontId="2" type="noConversion"/>
  </si>
  <si>
    <t>Effects of Phosphogypsum on Nutrient Balance of Broomcorn
Grown in Strongly Acidic Yellow Soil</t>
    <phoneticPr fontId="2" type="noConversion"/>
  </si>
  <si>
    <t>Xiao et al.</t>
    <phoneticPr fontId="2" type="noConversion"/>
  </si>
  <si>
    <t>Journal of Soil and Water Conservation</t>
  </si>
  <si>
    <t>Guiyang, Guizhou</t>
    <phoneticPr fontId="2" type="noConversion"/>
  </si>
  <si>
    <t>CaSO4(%)</t>
    <phoneticPr fontId="2" type="noConversion"/>
  </si>
  <si>
    <t>Broomcorn</t>
  </si>
  <si>
    <t>14.9-16.2</t>
  </si>
  <si>
    <t>CK-Manure+Lime</t>
    <phoneticPr fontId="2" type="noConversion"/>
  </si>
  <si>
    <t>Effects of Long-term Application of Pig Manure on Ameliorating Acidity of Red Soil</t>
    <phoneticPr fontId="2" type="noConversion"/>
  </si>
  <si>
    <t>2002-2010</t>
    <phoneticPr fontId="2" type="noConversion"/>
  </si>
  <si>
    <t>35-36</t>
  </si>
  <si>
    <t>35-36</t>
    <phoneticPr fontId="2" type="noConversion"/>
  </si>
  <si>
    <r>
      <t>Pig manure (</t>
    </r>
    <r>
      <rPr>
        <sz val="11"/>
        <color theme="1"/>
        <rFont val="宋体"/>
        <family val="1"/>
        <charset val="134"/>
      </rPr>
      <t>干基</t>
    </r>
    <r>
      <rPr>
        <sz val="11"/>
        <color theme="1"/>
        <rFont val="Times New Roman"/>
        <family val="1"/>
      </rPr>
      <t>)</t>
    </r>
    <phoneticPr fontId="2" type="noConversion"/>
  </si>
  <si>
    <t>Xiangning, Hubei</t>
    <phoneticPr fontId="2" type="noConversion"/>
  </si>
  <si>
    <t>CK-Rice straw</t>
    <phoneticPr fontId="2" type="noConversion"/>
  </si>
  <si>
    <t>CK-Green bean straw</t>
    <phoneticPr fontId="2" type="noConversion"/>
  </si>
  <si>
    <t>CK-Green bean straw+Lime</t>
    <phoneticPr fontId="2" type="noConversion"/>
  </si>
  <si>
    <t>CK-Rice straw+Lime</t>
    <phoneticPr fontId="2" type="noConversion"/>
  </si>
  <si>
    <t>The interactive effects of dolomite application and straw
incorporation on soil N 2 O emissions</t>
    <phoneticPr fontId="2" type="noConversion"/>
  </si>
  <si>
    <t>The interactive effects of dolomite application and straw
incorporation on soil N 3 O emissions</t>
    <phoneticPr fontId="2" type="noConversion"/>
  </si>
  <si>
    <t>The interactive effects of dolomite application and straw
incorporation on soil N 4 O emissions</t>
    <phoneticPr fontId="2" type="noConversion"/>
  </si>
  <si>
    <t>The interactive effects of dolomite application and straw
incorporation on soil N 5 O emissions</t>
    <phoneticPr fontId="2" type="noConversion"/>
  </si>
  <si>
    <t>The interactive effects of dolomite application and straw
incorporation on soil N 6 O emissions</t>
    <phoneticPr fontId="2" type="noConversion"/>
  </si>
  <si>
    <t>Shaaban et al.</t>
    <phoneticPr fontId="2" type="noConversion"/>
  </si>
  <si>
    <t>Dolomite</t>
    <phoneticPr fontId="2" type="noConversion"/>
  </si>
  <si>
    <t xml:space="preserve"> rice straw</t>
  </si>
  <si>
    <t>green bean straw</t>
  </si>
  <si>
    <t>N-N+Lime</t>
    <phoneticPr fontId="2" type="noConversion"/>
  </si>
  <si>
    <t>N-N+Peanut straw</t>
    <phoneticPr fontId="2" type="noConversion"/>
  </si>
  <si>
    <t>N-N+ Rice straw</t>
    <phoneticPr fontId="2" type="noConversion"/>
  </si>
  <si>
    <t>N-N+ Radish residues</t>
    <phoneticPr fontId="2" type="noConversion"/>
  </si>
  <si>
    <t>N-N+Pig manure</t>
    <phoneticPr fontId="2" type="noConversion"/>
  </si>
  <si>
    <t>Long-term application of lime or pig manure rather than plant residues
suppressed diazotroph abundance and diversity and altered community
structure in an acidic Ultisol</t>
    <phoneticPr fontId="2" type="noConversion"/>
  </si>
  <si>
    <t>1988-2014</t>
    <phoneticPr fontId="2" type="noConversion"/>
  </si>
  <si>
    <t xml:space="preserve"> Peanut</t>
    <phoneticPr fontId="2" type="noConversion"/>
  </si>
  <si>
    <t>Radish residues</t>
    <phoneticPr fontId="2" type="noConversion"/>
  </si>
  <si>
    <t>Soil Science Society Of America Journal</t>
    <phoneticPr fontId="2" type="noConversion"/>
  </si>
  <si>
    <t>Cattle Manure Amendments Can Increase the pH of Acid Soils</t>
    <phoneticPr fontId="2" type="noConversion"/>
  </si>
  <si>
    <t>CK-Cattle Manure</t>
    <phoneticPr fontId="2" type="noConversion"/>
  </si>
  <si>
    <t>Joann et al.</t>
    <phoneticPr fontId="2" type="noConversion"/>
  </si>
  <si>
    <t>Gray Luvisol</t>
  </si>
  <si>
    <t>Orthic Gray Luvisol</t>
  </si>
  <si>
    <t>Mg</t>
    <phoneticPr fontId="2" type="noConversion"/>
  </si>
  <si>
    <t>C (g/kg)</t>
    <phoneticPr fontId="2" type="noConversion"/>
  </si>
  <si>
    <t>N(g/kg)</t>
    <phoneticPr fontId="2" type="noConversion"/>
  </si>
  <si>
    <t>P(g/kg)</t>
    <phoneticPr fontId="2" type="noConversion"/>
  </si>
  <si>
    <t>K(g/kg)</t>
    <phoneticPr fontId="2" type="noConversion"/>
  </si>
  <si>
    <t>The effects of mineral fertilizer and organic manure on soil
microbial community and diversity</t>
    <phoneticPr fontId="2" type="noConversion"/>
  </si>
  <si>
    <t>Plant Soil</t>
    <phoneticPr fontId="2" type="noConversion"/>
  </si>
  <si>
    <t>Zhong et al.</t>
    <phoneticPr fontId="2" type="noConversion"/>
  </si>
  <si>
    <t>CK-OM</t>
    <phoneticPr fontId="2" type="noConversion"/>
  </si>
  <si>
    <t>NPK-NPK+OM</t>
    <phoneticPr fontId="2" type="noConversion"/>
  </si>
  <si>
    <t>Jiangxi</t>
    <phoneticPr fontId="2" type="noConversion"/>
  </si>
  <si>
    <t>1986-2007</t>
    <phoneticPr fontId="2" type="noConversion"/>
  </si>
  <si>
    <t>1986-2008</t>
  </si>
  <si>
    <t>Geoderma</t>
  </si>
  <si>
    <t>1979-2009</t>
  </si>
  <si>
    <t>1979-2010</t>
  </si>
  <si>
    <t xml:space="preserve"> dark loessial soil</t>
  </si>
  <si>
    <t>wheat straw</t>
    <phoneticPr fontId="2" type="noConversion"/>
  </si>
  <si>
    <t>Journal of Integrative Agriculture</t>
  </si>
  <si>
    <t>Effects of organic substitution for synthetic N fertilizer on soil bacterial
diversity and community composition: A 10-year field trial in a tea
plantation</t>
    <phoneticPr fontId="2" type="noConversion"/>
  </si>
  <si>
    <t>Effects of organic substitution for synthetic N fertilizer on soil bacterial
diversity and community composition: A 11-year field trial in a tea
plantation</t>
  </si>
  <si>
    <t>Effects of organic substitution for synthetic N fertilizer on soil bacterial
diversity and community composition: A 12-year field trial in a tea
plantation</t>
  </si>
  <si>
    <t>Effects of organic substitution for synthetic N fertilizer on soil bacterial
diversity and community composition: A 13-year field trial in a tea
plantation</t>
  </si>
  <si>
    <t>Agriculture, Ecosystems and Environment</t>
    <phoneticPr fontId="2" type="noConversion"/>
  </si>
  <si>
    <t>2007-2017</t>
    <phoneticPr fontId="2" type="noConversion"/>
  </si>
  <si>
    <t>Longhu, Fujian</t>
    <phoneticPr fontId="2" type="noConversion"/>
  </si>
  <si>
    <t>NPK-NPK+Manure</t>
    <phoneticPr fontId="2" type="noConversion"/>
  </si>
  <si>
    <t>Effects of fertilization regimes on tea yields, soil fertility, and soil microbial diversity</t>
    <phoneticPr fontId="2" type="noConversion"/>
  </si>
  <si>
    <t>Ji et al.</t>
    <phoneticPr fontId="2" type="noConversion"/>
  </si>
  <si>
    <t>Qiu et al.</t>
    <phoneticPr fontId="2" type="noConversion"/>
  </si>
  <si>
    <t>Chilean Journal Of Agricultural Research</t>
    <phoneticPr fontId="2" type="noConversion"/>
  </si>
  <si>
    <t>2006-2011</t>
    <phoneticPr fontId="2" type="noConversion"/>
  </si>
  <si>
    <t>Fuan, Fujian</t>
    <phoneticPr fontId="2" type="noConversion"/>
  </si>
  <si>
    <t>legume plant seed</t>
    <phoneticPr fontId="2" type="noConversion"/>
  </si>
  <si>
    <t>chicken manure</t>
    <phoneticPr fontId="2" type="noConversion"/>
  </si>
  <si>
    <t>NPK-NPK+Legume stover</t>
    <phoneticPr fontId="2" type="noConversion"/>
  </si>
  <si>
    <t>Crop Yields and Soil Nutrients in Response to Long-Term
Fertilization in a Desert Oasis</t>
    <phoneticPr fontId="2" type="noConversion"/>
  </si>
  <si>
    <t>NPK1-NPK1M3</t>
    <phoneticPr fontId="2" type="noConversion"/>
  </si>
  <si>
    <t>NPK2-NPK1M2</t>
    <phoneticPr fontId="2" type="noConversion"/>
  </si>
  <si>
    <t>NPK3-NPK1M1</t>
    <phoneticPr fontId="2" type="noConversion"/>
  </si>
  <si>
    <t>Agronomy Journal</t>
    <phoneticPr fontId="2" type="noConversion"/>
  </si>
  <si>
    <t xml:space="preserve"> Linze</t>
    <phoneticPr fontId="2" type="noConversion"/>
  </si>
  <si>
    <t xml:space="preserve">AridiSandic Primosol </t>
    <phoneticPr fontId="2" type="noConversion"/>
  </si>
  <si>
    <t>Maize-Soybean</t>
    <phoneticPr fontId="2" type="noConversion"/>
  </si>
  <si>
    <t>sheep or cattle manure</t>
    <phoneticPr fontId="2" type="noConversion"/>
  </si>
  <si>
    <t>NPK-NPKM1</t>
    <phoneticPr fontId="2" type="noConversion"/>
  </si>
  <si>
    <t>NPK-NPKM2</t>
  </si>
  <si>
    <t>NPK-NPKM3</t>
  </si>
  <si>
    <t>Nutr Cycl Agroecosyst</t>
    <phoneticPr fontId="2" type="noConversion"/>
  </si>
  <si>
    <t>Soil fertility and crop yield after manure addition to acidic
soils in South China</t>
    <phoneticPr fontId="2" type="noConversion"/>
  </si>
  <si>
    <t>Cai et al.</t>
    <phoneticPr fontId="2" type="noConversion"/>
  </si>
  <si>
    <t>2006-2012</t>
    <phoneticPr fontId="2" type="noConversion"/>
  </si>
  <si>
    <t>2009-2017</t>
    <phoneticPr fontId="2" type="noConversion"/>
  </si>
  <si>
    <r>
      <t xml:space="preserve">pig manure 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fresh</t>
    </r>
    <r>
      <rPr>
        <sz val="11"/>
        <color theme="1"/>
        <rFont val="宋体"/>
        <family val="1"/>
        <charset val="134"/>
      </rPr>
      <t>）</t>
    </r>
    <phoneticPr fontId="2" type="noConversion"/>
  </si>
  <si>
    <t>moisture content (%)</t>
    <phoneticPr fontId="2" type="noConversion"/>
  </si>
  <si>
    <t>Effects of Different Organic Fertilizers on Zizyphus mauritiana Lam.
Yield, Quality and Soil Fertility</t>
    <phoneticPr fontId="2" type="noConversion"/>
  </si>
  <si>
    <t>Zang et al.</t>
    <phoneticPr fontId="2" type="noConversion"/>
  </si>
  <si>
    <t>Chinese Journal of Soil Science</t>
    <phoneticPr fontId="2" type="noConversion"/>
  </si>
  <si>
    <t>2013-2014</t>
    <phoneticPr fontId="2" type="noConversion"/>
  </si>
  <si>
    <t>Zhanjiang,Guangdong</t>
    <phoneticPr fontId="2" type="noConversion"/>
  </si>
  <si>
    <t>Zizyphus mauritiana Lam</t>
    <phoneticPr fontId="2" type="noConversion"/>
  </si>
  <si>
    <t>OM</t>
    <phoneticPr fontId="2" type="noConversion"/>
  </si>
  <si>
    <t>NPK-NPK+lime</t>
    <phoneticPr fontId="2" type="noConversion"/>
  </si>
  <si>
    <t>Lu et al.</t>
    <phoneticPr fontId="2" type="noConversion"/>
  </si>
  <si>
    <t>Effect of Long-term Fertilization and Lime Application on Soil Acidity of
Reddish Paddy Soil</t>
    <phoneticPr fontId="2" type="noConversion"/>
  </si>
  <si>
    <t>Acta Pedologica Sinca</t>
    <phoneticPr fontId="2" type="noConversion"/>
  </si>
  <si>
    <t>1981-2014</t>
    <phoneticPr fontId="2" type="noConversion"/>
  </si>
  <si>
    <t>Li and Wen</t>
    <phoneticPr fontId="2" type="noConversion"/>
  </si>
  <si>
    <t>Zhuzhou,Hunan</t>
    <phoneticPr fontId="2" type="noConversion"/>
  </si>
  <si>
    <t>Hunan Agricultural Sciences</t>
    <phoneticPr fontId="2" type="noConversion"/>
  </si>
  <si>
    <t> Effects of Different Liming Rate on Early Rice Yield and Soil Physiochemical Characters</t>
    <phoneticPr fontId="2" type="noConversion"/>
  </si>
  <si>
    <r>
      <t> Effects of  Different </t>
    </r>
    <r>
      <rPr>
        <sz val="11"/>
        <color theme="1"/>
        <rFont val="微软雅黑"/>
        <family val="1"/>
        <charset val="134"/>
      </rPr>
      <t xml:space="preserve"> </t>
    </r>
    <r>
      <rPr>
        <sz val="11"/>
        <color theme="1"/>
        <rFont val="Times New Roman"/>
        <family val="1"/>
      </rPr>
      <t>Liming Rate on Early Rice Yield and Soil Physiochemical Characters</t>
    </r>
    <phoneticPr fontId="2" type="noConversion"/>
  </si>
  <si>
    <t>Liming of Two Acidic Soils Improved Grass Tetany Ratio of Stockpiled Tall Fescue Without Increasing Plant Available Phosphorus</t>
    <phoneticPr fontId="2" type="noConversion"/>
  </si>
  <si>
    <t>Hamilton et al.</t>
    <phoneticPr fontId="2" type="noConversion"/>
  </si>
  <si>
    <t>2004-2006</t>
    <phoneticPr fontId="2" type="noConversion"/>
  </si>
  <si>
    <t>2004-2007</t>
  </si>
  <si>
    <t>2004-2008</t>
  </si>
  <si>
    <t>2004-2009</t>
  </si>
  <si>
    <t>2004-2010</t>
  </si>
  <si>
    <t>2004-2011</t>
  </si>
  <si>
    <t>2004-2012</t>
  </si>
  <si>
    <t>2004-2013</t>
  </si>
  <si>
    <t>2004-2014</t>
  </si>
  <si>
    <t>2004-2015</t>
  </si>
  <si>
    <t>2004-2016</t>
  </si>
  <si>
    <t>2004-2017</t>
  </si>
  <si>
    <t>Mt. Vernon, Missouri</t>
    <phoneticPr fontId="2" type="noConversion"/>
  </si>
  <si>
    <t>Columbia, Missouri</t>
    <phoneticPr fontId="2" type="noConversion"/>
  </si>
  <si>
    <t>America</t>
    <phoneticPr fontId="2" type="noConversion"/>
  </si>
  <si>
    <t>North America</t>
    <phoneticPr fontId="2" type="noConversion"/>
  </si>
  <si>
    <t xml:space="preserve"> tall fescue (Kentucky 31)
pastures</t>
    <phoneticPr fontId="2" type="noConversion"/>
  </si>
  <si>
    <t xml:space="preserve"> tall fescue (Kentucky 32)
pastures</t>
  </si>
  <si>
    <t xml:space="preserve"> tall fescue (Kentucky 33)
pastures</t>
  </si>
  <si>
    <t xml:space="preserve"> tall fescue (Kentucky 34)
pastures</t>
  </si>
  <si>
    <t xml:space="preserve"> tall fescue (Kentucky 35)
pastures</t>
  </si>
  <si>
    <t xml:space="preserve"> tall fescue (Kentucky 36)
pastures</t>
  </si>
  <si>
    <t xml:space="preserve"> tall fescue (Kentucky 37)
pastures</t>
  </si>
  <si>
    <t xml:space="preserve"> tall fescue (Kentucky 38)
pastures</t>
  </si>
  <si>
    <t xml:space="preserve"> tall fescue (Kentucky 39)
pastures</t>
  </si>
  <si>
    <t xml:space="preserve"> tall fescue (Kentucky 40)
pastures</t>
  </si>
  <si>
    <t xml:space="preserve"> tall fescue (Kentucky 41)
pastures</t>
  </si>
  <si>
    <t xml:space="preserve"> tall fescue (Kentucky 42)
pastures</t>
  </si>
  <si>
    <t>Fragipan</t>
  </si>
  <si>
    <t>Claypan</t>
    <phoneticPr fontId="2" type="noConversion"/>
  </si>
  <si>
    <t>2007-2009</t>
    <phoneticPr fontId="2" type="noConversion"/>
  </si>
  <si>
    <t>Effect of annual applications of pelletized dolomitic lime on
soil chemical properties and grass productivity</t>
    <phoneticPr fontId="2" type="noConversion"/>
  </si>
  <si>
    <t>grass</t>
    <phoneticPr fontId="2" type="noConversion"/>
  </si>
  <si>
    <t xml:space="preserve"> Triassic Red Sandstone</t>
  </si>
  <si>
    <t>Soil-Liming Effects on the Development and
Nutritional Status of the Carambola Tree
and Its Fruit-Yielding Capacity</t>
    <phoneticPr fontId="2" type="noConversion"/>
  </si>
  <si>
    <t>Communications in Soil Science and Plant Analysis</t>
    <phoneticPr fontId="2" type="noConversion"/>
  </si>
  <si>
    <t>Prado et al.</t>
    <phoneticPr fontId="2" type="noConversion"/>
  </si>
  <si>
    <t>Bebedouro,  Sa ˜o Paulo</t>
    <phoneticPr fontId="2" type="noConversion"/>
  </si>
  <si>
    <t xml:space="preserve"> Brazil</t>
  </si>
  <si>
    <t>Cirtus</t>
    <phoneticPr fontId="2" type="noConversion"/>
  </si>
  <si>
    <t>South America</t>
    <phoneticPr fontId="2" type="noConversion"/>
  </si>
  <si>
    <t>MgO (%)</t>
    <phoneticPr fontId="2" type="noConversion"/>
  </si>
  <si>
    <t>1999-2002</t>
    <phoneticPr fontId="2" type="noConversion"/>
  </si>
  <si>
    <t>The effect of earthworms and liming on soil
microbial communities</t>
    <phoneticPr fontId="2" type="noConversion"/>
  </si>
  <si>
    <t>Pawlett et al.</t>
    <phoneticPr fontId="2" type="noConversion"/>
  </si>
  <si>
    <t>Southern Scotland</t>
  </si>
  <si>
    <t>England</t>
    <phoneticPr fontId="2" type="noConversion"/>
  </si>
  <si>
    <t>Grass</t>
    <phoneticPr fontId="2" type="noConversion"/>
  </si>
  <si>
    <t>Lime Effects on Soil Acidity, Crop Yield, and
Aluminum Chemistry in Direct-Seeded
Cropping Systems</t>
    <phoneticPr fontId="2" type="noConversion"/>
  </si>
  <si>
    <t>Tabitha et al.</t>
    <phoneticPr fontId="2" type="noConversion"/>
  </si>
  <si>
    <t>Soil Fertility and Plant Nutrition</t>
    <phoneticPr fontId="2" type="noConversion"/>
  </si>
  <si>
    <t>2002-2004</t>
    <phoneticPr fontId="2" type="noConversion"/>
  </si>
  <si>
    <t>Palouse</t>
    <phoneticPr fontId="2" type="noConversion"/>
  </si>
  <si>
    <t xml:space="preserve">Barley </t>
    <phoneticPr fontId="2" type="noConversion"/>
  </si>
  <si>
    <t>Effects of straw returning with different lime dosages on Cd accumulation in rice</t>
    <phoneticPr fontId="2" type="noConversion"/>
  </si>
  <si>
    <t>Journal of Agro-Environment Science</t>
    <phoneticPr fontId="2" type="noConversion"/>
  </si>
  <si>
    <t>Chengdu, Sichuan</t>
    <phoneticPr fontId="2" type="noConversion"/>
  </si>
  <si>
    <t>Rice soil</t>
    <phoneticPr fontId="2" type="noConversion"/>
  </si>
  <si>
    <t>Xun et al.</t>
    <phoneticPr fontId="2" type="noConversion"/>
  </si>
  <si>
    <t>Swine manure and quicklime have different impacts on chemical properties and composition of bacterial communities of an acidic soil</t>
    <phoneticPr fontId="2" type="noConversion"/>
  </si>
  <si>
    <t>18 mons</t>
    <phoneticPr fontId="2" type="noConversion"/>
  </si>
  <si>
    <t>2010-2012</t>
    <phoneticPr fontId="2" type="noConversion"/>
  </si>
  <si>
    <t>Soybean</t>
    <phoneticPr fontId="2" type="noConversion"/>
  </si>
  <si>
    <t>Use of crop residues with alkaline slag to ameliorate soil
acidity in an Ultisol</t>
    <phoneticPr fontId="2" type="noConversion"/>
  </si>
  <si>
    <t>2 mons</t>
    <phoneticPr fontId="2" type="noConversion"/>
  </si>
  <si>
    <t>Ultisol soil</t>
    <phoneticPr fontId="2" type="noConversion"/>
  </si>
  <si>
    <t>Rapeseed straw</t>
    <phoneticPr fontId="2" type="noConversion"/>
  </si>
  <si>
    <t>CK-alkaline slag</t>
    <phoneticPr fontId="2" type="noConversion"/>
  </si>
  <si>
    <t>24 mons</t>
    <phoneticPr fontId="2" type="noConversion"/>
  </si>
  <si>
    <t>CK-Lime+Manure</t>
    <phoneticPr fontId="2" type="noConversion"/>
  </si>
  <si>
    <t>CK-Manure+Biochar</t>
    <phoneticPr fontId="2" type="noConversion"/>
  </si>
  <si>
    <t>CK-Lime+Biochar</t>
    <phoneticPr fontId="2" type="noConversion"/>
  </si>
  <si>
    <t>CK-Manure+Lime+Biochar</t>
    <phoneticPr fontId="2" type="noConversion"/>
  </si>
  <si>
    <t>12 mons</t>
    <phoneticPr fontId="2" type="noConversion"/>
  </si>
  <si>
    <t>2010.2-2011.11</t>
    <phoneticPr fontId="2" type="noConversion"/>
  </si>
  <si>
    <t>21 mons</t>
    <phoneticPr fontId="2" type="noConversion"/>
  </si>
  <si>
    <t>43 mons</t>
  </si>
  <si>
    <t>2 mons</t>
  </si>
  <si>
    <t>300 mons</t>
    <phoneticPr fontId="2" type="noConversion"/>
  </si>
  <si>
    <t>60 mons</t>
    <phoneticPr fontId="2" type="noConversion"/>
  </si>
  <si>
    <t>1 mons</t>
  </si>
  <si>
    <t>1 mons</t>
    <phoneticPr fontId="2" type="noConversion"/>
  </si>
  <si>
    <t>6 mons</t>
    <phoneticPr fontId="2" type="noConversion"/>
  </si>
  <si>
    <t>9 mons</t>
    <phoneticPr fontId="2" type="noConversion"/>
  </si>
  <si>
    <t>3 mons</t>
    <phoneticPr fontId="2" type="noConversion"/>
  </si>
  <si>
    <t>4 mons</t>
    <phoneticPr fontId="2" type="noConversion"/>
  </si>
  <si>
    <t>108 mons</t>
    <phoneticPr fontId="2" type="noConversion"/>
  </si>
  <si>
    <t>312 mons</t>
    <phoneticPr fontId="2" type="noConversion"/>
  </si>
  <si>
    <t>252 mons</t>
    <phoneticPr fontId="2" type="noConversion"/>
  </si>
  <si>
    <t>132 mons</t>
    <phoneticPr fontId="2" type="noConversion"/>
  </si>
  <si>
    <t>72 mons</t>
    <phoneticPr fontId="2" type="noConversion"/>
  </si>
  <si>
    <t>84 mons</t>
    <phoneticPr fontId="2" type="noConversion"/>
  </si>
  <si>
    <t>96 mons</t>
    <phoneticPr fontId="2" type="noConversion"/>
  </si>
  <si>
    <t>372 mons</t>
    <phoneticPr fontId="2" type="noConversion"/>
  </si>
  <si>
    <t>36 mons</t>
    <phoneticPr fontId="2" type="noConversion"/>
  </si>
  <si>
    <t>yellow-brown soil</t>
    <phoneticPr fontId="2" type="noConversion"/>
  </si>
  <si>
    <t>CK-Straw+alkaline slag</t>
    <phoneticPr fontId="2" type="noConversion"/>
  </si>
  <si>
    <t>Effects of Soil Amendment on Soil pH, Plant Growth and Heavy Metal Accumulation of Flue-Cured Tobacco in Acid Soil</t>
    <phoneticPr fontId="2" type="noConversion"/>
  </si>
  <si>
    <t>Jiang et al.</t>
    <phoneticPr fontId="2" type="noConversion"/>
  </si>
  <si>
    <t>Chizhou,Anhui</t>
    <phoneticPr fontId="2" type="noConversion"/>
  </si>
  <si>
    <t>Paddy soil</t>
    <phoneticPr fontId="2" type="noConversion"/>
  </si>
  <si>
    <t>g/plant</t>
    <phoneticPr fontId="2" type="noConversion"/>
  </si>
  <si>
    <t>Effectsof liming on nutrition status, qualityof satsuma mandarin and acid soil nutrients availability of citrus orchard</t>
    <phoneticPr fontId="2" type="noConversion"/>
  </si>
  <si>
    <t>The synergistic effect of lime, green manure and bio-organic fertilizer on restoration of acid field and improvement of tobacco production efficiency</t>
    <phoneticPr fontId="2" type="noConversion"/>
  </si>
  <si>
    <t>Biochar is superior to lime in improving acidic soil properties and fruit quality of Satsuma mandarin</t>
    <phoneticPr fontId="2" type="noConversion"/>
  </si>
  <si>
    <t>The effects of combinations of biochar, lime, and organic fertilizer on nitrification and nitrifiers</t>
    <phoneticPr fontId="2" type="noConversion"/>
  </si>
  <si>
    <t>Effect of Dolomite Application for the Improvement of Acid Red-yellow Soil on Rape and Maize Yield</t>
    <phoneticPr fontId="2" type="noConversion"/>
  </si>
  <si>
    <t>Wu et al.</t>
    <phoneticPr fontId="2" type="noConversion"/>
  </si>
  <si>
    <t>Journal of Anhui Agricultural Sciences</t>
    <phoneticPr fontId="2" type="noConversion"/>
  </si>
  <si>
    <t>Guangde, Anhui</t>
    <phoneticPr fontId="2" type="noConversion"/>
  </si>
  <si>
    <t>Rapeseed</t>
    <phoneticPr fontId="2" type="noConversion"/>
  </si>
  <si>
    <t>Effect of lime on root growth, morphology and the rhizosheath of cereal seedlings growing in an acid soil</t>
    <phoneticPr fontId="2" type="noConversion"/>
  </si>
  <si>
    <t>Use of crop residues with alkaline slag to ameliorate soil acidity in an Ultisol</t>
    <phoneticPr fontId="2" type="noConversion"/>
  </si>
  <si>
    <t>Haling et al.</t>
    <phoneticPr fontId="2" type="noConversion"/>
  </si>
  <si>
    <t xml:space="preserve"> Australia</t>
  </si>
  <si>
    <t xml:space="preserve"> New South Wales</t>
    <phoneticPr fontId="2" type="noConversion"/>
  </si>
  <si>
    <t>Oceania</t>
    <phoneticPr fontId="2" type="noConversion"/>
  </si>
  <si>
    <t>0.3 mons</t>
    <phoneticPr fontId="2" type="noConversion"/>
  </si>
  <si>
    <t>Red Ferrosol</t>
    <phoneticPr fontId="2" type="noConversion"/>
  </si>
  <si>
    <t>Calcium affects the competitiveness of acid-sensitive and acid-tolerant strains of Bradyrhizobium japonicum in nodulating and fixing nitrogen with two soybean cultivars in acid soil</t>
    <phoneticPr fontId="2" type="noConversion"/>
  </si>
  <si>
    <t>Arief et al.</t>
    <phoneticPr fontId="2" type="noConversion"/>
  </si>
  <si>
    <t>Yellow Kurosol</t>
    <phoneticPr fontId="2" type="noConversion"/>
  </si>
  <si>
    <t xml:space="preserve"> Queensland</t>
    <phoneticPr fontId="2" type="noConversion"/>
  </si>
  <si>
    <t>Queensland</t>
    <phoneticPr fontId="2" type="noConversion"/>
  </si>
  <si>
    <t>Australian Journal of Agricultural Research</t>
    <phoneticPr fontId="2" type="noConversion"/>
  </si>
  <si>
    <t>Effects of lime and gypsum on growth of sweet potato in two strongly acid soils</t>
    <phoneticPr fontId="2" type="noConversion"/>
  </si>
  <si>
    <t>Vele et al.</t>
    <phoneticPr fontId="2" type="noConversion"/>
  </si>
  <si>
    <t>1 mon</t>
    <phoneticPr fontId="2" type="noConversion"/>
  </si>
  <si>
    <t xml:space="preserve"> sweet potato </t>
  </si>
  <si>
    <t>Garret soil</t>
    <phoneticPr fontId="2" type="noConversion"/>
  </si>
  <si>
    <t>Bisinella soil</t>
    <phoneticPr fontId="2" type="noConversion"/>
  </si>
  <si>
    <t>CaSO4</t>
    <phoneticPr fontId="2" type="noConversion"/>
  </si>
  <si>
    <t>Influences of Various Modifiers on Acidity of Brown Red Soil</t>
    <phoneticPr fontId="2" type="noConversion"/>
  </si>
  <si>
    <t>2003-2004</t>
    <phoneticPr fontId="2" type="noConversion"/>
  </si>
  <si>
    <t>7 mons</t>
    <phoneticPr fontId="2" type="noConversion"/>
  </si>
  <si>
    <t>Brown-red soil</t>
    <phoneticPr fontId="2" type="noConversion"/>
  </si>
  <si>
    <t xml:space="preserve">Canada Jouanal of Soil Science </t>
    <phoneticPr fontId="2" type="noConversion"/>
  </si>
  <si>
    <t>Soil acidification by fertilizers and longevity of lime applications in the Peace River region</t>
    <phoneticPr fontId="2" type="noConversion"/>
  </si>
  <si>
    <t>Hoyt et al.</t>
    <phoneticPr fontId="2" type="noConversion"/>
  </si>
  <si>
    <t>1974-1978</t>
    <phoneticPr fontId="2" type="noConversion"/>
  </si>
  <si>
    <t>Albert</t>
    <phoneticPr fontId="2" type="noConversion"/>
  </si>
  <si>
    <t>48 mons</t>
    <phoneticPr fontId="2" type="noConversion"/>
  </si>
  <si>
    <t>Barley</t>
    <phoneticPr fontId="2" type="noConversion"/>
  </si>
  <si>
    <t>Donnelly</t>
    <phoneticPr fontId="2" type="noConversion"/>
  </si>
  <si>
    <t>Josephine</t>
    <phoneticPr fontId="2" type="noConversion"/>
  </si>
  <si>
    <t>1970-1978</t>
    <phoneticPr fontId="2" type="noConversion"/>
  </si>
  <si>
    <r>
      <t>18</t>
    </r>
    <r>
      <rPr>
        <sz val="11"/>
        <color theme="1"/>
        <rFont val="宋体"/>
        <family val="1"/>
        <charset val="134"/>
      </rPr>
      <t>。1</t>
    </r>
    <phoneticPr fontId="2" type="noConversion"/>
  </si>
  <si>
    <t>Alcan</t>
    <phoneticPr fontId="2" type="noConversion"/>
  </si>
  <si>
    <t>Boundary</t>
    <phoneticPr fontId="2" type="noConversion"/>
  </si>
  <si>
    <t>Landry</t>
    <phoneticPr fontId="2" type="noConversion"/>
  </si>
  <si>
    <t>Buick</t>
    <phoneticPr fontId="2" type="noConversion"/>
  </si>
  <si>
    <r>
      <t>Ca</t>
    </r>
    <r>
      <rPr>
        <sz val="11"/>
        <color indexed="8"/>
        <rFont val="等线"/>
        <family val="3"/>
        <charset val="134"/>
      </rPr>
      <t>(</t>
    </r>
    <r>
      <rPr>
        <sz val="11"/>
        <color indexed="8"/>
        <rFont val="Times New Roman"/>
        <family val="1"/>
      </rPr>
      <t>OH</t>
    </r>
    <r>
      <rPr>
        <sz val="11"/>
        <color indexed="8"/>
        <rFont val="等线"/>
        <family val="3"/>
        <charset val="134"/>
      </rPr>
      <t>)</t>
    </r>
    <r>
      <rPr>
        <sz val="11"/>
        <color indexed="8"/>
        <rFont val="Times New Roman"/>
        <family val="1"/>
      </rPr>
      <t>2</t>
    </r>
    <r>
      <rPr>
        <sz val="12"/>
        <color theme="1"/>
        <rFont val="Times New Roman"/>
        <family val="2"/>
        <charset val="134"/>
      </rPr>
      <t/>
    </r>
  </si>
  <si>
    <r>
      <t xml:space="preserve">Effect of Lime Application on Yield of Saponins and </t>
    </r>
    <r>
      <rPr>
        <sz val="11"/>
        <color theme="1"/>
        <rFont val="宋体"/>
        <family val="1"/>
        <charset val="134"/>
      </rPr>
      <t>Ｒ</t>
    </r>
    <r>
      <rPr>
        <sz val="11"/>
        <color theme="1"/>
        <rFont val="Times New Roman"/>
        <family val="1"/>
      </rPr>
      <t>elated Enzymes Activities of Panax notoginseng Under Cadmium Stress</t>
    </r>
    <phoneticPr fontId="2" type="noConversion"/>
  </si>
  <si>
    <r>
      <t xml:space="preserve">Journal of Ecology and </t>
    </r>
    <r>
      <rPr>
        <sz val="11"/>
        <color theme="1"/>
        <rFont val="宋体"/>
        <family val="1"/>
        <charset val="134"/>
      </rPr>
      <t>Ｒ</t>
    </r>
    <r>
      <rPr>
        <sz val="11"/>
        <color theme="1"/>
        <rFont val="Times New Roman"/>
        <family val="1"/>
      </rPr>
      <t>ural Environment</t>
    </r>
    <phoneticPr fontId="2" type="noConversion"/>
  </si>
  <si>
    <t>Qiubei, Yunnan</t>
    <phoneticPr fontId="2" type="noConversion"/>
  </si>
  <si>
    <t>Saponins</t>
    <phoneticPr fontId="2" type="noConversion"/>
  </si>
  <si>
    <t>Canterbury</t>
    <phoneticPr fontId="2" type="noConversion"/>
  </si>
  <si>
    <t>Newland</t>
    <phoneticPr fontId="2" type="noConversion"/>
  </si>
  <si>
    <t>Effect of lime and phosphorus applictaions on concentrations of available nutrients and on P, Al and Mn uptake by two pasture legumes in an acid soil</t>
    <phoneticPr fontId="2" type="noConversion"/>
  </si>
  <si>
    <t>Haynes and Ludecke</t>
    <phoneticPr fontId="2" type="noConversion"/>
  </si>
  <si>
    <t>2.5 mons</t>
    <phoneticPr fontId="2" type="noConversion"/>
  </si>
  <si>
    <t>Pasture</t>
    <phoneticPr fontId="2" type="noConversion"/>
  </si>
  <si>
    <t>Katrine silt loam</t>
    <phoneticPr fontId="2" type="noConversion"/>
  </si>
  <si>
    <t>Effects of liming and Sinorhizobium inoculation on growth, nodulation and nutrient concentrations of lucerne in acid soil</t>
    <phoneticPr fontId="2" type="noConversion"/>
  </si>
  <si>
    <t>Lucerne</t>
    <phoneticPr fontId="2" type="noConversion"/>
  </si>
  <si>
    <t>Tropical Grasslands</t>
    <phoneticPr fontId="2" type="noConversion"/>
  </si>
  <si>
    <t>Udorthent</t>
    <phoneticPr fontId="2" type="noConversion"/>
  </si>
  <si>
    <t>Country</t>
    <phoneticPr fontId="2" type="noConversion"/>
  </si>
  <si>
    <t xml:space="preserve"> 3 mons</t>
    <phoneticPr fontId="2" type="noConversion"/>
  </si>
  <si>
    <t>Chongqing</t>
    <phoneticPr fontId="2" type="noConversion"/>
  </si>
  <si>
    <t>Effects of applying lime on the properties of acid soil and leaves quality in fleu-cured tobacco</t>
    <phoneticPr fontId="2" type="noConversion"/>
  </si>
  <si>
    <t>Tang L N and Xiong D Z</t>
    <phoneticPr fontId="2" type="noConversion"/>
  </si>
  <si>
    <t>Chinese Journal of Eco-Agriculture</t>
    <phoneticPr fontId="2" type="noConversion"/>
  </si>
  <si>
    <t>Fujian</t>
    <phoneticPr fontId="2" type="noConversion"/>
  </si>
  <si>
    <t>dw g/plant</t>
    <phoneticPr fontId="2" type="noConversion"/>
  </si>
  <si>
    <t>T426</t>
    <phoneticPr fontId="2" type="noConversion"/>
  </si>
  <si>
    <t>Responses of maize grain yield to changes in acid soil characteristics after soil amendments</t>
    <phoneticPr fontId="2" type="noConversion"/>
  </si>
  <si>
    <t>The. C et al.</t>
    <phoneticPr fontId="2" type="noConversion"/>
  </si>
  <si>
    <t>Plant and Soil</t>
    <phoneticPr fontId="2" type="noConversion"/>
  </si>
  <si>
    <t xml:space="preserve"> Ebolowa</t>
    <phoneticPr fontId="2" type="noConversion"/>
  </si>
  <si>
    <t>Cameroon</t>
  </si>
  <si>
    <t>Annual precipitation (mm)</t>
    <phoneticPr fontId="2" type="noConversion"/>
  </si>
  <si>
    <t>Poultry manure</t>
    <phoneticPr fontId="2" type="noConversion"/>
  </si>
  <si>
    <t>Treatment code</t>
    <phoneticPr fontId="2" type="noConversion"/>
  </si>
  <si>
    <t>1997-2001</t>
  </si>
  <si>
    <t>CK-OM+Lime</t>
    <phoneticPr fontId="2" type="noConversion"/>
  </si>
  <si>
    <t>Effects of different amount of biochar application on soil property and bacterial community structure in acidified tea garden</t>
    <phoneticPr fontId="2" type="noConversion"/>
  </si>
  <si>
    <t>2014-2019</t>
    <phoneticPr fontId="2" type="noConversion"/>
  </si>
  <si>
    <t>Anxi, Fujian</t>
    <phoneticPr fontId="2" type="noConversion"/>
  </si>
  <si>
    <t>1700-1900</t>
    <phoneticPr fontId="2" type="noConversion"/>
  </si>
  <si>
    <t>15-18.5</t>
    <phoneticPr fontId="2" type="noConversion"/>
  </si>
  <si>
    <t>Sarah et al.</t>
    <phoneticPr fontId="2" type="noConversion"/>
  </si>
  <si>
    <t>Effect of Biochar on Soil Properties, Soil Loss, and Cocoyam Yield on a Tropical Sandy Loam Alfisol</t>
    <phoneticPr fontId="2" type="noConversion"/>
  </si>
  <si>
    <t>Aruna et al.</t>
    <phoneticPr fontId="2" type="noConversion"/>
  </si>
  <si>
    <t>The Scientific World Journal</t>
    <phoneticPr fontId="2" type="noConversion"/>
  </si>
  <si>
    <t>Rufus Giwa Polytechnic, Owo, Ondo State</t>
    <phoneticPr fontId="2" type="noConversion"/>
  </si>
  <si>
    <t>Cocoyam</t>
  </si>
  <si>
    <t xml:space="preserve"> Tropical Sandy Loam Alfisol</t>
    <phoneticPr fontId="2" type="noConversion"/>
  </si>
  <si>
    <t>hardwood</t>
    <phoneticPr fontId="2" type="noConversion"/>
  </si>
  <si>
    <t>cacao shell</t>
    <phoneticPr fontId="2" type="noConversion"/>
  </si>
  <si>
    <t xml:space="preserve"> Indonesia</t>
  </si>
  <si>
    <t xml:space="preserve"> Lampung district, South Sumatra</t>
    <phoneticPr fontId="2" type="noConversion"/>
  </si>
  <si>
    <t xml:space="preserve"> Maize</t>
    <phoneticPr fontId="2" type="noConversion"/>
  </si>
  <si>
    <t>30 mons</t>
    <phoneticPr fontId="2" type="noConversion"/>
  </si>
  <si>
    <t xml:space="preserve"> Typic Kanhapludult</t>
  </si>
  <si>
    <t>Chinese Journal of Applied Ecology</t>
  </si>
  <si>
    <t>Sandy yellow tide soil</t>
  </si>
  <si>
    <t>Effect of Straw Incorporation on Biologically-Based Phosphorus Fractions and Phosphorus Uptake by Rice in Paddy Field</t>
    <phoneticPr fontId="2" type="noConversion"/>
  </si>
  <si>
    <t>Journal of Soil and Water Conservation</t>
    <phoneticPr fontId="2" type="noConversion"/>
  </si>
  <si>
    <t>25 mons</t>
  </si>
  <si>
    <t>2016-2017</t>
  </si>
  <si>
    <t>The effect of biochar,lime and ashon maize yield in along-term field trial in a Ultisol in the humid tropics</t>
    <phoneticPr fontId="2" type="noConversion"/>
  </si>
  <si>
    <t>2017-2019</t>
    <phoneticPr fontId="2" type="noConversion"/>
  </si>
  <si>
    <t>Three-Year Field Observation of Biochar-Mediated Changes in Soil Organic Carbon and Microbial Activity</t>
    <phoneticPr fontId="2" type="noConversion"/>
  </si>
  <si>
    <t>Journal of Environmental Quality</t>
    <phoneticPr fontId="2" type="noConversion"/>
  </si>
  <si>
    <t>2009-2012</t>
    <phoneticPr fontId="2" type="noConversion"/>
  </si>
  <si>
    <t>Jiangdu,Jiangsu</t>
    <phoneticPr fontId="2" type="noConversion"/>
  </si>
  <si>
    <t>Inceptisol</t>
    <phoneticPr fontId="2" type="noConversion"/>
  </si>
  <si>
    <t>maize straw</t>
    <phoneticPr fontId="2" type="noConversion"/>
  </si>
  <si>
    <t>CK-Biochar+OM</t>
    <phoneticPr fontId="2" type="noConversion"/>
  </si>
  <si>
    <t>Benefits of biochar, compost and biochar–compost for soil quality, maize yield and greenhouse gas emissions in a tropical agricultural soil</t>
    <phoneticPr fontId="2" type="noConversion"/>
  </si>
  <si>
    <t xml:space="preserve"> Agegnehu et al.</t>
    <phoneticPr fontId="2" type="noConversion"/>
  </si>
  <si>
    <t>Tolga, north Queensland</t>
    <phoneticPr fontId="2" type="noConversion"/>
  </si>
  <si>
    <t>willow</t>
  </si>
  <si>
    <t>compost</t>
    <phoneticPr fontId="2" type="noConversion"/>
  </si>
  <si>
    <t>Journal of the Science of Food and Agriculture</t>
    <phoneticPr fontId="2" type="noConversion"/>
  </si>
  <si>
    <t>Khorram et al.</t>
    <phoneticPr fontId="2" type="noConversion"/>
  </si>
  <si>
    <t>Impact of biochar and compost amendment on soil quality, growth and yield of a replanted apple orchard in a four-year field study</t>
    <phoneticPr fontId="2" type="noConversion"/>
  </si>
  <si>
    <t>Abravan Village, Mashhad</t>
    <phoneticPr fontId="2" type="noConversion"/>
  </si>
  <si>
    <t>Iran</t>
    <phoneticPr fontId="2" type="noConversion"/>
  </si>
  <si>
    <t>2014-2017</t>
    <phoneticPr fontId="2" type="noConversion"/>
  </si>
  <si>
    <t>Apple</t>
    <phoneticPr fontId="2" type="noConversion"/>
  </si>
  <si>
    <t>Haplic Regosol</t>
  </si>
  <si>
    <t xml:space="preserve">Hardwood chips </t>
    <phoneticPr fontId="2" type="noConversion"/>
  </si>
  <si>
    <t>Garden debris compost</t>
    <phoneticPr fontId="2" type="noConversion"/>
  </si>
  <si>
    <t>Ca(g/kg)</t>
    <phoneticPr fontId="2" type="noConversion"/>
  </si>
  <si>
    <t>rice straw</t>
    <phoneticPr fontId="2" type="noConversion"/>
  </si>
  <si>
    <t>Effects of lime application on soil pH, rice yield and heavy metal accumulation in paddy field</t>
    <phoneticPr fontId="2" type="noConversion"/>
  </si>
  <si>
    <t>Pan .</t>
    <phoneticPr fontId="2" type="noConversion"/>
  </si>
  <si>
    <t>Agricultural Engineering Technology</t>
    <phoneticPr fontId="2" type="noConversion"/>
  </si>
  <si>
    <t>Shouning,Fujian</t>
    <phoneticPr fontId="2" type="noConversion"/>
  </si>
  <si>
    <t>Yellow podzolic paddy soil</t>
    <phoneticPr fontId="2" type="noConversion"/>
  </si>
  <si>
    <t>Amelioration Effects of Liming on Acid Soil in Main Rice Producing Areas in Hunan</t>
    <phoneticPr fontId="2" type="noConversion"/>
  </si>
  <si>
    <t>Hanshou,Hunan</t>
    <phoneticPr fontId="2" type="noConversion"/>
  </si>
  <si>
    <t>Liuyang,Hunan</t>
    <phoneticPr fontId="2" type="noConversion"/>
  </si>
  <si>
    <t>Hengyang,Hunan</t>
    <phoneticPr fontId="2" type="noConversion"/>
  </si>
  <si>
    <t>Dongkou,Hunan</t>
    <phoneticPr fontId="2" type="noConversion"/>
  </si>
  <si>
    <t>Lanshan,Hunan</t>
    <phoneticPr fontId="2" type="noConversion"/>
  </si>
  <si>
    <t>Chenzhou,Hunan</t>
    <phoneticPr fontId="2" type="noConversion"/>
  </si>
  <si>
    <t>paddy soil</t>
    <phoneticPr fontId="2" type="noConversion"/>
  </si>
  <si>
    <t>Effect of lime application on potato planting in acid soil</t>
    <phoneticPr fontId="2" type="noConversion"/>
  </si>
  <si>
    <t>Rao et al.</t>
    <phoneticPr fontId="2" type="noConversion"/>
  </si>
  <si>
    <t>Chinese Horticultural Abstracts</t>
    <phoneticPr fontId="2" type="noConversion"/>
  </si>
  <si>
    <t>Lichuan,Hubei</t>
    <phoneticPr fontId="2" type="noConversion"/>
  </si>
  <si>
    <t>Potato</t>
    <phoneticPr fontId="2" type="noConversion"/>
  </si>
  <si>
    <r>
      <t>Ca</t>
    </r>
    <r>
      <rPr>
        <sz val="11"/>
        <color indexed="8"/>
        <rFont val="Times New Roman"/>
        <family val="1"/>
      </rPr>
      <t>(OH)2</t>
    </r>
    <r>
      <rPr>
        <sz val="12"/>
        <color theme="1"/>
        <rFont val="Times New Roman"/>
        <family val="2"/>
        <charset val="134"/>
      </rPr>
      <t/>
    </r>
  </si>
  <si>
    <t>Experiment code</t>
    <phoneticPr fontId="2" type="noConversion"/>
  </si>
  <si>
    <t>T519</t>
  </si>
  <si>
    <t>T520</t>
  </si>
  <si>
    <t>T521</t>
  </si>
  <si>
    <t>T522</t>
  </si>
  <si>
    <t>Effect of Biochar on Soybean Rhizosphere Microbes From Brown Earth Soil</t>
    <phoneticPr fontId="2" type="noConversion"/>
  </si>
  <si>
    <t>Sun et al.</t>
    <phoneticPr fontId="2" type="noConversion"/>
  </si>
  <si>
    <t>Journal of Shenyang Agricultural University</t>
    <phoneticPr fontId="2" type="noConversion"/>
  </si>
  <si>
    <t>Shenyang,Liaoning</t>
    <phoneticPr fontId="2" type="noConversion"/>
  </si>
  <si>
    <t>T523</t>
  </si>
  <si>
    <t>T524</t>
  </si>
  <si>
    <t>T525</t>
  </si>
  <si>
    <t>T526</t>
  </si>
  <si>
    <t>T527</t>
  </si>
  <si>
    <t>T528</t>
  </si>
  <si>
    <t>T529</t>
  </si>
  <si>
    <t>T530</t>
  </si>
  <si>
    <t>Effects of long-term straw pulverization on rice yield and arable land quality</t>
    <phoneticPr fontId="2" type="noConversion"/>
  </si>
  <si>
    <t>Chen et al.</t>
    <phoneticPr fontId="2" type="noConversion"/>
  </si>
  <si>
    <t>Zhejiang Agricultural Sciences</t>
    <phoneticPr fontId="2" type="noConversion"/>
  </si>
  <si>
    <t>2009-2016</t>
    <phoneticPr fontId="2" type="noConversion"/>
  </si>
  <si>
    <t>Lanxi,Zhejiang</t>
    <phoneticPr fontId="2" type="noConversion"/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</si>
  <si>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</si>
  <si>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</si>
  <si>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</si>
  <si>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</si>
  <si>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</si>
  <si>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</si>
  <si>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</si>
  <si>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</si>
  <si>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</si>
  <si>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</si>
  <si>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</si>
  <si>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</si>
  <si>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</si>
  <si>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 xml:space="preserve">Journal of Plant Nutrition and Fertilizer </t>
    <phoneticPr fontId="2" type="noConversion"/>
  </si>
  <si>
    <t>2009-2011</t>
    <phoneticPr fontId="2" type="noConversion"/>
  </si>
  <si>
    <t>Changsu,Jiangsu</t>
    <phoneticPr fontId="2" type="noConversion"/>
  </si>
  <si>
    <t>g/soil column</t>
    <phoneticPr fontId="2" type="noConversion"/>
  </si>
  <si>
    <r>
      <t>Effects of straw incorporation plus nitrogen fertilizer on rice yield</t>
    </r>
    <r>
      <rPr>
        <sz val="11"/>
        <color theme="1"/>
        <rFont val="等线"/>
        <family val="3"/>
        <charset val="134"/>
      </rPr>
      <t>，</t>
    </r>
    <r>
      <rPr>
        <sz val="11"/>
        <color theme="1"/>
        <rFont val="Times New Roman"/>
        <family val="1"/>
      </rPr>
      <t>nitrogen use efficiency and nitrogen loss</t>
    </r>
    <phoneticPr fontId="2" type="noConversion"/>
  </si>
  <si>
    <t>T544</t>
  </si>
  <si>
    <t>T545</t>
  </si>
  <si>
    <t>T546</t>
  </si>
  <si>
    <t>T547</t>
  </si>
  <si>
    <t>T548</t>
  </si>
  <si>
    <t>T549</t>
  </si>
  <si>
    <t>Application of terbetan to sweet potato in southeast coastal hills</t>
    <phoneticPr fontId="2" type="noConversion"/>
  </si>
  <si>
    <t>T550</t>
  </si>
  <si>
    <t>T551</t>
  </si>
  <si>
    <t>T552</t>
  </si>
  <si>
    <t>Fuqing,Fujian</t>
    <phoneticPr fontId="2" type="noConversion"/>
  </si>
  <si>
    <t>Agricultural Science Bulletin</t>
    <phoneticPr fontId="2" type="noConversion"/>
  </si>
  <si>
    <t>Sweet potato</t>
    <phoneticPr fontId="2" type="noConversion"/>
  </si>
  <si>
    <t>壤土</t>
    <phoneticPr fontId="2" type="noConversion"/>
  </si>
  <si>
    <t>Grey yellow mud</t>
    <phoneticPr fontId="2" type="noConversion"/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</si>
  <si>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</si>
  <si>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</si>
  <si>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</si>
  <si>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</si>
  <si>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</si>
  <si>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</si>
  <si>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</si>
  <si>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</si>
  <si>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</si>
  <si>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</si>
  <si>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</si>
  <si>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</si>
  <si>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</si>
  <si>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</si>
  <si>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</si>
  <si>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</si>
  <si>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</si>
  <si>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</si>
  <si>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</si>
  <si>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</si>
  <si>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</si>
  <si>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</si>
  <si>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</si>
  <si>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</si>
  <si>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</si>
  <si>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</si>
  <si>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</si>
  <si>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</si>
  <si>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</si>
  <si>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</si>
  <si>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</si>
  <si>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Long-term effects of lime application on soil acidity and crop yields on a red soil in Central Zhejiang</t>
    <phoneticPr fontId="2" type="noConversion"/>
  </si>
  <si>
    <t>Meng et al.</t>
    <phoneticPr fontId="2" type="noConversion"/>
  </si>
  <si>
    <t>1983-1998</t>
    <phoneticPr fontId="2" type="noConversion"/>
  </si>
  <si>
    <t>192 mons</t>
    <phoneticPr fontId="2" type="noConversion"/>
  </si>
  <si>
    <t>red soil</t>
    <phoneticPr fontId="2" type="noConversion"/>
  </si>
  <si>
    <t>Cowpea</t>
    <phoneticPr fontId="2" type="noConversion"/>
  </si>
  <si>
    <t>Cotton</t>
    <phoneticPr fontId="2" type="noConversion"/>
  </si>
  <si>
    <t>T584</t>
  </si>
  <si>
    <t>T585</t>
  </si>
  <si>
    <t>T586</t>
  </si>
  <si>
    <t>T587</t>
  </si>
  <si>
    <t>T588</t>
  </si>
  <si>
    <t>Sesame</t>
    <phoneticPr fontId="2" type="noConversion"/>
  </si>
  <si>
    <t>Mungbean</t>
    <phoneticPr fontId="2" type="noConversion"/>
  </si>
  <si>
    <t>Broadbean</t>
    <phoneticPr fontId="2" type="noConversion"/>
  </si>
  <si>
    <t>Watermelon</t>
    <phoneticPr fontId="2" type="noConversion"/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</si>
  <si>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</si>
  <si>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</si>
  <si>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</si>
  <si>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</si>
  <si>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</si>
  <si>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</si>
  <si>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</si>
  <si>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</si>
  <si>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</si>
  <si>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</si>
  <si>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</si>
  <si>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</si>
  <si>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</si>
  <si>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</si>
  <si>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</si>
  <si>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</si>
  <si>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</si>
  <si>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</si>
  <si>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</si>
  <si>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</si>
  <si>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</si>
  <si>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</si>
  <si>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</si>
  <si>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</si>
  <si>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</si>
  <si>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</si>
  <si>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</si>
  <si>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</si>
  <si>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</si>
  <si>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</si>
  <si>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</si>
  <si>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</si>
  <si>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</si>
  <si>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</si>
  <si>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</si>
  <si>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</si>
  <si>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</si>
  <si>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</si>
  <si>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</si>
  <si>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</si>
  <si>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</si>
  <si>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</si>
  <si>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</si>
  <si>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</si>
  <si>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</si>
  <si>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</si>
  <si>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</si>
  <si>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</si>
  <si>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</si>
  <si>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</si>
  <si>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</si>
  <si>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</si>
  <si>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</si>
  <si>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</si>
  <si>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</si>
  <si>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</si>
  <si>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</si>
  <si>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</si>
  <si>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</si>
  <si>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</si>
  <si>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</si>
  <si>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</si>
  <si>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</si>
  <si>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</si>
  <si>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</si>
  <si>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</si>
  <si>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</si>
  <si>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</si>
  <si>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</si>
  <si>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</si>
  <si>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</si>
  <si>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</si>
  <si>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</si>
  <si>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</si>
  <si>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</si>
  <si>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</si>
  <si>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r>
      <rPr>
        <sz val="11"/>
        <color theme="1"/>
        <rFont val="宋体"/>
        <family val="1"/>
        <charset val="134"/>
      </rPr>
      <t>壤土</t>
    </r>
    <phoneticPr fontId="2" type="noConversion"/>
  </si>
  <si>
    <t>T665</t>
  </si>
  <si>
    <t>T666</t>
  </si>
  <si>
    <r>
      <t>Bamboo char for soil fertility improvement and nutrient uptake</t>
    </r>
    <r>
      <rPr>
        <sz val="11"/>
        <color theme="1"/>
        <rFont val="宋体"/>
        <family val="1"/>
        <charset val="134"/>
      </rPr>
      <t>，</t>
    </r>
    <r>
      <rPr>
        <sz val="11"/>
        <color theme="1"/>
        <rFont val="Times New Roman"/>
        <family val="1"/>
      </rPr>
      <t xml:space="preserve"> yield</t>
    </r>
    <r>
      <rPr>
        <sz val="11"/>
        <color theme="1"/>
        <rFont val="宋体"/>
        <family val="1"/>
        <charset val="134"/>
      </rPr>
      <t>，</t>
    </r>
    <r>
      <rPr>
        <sz val="11"/>
        <color theme="1"/>
        <rFont val="Times New Roman"/>
        <family val="1"/>
      </rPr>
      <t>and quality in Brassica chinensis</t>
    </r>
    <phoneticPr fontId="2" type="noConversion"/>
  </si>
  <si>
    <t>Ma et al.</t>
    <phoneticPr fontId="2" type="noConversion"/>
  </si>
  <si>
    <r>
      <t>Journal of Zhejiang A</t>
    </r>
    <r>
      <rPr>
        <sz val="11"/>
        <color theme="1"/>
        <rFont val="宋体"/>
        <family val="1"/>
        <charset val="134"/>
      </rPr>
      <t>＆</t>
    </r>
    <r>
      <rPr>
        <sz val="11"/>
        <color theme="1"/>
        <rFont val="Times New Roman"/>
        <family val="1"/>
      </rPr>
      <t>F University</t>
    </r>
    <phoneticPr fontId="2" type="noConversion"/>
  </si>
  <si>
    <t>Hangzhou,Zhejiang</t>
    <phoneticPr fontId="2" type="noConversion"/>
  </si>
  <si>
    <t>Bamboo</t>
  </si>
  <si>
    <t>Journal of Plant Nutrition and Fertilizer</t>
    <phoneticPr fontId="2" type="noConversion"/>
  </si>
  <si>
    <t>T667</t>
  </si>
  <si>
    <t>T668</t>
  </si>
  <si>
    <t>Effects of long-term straw mulch and fertilization on crop yields and soil physical and chemical properties under rice-rapeseed rotation</t>
    <phoneticPr fontId="2" type="noConversion"/>
  </si>
  <si>
    <t>Guanghan,Sichuan</t>
    <phoneticPr fontId="2" type="noConversion"/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</si>
  <si>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</si>
  <si>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</si>
  <si>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</si>
  <si>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</si>
  <si>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</si>
  <si>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</si>
  <si>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</si>
  <si>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</si>
  <si>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</si>
  <si>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</si>
  <si>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</si>
  <si>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</si>
  <si>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Rapeseed+rice</t>
    <phoneticPr fontId="2" type="noConversion"/>
  </si>
  <si>
    <t>10200+95000</t>
    <phoneticPr fontId="2" type="noConversion"/>
  </si>
  <si>
    <t>T681</t>
  </si>
  <si>
    <t>T682</t>
  </si>
  <si>
    <r>
      <t>Effect of potassium application and straw returning on spring maize yield</t>
    </r>
    <r>
      <rPr>
        <sz val="11"/>
        <color theme="1"/>
        <rFont val="宋体"/>
        <family val="1"/>
        <charset val="134"/>
      </rPr>
      <t>，</t>
    </r>
    <r>
      <rPr>
        <sz val="11"/>
        <color theme="1"/>
        <rFont val="Times New Roman"/>
        <family val="1"/>
      </rPr>
      <t>nutrient absorption and soil potassium balance</t>
    </r>
    <phoneticPr fontId="2" type="noConversion"/>
  </si>
  <si>
    <t>Xie et al.</t>
    <phoneticPr fontId="2" type="noConversion"/>
  </si>
  <si>
    <t>Gongzhuling,Jilin</t>
    <phoneticPr fontId="2" type="noConversion"/>
  </si>
  <si>
    <t>black soil</t>
    <phoneticPr fontId="2" type="noConversion"/>
  </si>
  <si>
    <t>T683</t>
  </si>
  <si>
    <t>T684</t>
  </si>
  <si>
    <t>T685</t>
  </si>
  <si>
    <t>T686</t>
  </si>
  <si>
    <t>Effects of Straw Returning on Physicochemical Properties of Different Soil Types and Crop Yield</t>
    <phoneticPr fontId="2" type="noConversion"/>
  </si>
  <si>
    <t>Zhou et al.</t>
    <phoneticPr fontId="2" type="noConversion"/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</si>
  <si>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</si>
  <si>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</si>
  <si>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</si>
  <si>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</si>
  <si>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</si>
  <si>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</si>
  <si>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</si>
  <si>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</si>
  <si>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</si>
  <si>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</si>
  <si>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</si>
  <si>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</si>
  <si>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</si>
  <si>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</si>
  <si>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</si>
  <si>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</si>
  <si>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</si>
  <si>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</si>
  <si>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Bulletin of Agricultural Scienceand Technology</t>
    <phoneticPr fontId="2" type="noConversion"/>
  </si>
  <si>
    <t>2017-2020</t>
    <phoneticPr fontId="2" type="noConversion"/>
  </si>
  <si>
    <t>Linxi,Shandong</t>
    <phoneticPr fontId="2" type="noConversion"/>
  </si>
  <si>
    <t>alluvial soil</t>
    <phoneticPr fontId="2" type="noConversion"/>
  </si>
  <si>
    <t>brunisolic soil</t>
    <phoneticPr fontId="2" type="noConversion"/>
  </si>
  <si>
    <t>T705</t>
  </si>
  <si>
    <t>T706</t>
  </si>
  <si>
    <t>T707</t>
  </si>
  <si>
    <t>T708</t>
  </si>
  <si>
    <t>Scientific Reports</t>
    <phoneticPr fontId="2" type="noConversion"/>
  </si>
  <si>
    <t>2010-2011</t>
    <phoneticPr fontId="2" type="noConversion"/>
  </si>
  <si>
    <t>T709</t>
  </si>
  <si>
    <t>Effects of Returning Straw on Soil Nutrient Content and Enzyme Activity in Paddy Field in Hainan</t>
    <phoneticPr fontId="2" type="noConversion"/>
  </si>
  <si>
    <t>Qi et al.</t>
    <phoneticPr fontId="2" type="noConversion"/>
  </si>
  <si>
    <t>Chinese Journal of Tropical Agriculture</t>
    <phoneticPr fontId="2" type="noConversion"/>
  </si>
  <si>
    <t>Dingan,Hainan</t>
    <phoneticPr fontId="2" type="noConversion"/>
  </si>
  <si>
    <t>砂壤</t>
    <phoneticPr fontId="2" type="noConversion"/>
  </si>
  <si>
    <t>T710</t>
  </si>
  <si>
    <t>T711</t>
  </si>
  <si>
    <t>T712</t>
  </si>
  <si>
    <t>T713</t>
  </si>
  <si>
    <t>T714</t>
  </si>
  <si>
    <t>Effect of lime on biochar and humic acid controlling cadmium uptake in rice</t>
    <phoneticPr fontId="2" type="noConversion"/>
  </si>
  <si>
    <t>Peng et al.</t>
    <phoneticPr fontId="2" type="noConversion"/>
  </si>
  <si>
    <t>China Environmental Science</t>
    <phoneticPr fontId="2" type="noConversion"/>
  </si>
  <si>
    <t>Effect of biochar and liming on soil nitrous oxide emissions from a temperate maize cropping system</t>
    <phoneticPr fontId="2" type="noConversion"/>
  </si>
  <si>
    <t>T715</t>
  </si>
  <si>
    <t>T716</t>
  </si>
  <si>
    <t>Hüppi  et al.</t>
    <phoneticPr fontId="2" type="noConversion"/>
  </si>
  <si>
    <t>Soil</t>
    <phoneticPr fontId="2" type="noConversion"/>
  </si>
  <si>
    <t>Switzerland</t>
  </si>
  <si>
    <t xml:space="preserve"> Zurich</t>
    <phoneticPr fontId="2" type="noConversion"/>
  </si>
  <si>
    <t>EutricMollic Gleysol</t>
    <phoneticPr fontId="2" type="noConversion"/>
  </si>
  <si>
    <t>Tree pruning</t>
    <phoneticPr fontId="2" type="noConversion"/>
  </si>
  <si>
    <t>T717</t>
  </si>
  <si>
    <t>T718</t>
  </si>
  <si>
    <t>T719</t>
  </si>
  <si>
    <t>loessial soil</t>
  </si>
  <si>
    <t>Rhodic Haplustox</t>
    <phoneticPr fontId="2" type="noConversion"/>
  </si>
  <si>
    <t>Laterite and alluvial soils</t>
    <phoneticPr fontId="2" type="noConversion"/>
  </si>
  <si>
    <t>Typic Palexerults</t>
    <phoneticPr fontId="2" type="noConversion"/>
  </si>
  <si>
    <t>Gray Luvisol</t>
    <phoneticPr fontId="2" type="noConversion"/>
  </si>
  <si>
    <t>Orthic Gray Luvisol</t>
    <phoneticPr fontId="2" type="noConversion"/>
  </si>
  <si>
    <t>Fragipan</t>
    <phoneticPr fontId="2" type="noConversion"/>
  </si>
  <si>
    <t xml:space="preserve"> Triassic Red Sandstone</t>
    <phoneticPr fontId="2" type="noConversion"/>
  </si>
  <si>
    <t xml:space="preserve"> Typic Kanhapludult</t>
    <phoneticPr fontId="2" type="noConversion"/>
  </si>
  <si>
    <t>Haplic Regosol</t>
    <phoneticPr fontId="2" type="noConversion"/>
  </si>
  <si>
    <t>T720</t>
  </si>
  <si>
    <t>T721</t>
  </si>
  <si>
    <t>T722</t>
  </si>
  <si>
    <t>T723</t>
  </si>
  <si>
    <t>T724</t>
  </si>
  <si>
    <t>Effects of Manure and Organic Fertilizer Application on Soil Microbial Community Diversity in Paddy Fields</t>
    <phoneticPr fontId="2" type="noConversion"/>
  </si>
  <si>
    <t>Chongming,Shanghai</t>
    <phoneticPr fontId="2" type="noConversion"/>
  </si>
  <si>
    <t>Pig</t>
    <phoneticPr fontId="2" type="noConversion"/>
  </si>
  <si>
    <t>Organic fertilizer</t>
    <phoneticPr fontId="2" type="noConversion"/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</si>
  <si>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</si>
  <si>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</si>
  <si>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</si>
  <si>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</si>
  <si>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</si>
  <si>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</si>
  <si>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</si>
  <si>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</si>
  <si>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</si>
  <si>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Nanning,Guangxi</t>
    <phoneticPr fontId="2" type="noConversion"/>
  </si>
  <si>
    <t>T734</t>
  </si>
  <si>
    <t>T735</t>
  </si>
  <si>
    <t>T736</t>
  </si>
  <si>
    <t>T737</t>
  </si>
  <si>
    <t>Effects of Biochar and Lime on Yield, Soil Properties and Economic Benefit of Double Rice-cropping System</t>
    <phoneticPr fontId="2" type="noConversion"/>
  </si>
  <si>
    <t>Liao et al.</t>
    <phoneticPr fontId="2" type="noConversion"/>
  </si>
  <si>
    <t>China Rice</t>
    <phoneticPr fontId="2" type="noConversion"/>
  </si>
  <si>
    <t>Yichun,Jiangxi</t>
    <phoneticPr fontId="2" type="noConversion"/>
  </si>
  <si>
    <t>Liming effects of poultry litter derived biochar on soil acidity amelioration and maize growth</t>
    <phoneticPr fontId="2" type="noConversion"/>
  </si>
  <si>
    <t>T738</t>
  </si>
  <si>
    <t>T739</t>
  </si>
  <si>
    <t>T740</t>
  </si>
  <si>
    <t>T741</t>
  </si>
  <si>
    <t>T742</t>
  </si>
  <si>
    <t>T743</t>
  </si>
  <si>
    <t>T744</t>
  </si>
  <si>
    <t xml:space="preserve"> Masud et al.</t>
    <phoneticPr fontId="2" type="noConversion"/>
  </si>
  <si>
    <t>Chittagong</t>
    <phoneticPr fontId="2" type="noConversion"/>
  </si>
  <si>
    <t>Poultry litter</t>
  </si>
  <si>
    <t>Poultry litter</t>
    <phoneticPr fontId="2" type="noConversion"/>
  </si>
  <si>
    <t>T745</t>
  </si>
  <si>
    <t>T746</t>
  </si>
  <si>
    <t>T747</t>
  </si>
  <si>
    <t>T748</t>
  </si>
  <si>
    <t>T749</t>
  </si>
  <si>
    <t>Influence of Lime and Gypsum on Yield and Yield Components of Soybean and Changes in Soil Chemical Properties</t>
    <phoneticPr fontId="2" type="noConversion"/>
  </si>
  <si>
    <t>Fageria et al.</t>
    <phoneticPr fontId="2" type="noConversion"/>
  </si>
  <si>
    <t xml:space="preserve"> Santo Antônio de Goías</t>
    <phoneticPr fontId="2" type="noConversion"/>
  </si>
  <si>
    <t>Oxisol</t>
    <phoneticPr fontId="2" type="noConversion"/>
  </si>
  <si>
    <t>T750</t>
  </si>
  <si>
    <t>T751</t>
  </si>
  <si>
    <t>CK-Lime+OM</t>
    <phoneticPr fontId="2" type="noConversion"/>
  </si>
  <si>
    <t>Impact of Lime and Its Composite Application with Manure on Sugarcane Chlorosis</t>
    <phoneticPr fontId="2" type="noConversion"/>
  </si>
  <si>
    <t>Chinese Journal of Tropical Crops</t>
    <phoneticPr fontId="2" type="noConversion"/>
  </si>
  <si>
    <t>Sugarcane</t>
    <phoneticPr fontId="2" type="noConversion"/>
  </si>
  <si>
    <t>Chicken litter</t>
    <phoneticPr fontId="2" type="noConversion"/>
  </si>
  <si>
    <t>Canadian Journal of Soil Science</t>
    <phoneticPr fontId="2" type="noConversion"/>
  </si>
  <si>
    <t>Arshad et al.</t>
    <phoneticPr fontId="2" type="noConversion"/>
  </si>
  <si>
    <t>Field pea response to liming of an acid soil under two tillage systems</t>
    <phoneticPr fontId="2" type="noConversion"/>
  </si>
  <si>
    <t>T752</t>
  </si>
  <si>
    <t>Beaverlodge,  Albefta</t>
    <phoneticPr fontId="2" type="noConversion"/>
  </si>
  <si>
    <t>Gray  Luvisol</t>
    <phoneticPr fontId="2" type="noConversion"/>
  </si>
  <si>
    <t>pea</t>
    <phoneticPr fontId="2" type="noConversion"/>
  </si>
  <si>
    <t>T753</t>
  </si>
  <si>
    <t>T754</t>
  </si>
  <si>
    <t>T755</t>
  </si>
  <si>
    <t>T756</t>
  </si>
  <si>
    <t>Properties of a sandy clay loam Haplic Ferralsol and soybean grain yield in a five-year field trial as affected by biochar amendment</t>
    <phoneticPr fontId="2" type="noConversion"/>
  </si>
  <si>
    <t>Madari et al.</t>
    <phoneticPr fontId="2" type="noConversion"/>
  </si>
  <si>
    <t>1993-1995</t>
    <phoneticPr fontId="2" type="noConversion"/>
  </si>
  <si>
    <t>Geoderma</t>
    <phoneticPr fontId="2" type="noConversion"/>
  </si>
  <si>
    <t>2006-2013</t>
    <phoneticPr fontId="2" type="noConversion"/>
  </si>
  <si>
    <t>Nova Xavantina, Mato Grosso State</t>
    <phoneticPr fontId="2" type="noConversion"/>
  </si>
  <si>
    <t xml:space="preserve"> wood</t>
    <phoneticPr fontId="2" type="noConversion"/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</si>
  <si>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</si>
  <si>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</si>
  <si>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</si>
  <si>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</si>
  <si>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</si>
  <si>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</si>
  <si>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</si>
  <si>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</si>
  <si>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</si>
  <si>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Journal of Northwest A &amp;F University</t>
    <phoneticPr fontId="2" type="noConversion"/>
  </si>
  <si>
    <t>Effect of straw biochar on yellow soil physicochemical properties and comprehensive fertility</t>
    <phoneticPr fontId="2" type="noConversion"/>
  </si>
  <si>
    <t>Guizhou</t>
    <phoneticPr fontId="2" type="noConversion"/>
  </si>
  <si>
    <t>Impacts of biochar addition on rice yield and soil properties in a cold waterlogged paddy for two crop seasons</t>
    <phoneticPr fontId="2" type="noConversion"/>
  </si>
  <si>
    <t>T766</t>
  </si>
  <si>
    <t>T767</t>
  </si>
  <si>
    <t>T768</t>
  </si>
  <si>
    <t>T769</t>
  </si>
  <si>
    <t>T770</t>
  </si>
  <si>
    <t>T771</t>
  </si>
  <si>
    <t>Field Crops Research</t>
    <phoneticPr fontId="2" type="noConversion"/>
  </si>
  <si>
    <t>2011-2012</t>
    <phoneticPr fontId="2" type="noConversion"/>
  </si>
  <si>
    <t>Yiwu,Zhejiang</t>
    <phoneticPr fontId="2" type="noConversion"/>
  </si>
  <si>
    <t>gley paddy soil</t>
    <phoneticPr fontId="2" type="noConversion"/>
  </si>
  <si>
    <t>bamboo chips</t>
    <phoneticPr fontId="2" type="noConversion"/>
  </si>
  <si>
    <t>Alkaline biochar amendment increased soil pH, carbon, and crop yield</t>
    <phoneticPr fontId="2" type="noConversion"/>
  </si>
  <si>
    <t>Stephen et al.</t>
    <phoneticPr fontId="2" type="noConversion"/>
  </si>
  <si>
    <t>Ccrops &amp; Soils Magazine</t>
    <phoneticPr fontId="2" type="noConversion"/>
  </si>
  <si>
    <t>Oregon State</t>
    <phoneticPr fontId="2" type="noConversion"/>
  </si>
  <si>
    <t>Pea</t>
    <phoneticPr fontId="2" type="noConversion"/>
  </si>
  <si>
    <t>Douglasfir wood-waste</t>
    <phoneticPr fontId="2" type="noConversion"/>
  </si>
  <si>
    <t>T772</t>
  </si>
  <si>
    <t>T773</t>
  </si>
  <si>
    <t>T774</t>
  </si>
  <si>
    <t>T775</t>
  </si>
  <si>
    <t>T776</t>
  </si>
  <si>
    <t>T777</t>
  </si>
  <si>
    <t>Effect of Peanut Hull and Pine Chip Biochar on Soil Nutrients, Corn Nutrient Status, and Yield</t>
    <phoneticPr fontId="2" type="noConversion"/>
  </si>
  <si>
    <t>T778</t>
  </si>
  <si>
    <t>T779</t>
  </si>
  <si>
    <t>T780</t>
  </si>
  <si>
    <t>T781</t>
  </si>
  <si>
    <t>Julia et al.</t>
    <phoneticPr fontId="2" type="noConversion"/>
  </si>
  <si>
    <t xml:space="preserve">Agronomy Journal  </t>
    <phoneticPr fontId="2" type="noConversion"/>
  </si>
  <si>
    <t>2006-2007</t>
    <phoneticPr fontId="2" type="noConversion"/>
  </si>
  <si>
    <t xml:space="preserve">Georgia Coastal Plain Experiment Station near Tift </t>
    <phoneticPr fontId="2" type="noConversion"/>
  </si>
  <si>
    <t xml:space="preserve"> kaolinitic, thermic Plinthic Kandiudult</t>
    <phoneticPr fontId="2" type="noConversion"/>
  </si>
  <si>
    <t xml:space="preserve">Peanut Hull </t>
    <phoneticPr fontId="2" type="noConversion"/>
  </si>
  <si>
    <t>Pine Chip</t>
    <phoneticPr fontId="2" type="noConversion"/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</si>
  <si>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</si>
  <si>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</si>
  <si>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</si>
  <si>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</si>
  <si>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</si>
  <si>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</si>
  <si>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</si>
  <si>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</si>
  <si>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</si>
  <si>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</si>
  <si>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Effects of applying corn stalks on soil fertility, crop yield and quality of flue-cured tobacco</t>
    <phoneticPr fontId="2" type="noConversion"/>
  </si>
  <si>
    <t>CK-Lime+Straw</t>
    <phoneticPr fontId="2" type="noConversion"/>
  </si>
  <si>
    <t>Zhu et al.</t>
    <phoneticPr fontId="2" type="noConversion"/>
  </si>
  <si>
    <t>Tobacco Science &amp; Technology</t>
    <phoneticPr fontId="2" type="noConversion"/>
  </si>
  <si>
    <t>Zunyi,Guizhou</t>
    <phoneticPr fontId="2" type="noConversion"/>
  </si>
  <si>
    <t>T792</t>
  </si>
  <si>
    <t>Liming Positively Modulates Microbial Community Composition and Function of Sugarcane Fields</t>
    <phoneticPr fontId="2" type="noConversion"/>
  </si>
  <si>
    <t>Pang et al.</t>
    <phoneticPr fontId="2" type="noConversion"/>
  </si>
  <si>
    <t>Agronomy</t>
    <phoneticPr fontId="2" type="noConversion"/>
  </si>
  <si>
    <t>2016-2017</t>
    <phoneticPr fontId="2" type="noConversion"/>
  </si>
  <si>
    <t>Zhanjiang ,Guangdong</t>
    <phoneticPr fontId="2" type="noConversion"/>
  </si>
  <si>
    <t>The impact of long-term liming on soil organic carbon and aggregate stability in low-input acid soils</t>
    <phoneticPr fontId="2" type="noConversion"/>
  </si>
  <si>
    <t>T793</t>
  </si>
  <si>
    <t>T794</t>
  </si>
  <si>
    <t>T795</t>
  </si>
  <si>
    <t>T796</t>
  </si>
  <si>
    <t>T797</t>
  </si>
  <si>
    <t>T798</t>
  </si>
  <si>
    <t>Nang et al.</t>
    <phoneticPr fontId="2" type="noConversion"/>
  </si>
  <si>
    <t>Biol Fertil Soils</t>
    <phoneticPr fontId="2" type="noConversion"/>
  </si>
  <si>
    <t>1979-2013</t>
    <phoneticPr fontId="2" type="noConversion"/>
  </si>
  <si>
    <t>Australia</t>
    <phoneticPr fontId="2" type="noConversion"/>
  </si>
  <si>
    <t>Victoria, La Trobe</t>
    <phoneticPr fontId="2" type="noConversion"/>
  </si>
  <si>
    <t>408 mons</t>
    <phoneticPr fontId="2" type="noConversion"/>
  </si>
  <si>
    <t>Cereal, pasture and grain legumes</t>
    <phoneticPr fontId="2" type="noConversion"/>
  </si>
  <si>
    <t xml:space="preserve"> Sodosol</t>
    <phoneticPr fontId="2" type="noConversion"/>
  </si>
  <si>
    <t>T799</t>
  </si>
  <si>
    <t>T800</t>
  </si>
  <si>
    <t>vi</t>
    <phoneticPr fontId="2" type="noConversion"/>
  </si>
  <si>
    <t>SE-c</t>
    <phoneticPr fontId="2" type="noConversion"/>
  </si>
  <si>
    <t>SE-t</t>
    <phoneticPr fontId="2" type="noConversion"/>
  </si>
  <si>
    <t>lnR6</t>
    <phoneticPr fontId="2" type="noConversion"/>
  </si>
  <si>
    <t>Lat code</t>
    <phoneticPr fontId="2" type="noConversion"/>
  </si>
  <si>
    <t>Soil pH (H2O)</t>
    <phoneticPr fontId="2" type="noConversion"/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</si>
  <si>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</si>
  <si>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</si>
  <si>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</si>
  <si>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</si>
  <si>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</si>
  <si>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</si>
  <si>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</si>
  <si>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</si>
  <si>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</si>
  <si>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</si>
  <si>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</si>
  <si>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</si>
  <si>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</si>
  <si>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</si>
  <si>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</si>
  <si>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</si>
  <si>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</si>
  <si>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</si>
  <si>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</si>
  <si>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</si>
  <si>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</si>
  <si>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</si>
  <si>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</si>
  <si>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</si>
  <si>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</si>
  <si>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</si>
  <si>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</si>
  <si>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</si>
  <si>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</si>
  <si>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</si>
  <si>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</si>
  <si>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</si>
  <si>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</si>
  <si>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</si>
  <si>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</si>
  <si>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</si>
  <si>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</si>
  <si>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</si>
  <si>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</si>
  <si>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</si>
  <si>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</si>
  <si>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Effects of Lime Application on Soil pH, Rice Yield and Heavy Metal Accumulation in Paddy Field</t>
    <phoneticPr fontId="2" type="noConversion"/>
  </si>
  <si>
    <t>Pan Xiangyu</t>
    <phoneticPr fontId="2" type="noConversion"/>
  </si>
  <si>
    <t>Effects of applying lime to improve acidic soil on yield and quality of sugarcane</t>
    <phoneticPr fontId="2" type="noConversion"/>
  </si>
  <si>
    <t>He Yuanlan et al</t>
    <phoneticPr fontId="2" type="noConversion"/>
  </si>
  <si>
    <t>Effect of lime application on sweet potato yield and soil acidity and alkalinity</t>
    <phoneticPr fontId="2" type="noConversion"/>
  </si>
  <si>
    <t>Chen Shigao at al</t>
    <phoneticPr fontId="2" type="noConversion"/>
  </si>
  <si>
    <t>Study on application of lime in acidified soil of vegetable greenhouse</t>
    <phoneticPr fontId="2" type="noConversion"/>
  </si>
  <si>
    <t>Xue Bingjie</t>
    <phoneticPr fontId="2" type="noConversion"/>
  </si>
  <si>
    <t>Effects of Acidic Soil Conditioner on the Ginseng Planting Soil Properties and Ginseng Yield</t>
    <phoneticPr fontId="2" type="noConversion"/>
  </si>
  <si>
    <t>ZHAO Ying at al</t>
    <phoneticPr fontId="2" type="noConversion"/>
  </si>
  <si>
    <t>Application effect of lime in acid paddy field</t>
    <phoneticPr fontId="2" type="noConversion"/>
  </si>
  <si>
    <t>Fang Keming at al</t>
    <phoneticPr fontId="2" type="noConversion"/>
  </si>
  <si>
    <t>Effect of Continuous Application of Lime on Cd Forms in Cd Contaminated Soil and Cd Absorption by Rice and Wheat</t>
    <phoneticPr fontId="2" type="noConversion"/>
  </si>
  <si>
    <t>Huang Baihao at al</t>
    <phoneticPr fontId="2" type="noConversion"/>
  </si>
  <si>
    <t>Comparative test of different amounts of lime applied to watermelon</t>
    <phoneticPr fontId="2" type="noConversion"/>
  </si>
  <si>
    <t>Deng Zhongwang at al</t>
    <phoneticPr fontId="2" type="noConversion"/>
  </si>
  <si>
    <t>WEN Jiong at al</t>
    <phoneticPr fontId="2" type="noConversion"/>
  </si>
  <si>
    <t>Effect of lime dosage on physical and chemical properties of paddy soil with different acidity grades  The effect of yield</t>
    <phoneticPr fontId="2" type="noConversion"/>
  </si>
  <si>
    <t>Sun Yuping at al</t>
    <phoneticPr fontId="2" type="noConversion"/>
  </si>
  <si>
    <t>Effects of Different Acid Regulators on Yield and Quality of Soil and Vegetables</t>
    <phoneticPr fontId="2" type="noConversion"/>
  </si>
  <si>
    <t>Zhou Jia at al</t>
    <phoneticPr fontId="2" type="noConversion"/>
  </si>
  <si>
    <t>Absorption and Utilization of Arachis Calcium in Acidified Soil by Different Amendments  Effects of growth and development</t>
    <phoneticPr fontId="2" type="noConversion"/>
  </si>
  <si>
    <t>Yu tianyi at al</t>
    <phoneticPr fontId="2" type="noConversion"/>
  </si>
  <si>
    <t>Effects of Different Doses of Lime on Soil Nutrient Content and Rice Yield in Acidified Paddy Field</t>
    <phoneticPr fontId="2" type="noConversion"/>
  </si>
  <si>
    <t>Yang Jing at al</t>
    <phoneticPr fontId="2" type="noConversion"/>
  </si>
  <si>
    <t>Effects of quicklime and calcium magnesium phosphate application on late-season rice growth and grain cadmium uptake</t>
    <phoneticPr fontId="2" type="noConversion"/>
  </si>
  <si>
    <t xml:space="preserve">Journal of Anhui </t>
    <phoneticPr fontId="2" type="noConversion"/>
  </si>
  <si>
    <t>GUANGXI SUGAR INDUSTRY</t>
    <phoneticPr fontId="2" type="noConversion"/>
  </si>
  <si>
    <t>South China Agriculture</t>
    <phoneticPr fontId="2" type="noConversion"/>
  </si>
  <si>
    <t>Anhui Agricultural Journal</t>
    <phoneticPr fontId="2" type="noConversion"/>
  </si>
  <si>
    <t>GINSENG RESEARCH</t>
    <phoneticPr fontId="2" type="noConversion"/>
  </si>
  <si>
    <t>Soil and Fertilizer in China</t>
    <phoneticPr fontId="2" type="noConversion"/>
  </si>
  <si>
    <t>Hubei Agricultural Sciences</t>
    <phoneticPr fontId="2" type="noConversion"/>
  </si>
  <si>
    <t>Journal of Nuclear Agricultural Sciences</t>
    <phoneticPr fontId="2" type="noConversion"/>
  </si>
  <si>
    <t>2015.4-2015.10</t>
  </si>
  <si>
    <t>2017.3-2018.1</t>
  </si>
  <si>
    <t>2018.3-2018.11</t>
  </si>
  <si>
    <t>2017.6-2017.11</t>
  </si>
  <si>
    <t>2012-2015</t>
  </si>
  <si>
    <t>2015.6-2015.10</t>
  </si>
  <si>
    <t>2019.3-2019.6</t>
  </si>
  <si>
    <t>2014.2-2014.10</t>
  </si>
  <si>
    <t>2014 - 2017</t>
    <phoneticPr fontId="2" type="noConversion"/>
  </si>
  <si>
    <t>Guangxi</t>
    <phoneticPr fontId="2" type="noConversion"/>
  </si>
  <si>
    <t>Anhui</t>
    <phoneticPr fontId="2" type="noConversion"/>
  </si>
  <si>
    <t>Jilin</t>
    <phoneticPr fontId="2" type="noConversion"/>
  </si>
  <si>
    <t>Sichuan</t>
    <phoneticPr fontId="2" type="noConversion"/>
  </si>
  <si>
    <t>Hunan</t>
    <phoneticPr fontId="2" type="noConversion"/>
  </si>
  <si>
    <t>Hubei</t>
    <phoneticPr fontId="2" type="noConversion"/>
  </si>
  <si>
    <t>Shandong</t>
    <phoneticPr fontId="2" type="noConversion"/>
  </si>
  <si>
    <t>20-34</t>
  </si>
  <si>
    <t>250-350</t>
  </si>
  <si>
    <t>522-615</t>
  </si>
  <si>
    <t>900～1300</t>
  </si>
  <si>
    <t>900～1301</t>
  </si>
  <si>
    <t>900～1302</t>
  </si>
  <si>
    <t>900～1303</t>
  </si>
  <si>
    <t>300-500</t>
  </si>
  <si>
    <t>180-400</t>
  </si>
  <si>
    <t>200~300</t>
  </si>
  <si>
    <t>70-306</t>
  </si>
  <si>
    <t>21~23</t>
  </si>
  <si>
    <t>15-18.1</t>
  </si>
  <si>
    <t>16-18</t>
  </si>
  <si>
    <t>Field</t>
  </si>
  <si>
    <t>6 mons</t>
  </si>
  <si>
    <t>11 mons</t>
  </si>
  <si>
    <t>8 mons</t>
  </si>
  <si>
    <t>9 mons</t>
  </si>
  <si>
    <t>5 mons</t>
  </si>
  <si>
    <t>3 mons</t>
  </si>
  <si>
    <t>swamp rice</t>
  </si>
  <si>
    <t>cane</t>
  </si>
  <si>
    <t>sweetpotato</t>
  </si>
  <si>
    <t>capsicum</t>
  </si>
  <si>
    <t>ginseng</t>
  </si>
  <si>
    <t>rice-wheat double cropping</t>
  </si>
  <si>
    <t>watermelon</t>
  </si>
  <si>
    <t>rice</t>
  </si>
  <si>
    <t>Lettuce - white - lettuce</t>
  </si>
  <si>
    <t>peanut</t>
  </si>
  <si>
    <t xml:space="preserve"> 4. 66</t>
  </si>
  <si>
    <t>NA</t>
  </si>
  <si>
    <t>灰黄泥田</t>
  </si>
  <si>
    <t>水旱田</t>
  </si>
  <si>
    <t>yellow soil</t>
  </si>
  <si>
    <t>Shajiang black soil</t>
  </si>
  <si>
    <t>潮砂泥田</t>
  </si>
  <si>
    <t>rice soil</t>
  </si>
  <si>
    <t>planting soil</t>
  </si>
  <si>
    <t>9-12</t>
    <phoneticPr fontId="2" type="noConversion"/>
  </si>
  <si>
    <t xml:space="preserve"> CaO </t>
    <phoneticPr fontId="2" type="noConversion"/>
  </si>
  <si>
    <t>56. 62%</t>
  </si>
  <si>
    <t>＞25%</t>
  </si>
  <si>
    <t>＞75%</t>
  </si>
  <si>
    <t>T842</t>
  </si>
  <si>
    <t>T843</t>
  </si>
  <si>
    <t>T844</t>
  </si>
  <si>
    <t>T845</t>
  </si>
  <si>
    <t>rapeseed</t>
    <phoneticPr fontId="2" type="noConversion"/>
  </si>
  <si>
    <t>T846</t>
  </si>
  <si>
    <t>T847</t>
  </si>
  <si>
    <t>Effects of returning to field of sweet corn straw on soil fertility，yield and benefit</t>
    <phoneticPr fontId="2" type="noConversion"/>
  </si>
  <si>
    <t>T848</t>
  </si>
  <si>
    <t>T849</t>
  </si>
  <si>
    <t>T850</t>
  </si>
  <si>
    <t>T851</t>
  </si>
  <si>
    <t>T852</t>
  </si>
  <si>
    <t>T853</t>
  </si>
  <si>
    <t>CK-Straw+Manure</t>
    <phoneticPr fontId="2" type="noConversion"/>
  </si>
  <si>
    <t>Guangdong Agricultural Sciences</t>
    <phoneticPr fontId="2" type="noConversion"/>
  </si>
  <si>
    <t>2010-2013</t>
    <phoneticPr fontId="2" type="noConversion"/>
  </si>
  <si>
    <t>Huizhou,Guangdong</t>
    <phoneticPr fontId="2" type="noConversion"/>
  </si>
  <si>
    <t>Sweet corn</t>
    <phoneticPr fontId="2" type="noConversion"/>
  </si>
  <si>
    <t>Fluvisols</t>
    <phoneticPr fontId="2" type="noConversion"/>
  </si>
  <si>
    <t>sweet corn</t>
    <phoneticPr fontId="2" type="noConversion"/>
  </si>
  <si>
    <t>T854</t>
  </si>
  <si>
    <t>T855</t>
  </si>
  <si>
    <t>T856</t>
  </si>
  <si>
    <t>2015-2016</t>
    <phoneticPr fontId="2" type="noConversion"/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</si>
  <si>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</si>
  <si>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</si>
  <si>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</si>
  <si>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</si>
  <si>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</si>
  <si>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</si>
  <si>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</si>
  <si>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</si>
  <si>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</si>
  <si>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</si>
  <si>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</si>
  <si>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</si>
  <si>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</si>
  <si>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Variation of Active Aluminum Content in Tea Garden Soil with Manure Applied for 5 Years</t>
    <phoneticPr fontId="2" type="noConversion"/>
  </si>
  <si>
    <t>T870</t>
  </si>
  <si>
    <t>T871</t>
  </si>
  <si>
    <t>T872</t>
  </si>
  <si>
    <t>T873</t>
  </si>
  <si>
    <t>2009-2013</t>
    <phoneticPr fontId="2" type="noConversion"/>
  </si>
  <si>
    <t>Ferralsols</t>
    <phoneticPr fontId="2" type="noConversion"/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</si>
  <si>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</si>
  <si>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</si>
  <si>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</si>
  <si>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</si>
  <si>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</si>
  <si>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</si>
  <si>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</si>
  <si>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</si>
  <si>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</si>
  <si>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Anthrosols</t>
    <phoneticPr fontId="2" type="noConversion"/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</si>
  <si>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</si>
  <si>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</si>
  <si>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</si>
  <si>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</si>
  <si>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</si>
  <si>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</si>
  <si>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</si>
  <si>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</si>
  <si>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</si>
  <si>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</si>
  <si>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</si>
  <si>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Preliminary study on the effect of alkali residue and biomass ash combined application on acid soil</t>
    <phoneticPr fontId="2" type="noConversion"/>
  </si>
  <si>
    <t>CK-Biomass ash</t>
    <phoneticPr fontId="2" type="noConversion"/>
  </si>
  <si>
    <t>CK-Alkaline slag+Biomass ash</t>
    <phoneticPr fontId="2" type="noConversion"/>
  </si>
  <si>
    <t>South China Fruits</t>
    <phoneticPr fontId="2" type="noConversion"/>
  </si>
  <si>
    <t>4 mons</t>
  </si>
  <si>
    <t>Alkaline slag+Biomass ash</t>
    <phoneticPr fontId="2" type="noConversion"/>
  </si>
  <si>
    <t>Biomass ash</t>
    <phoneticPr fontId="2" type="noConversion"/>
  </si>
  <si>
    <t>T894</t>
  </si>
  <si>
    <t>T895</t>
  </si>
  <si>
    <t>T896</t>
  </si>
  <si>
    <t>T897</t>
  </si>
  <si>
    <t>Effect of different dosage of tea residue organic fertilizer on yield and quality of H60 cabbage</t>
    <phoneticPr fontId="2" type="noConversion"/>
  </si>
  <si>
    <t>Effect of different dosage of tea residue organic fertilizer on yield and quality of H61 cabbage</t>
  </si>
  <si>
    <t>Effect of different dosage of tea residue organic fertilizer on yield and quality of H62 cabbage</t>
  </si>
  <si>
    <t>Effect of different dosage of tea residue organic fertilizer on yield and quality of H63 cabbage</t>
  </si>
  <si>
    <t>cabbage</t>
    <phoneticPr fontId="2" type="noConversion"/>
  </si>
  <si>
    <t xml:space="preserve"> Vegetables</t>
    <phoneticPr fontId="2" type="noConversion"/>
  </si>
  <si>
    <t>Xu et al.</t>
    <phoneticPr fontId="2" type="noConversion"/>
  </si>
  <si>
    <t>Tea residue</t>
    <phoneticPr fontId="2" type="noConversion"/>
  </si>
  <si>
    <t>T898</t>
  </si>
  <si>
    <t>T899</t>
  </si>
  <si>
    <t>T900</t>
  </si>
  <si>
    <t>T901</t>
  </si>
  <si>
    <t>Effects of biochar fertilizer on leaf nutrition and fruit quality of the apple in semi-arid regions</t>
    <phoneticPr fontId="2" type="noConversion"/>
  </si>
  <si>
    <t>Journal of Gansu Agricultural University</t>
    <phoneticPr fontId="2" type="noConversion"/>
  </si>
  <si>
    <t>Longdong, Gansu</t>
    <phoneticPr fontId="2" type="noConversion"/>
  </si>
  <si>
    <t>Cambisol</t>
  </si>
  <si>
    <t>KCl</t>
    <phoneticPr fontId="2" type="noConversion"/>
  </si>
  <si>
    <t>The effect of biochar, lime and ash on maize yield in along-term field trial in a Ultisol in the humid tropics</t>
    <phoneticPr fontId="2" type="noConversion"/>
  </si>
  <si>
    <t>T902</t>
  </si>
  <si>
    <t>T903</t>
  </si>
  <si>
    <t>T904</t>
  </si>
  <si>
    <t>Effects of different fertilization measures on Menghai Daye tea yield and quality</t>
    <phoneticPr fontId="2" type="noConversion"/>
  </si>
  <si>
    <t>Soil and Fertilizer Sciences in China</t>
    <phoneticPr fontId="2" type="noConversion"/>
  </si>
  <si>
    <t>2018-2019</t>
    <phoneticPr fontId="2" type="noConversion"/>
  </si>
  <si>
    <t>Menghai, Yunnan</t>
    <phoneticPr fontId="2" type="noConversion"/>
  </si>
  <si>
    <t>Effects of different modifiers on improvement of acid soils WEI</t>
    <phoneticPr fontId="2" type="noConversion"/>
  </si>
  <si>
    <t>T905</t>
  </si>
  <si>
    <t>T906</t>
  </si>
  <si>
    <t>T907</t>
  </si>
  <si>
    <t>T908</t>
  </si>
  <si>
    <t>T909</t>
  </si>
  <si>
    <t>T910</t>
  </si>
  <si>
    <t>T911</t>
  </si>
  <si>
    <t>CK-Soda manufactory</t>
    <phoneticPr fontId="2" type="noConversion"/>
  </si>
  <si>
    <t>CK-Mushroom compost</t>
    <phoneticPr fontId="2" type="noConversion"/>
  </si>
  <si>
    <t>CK-Sludge</t>
    <phoneticPr fontId="2" type="noConversion"/>
  </si>
  <si>
    <t>CK-Turf</t>
    <phoneticPr fontId="2" type="noConversion"/>
  </si>
  <si>
    <t>CK-Soda manufactory+Mushroom compost</t>
    <phoneticPr fontId="2" type="noConversion"/>
  </si>
  <si>
    <t>CK-Soda manufactory+Sludge</t>
    <phoneticPr fontId="2" type="noConversion"/>
  </si>
  <si>
    <t>CK-Soda manufactory+Turf</t>
    <phoneticPr fontId="2" type="noConversion"/>
  </si>
  <si>
    <t xml:space="preserve">Effects of different modifiers on improvement of acid soils </t>
    <phoneticPr fontId="2" type="noConversion"/>
  </si>
  <si>
    <t xml:space="preserve">Journal of Hunan Agricultural University </t>
    <phoneticPr fontId="2" type="noConversion"/>
  </si>
  <si>
    <t>Soda manufactory</t>
    <phoneticPr fontId="2" type="noConversion"/>
  </si>
  <si>
    <t>Mushroom compost</t>
    <phoneticPr fontId="2" type="noConversion"/>
  </si>
  <si>
    <t>Turf</t>
    <phoneticPr fontId="2" type="noConversion"/>
  </si>
  <si>
    <t>Sludge</t>
    <phoneticPr fontId="2" type="noConversion"/>
  </si>
  <si>
    <t>Soda manufactory+Mushroom compost</t>
    <phoneticPr fontId="2" type="noConversion"/>
  </si>
  <si>
    <t>Soda manufactory+Sludge</t>
    <phoneticPr fontId="2" type="noConversion"/>
  </si>
  <si>
    <t>Soda manufactory+Turf</t>
    <phoneticPr fontId="2" type="noConversion"/>
  </si>
  <si>
    <t>T912</t>
  </si>
  <si>
    <t>T913</t>
  </si>
  <si>
    <t>T914</t>
  </si>
  <si>
    <t>T915</t>
  </si>
  <si>
    <t>T916</t>
  </si>
  <si>
    <t>T917</t>
  </si>
  <si>
    <t>T918</t>
  </si>
  <si>
    <t>Manure application increased crop yields by promoting nitrogen use efficiency in the soils of 40‑year soybean‑maize rotation</t>
    <phoneticPr fontId="2" type="noConversion"/>
  </si>
  <si>
    <t>Manure application increased crop yields by promoting nitrogen use efficiency in the soils of 41‑year soybean‑maize rotation</t>
  </si>
  <si>
    <t>Manure application increased crop yields by promoting nitrogen use efficiency in the soils of 42‑year soybean‑maize rotation</t>
  </si>
  <si>
    <t>Manure application increased crop yields by promoting nitrogen use efficiency in the soils of 43‑year soybean‑maize rotation</t>
  </si>
  <si>
    <t>Hua et al.</t>
    <phoneticPr fontId="2" type="noConversion"/>
  </si>
  <si>
    <t>Lianning, Shenyang</t>
    <phoneticPr fontId="2" type="noConversion"/>
  </si>
  <si>
    <t>26 mons</t>
  </si>
  <si>
    <t>Soybean</t>
  </si>
  <si>
    <t>T919</t>
  </si>
  <si>
    <t>Effects of Different Amendments on Agregate and Water Content of Loam Soi in Dryland Apple Orchard</t>
    <phoneticPr fontId="2" type="noConversion"/>
  </si>
  <si>
    <t>Yanan, Shanxi</t>
    <phoneticPr fontId="2" type="noConversion"/>
  </si>
  <si>
    <t>Yellow loamy soil</t>
    <phoneticPr fontId="2" type="noConversion"/>
  </si>
  <si>
    <t>Apple branch</t>
    <phoneticPr fontId="2" type="noConversion"/>
  </si>
  <si>
    <t>T920</t>
  </si>
  <si>
    <t>T921</t>
  </si>
  <si>
    <t>T922</t>
  </si>
  <si>
    <t>T923</t>
  </si>
  <si>
    <t>T924</t>
  </si>
  <si>
    <t>Effects of cow dung and biochar on root growth, soil properties and nitrogen utilization of apple</t>
    <phoneticPr fontId="2" type="noConversion"/>
  </si>
  <si>
    <t>Jinan, Shandong</t>
    <phoneticPr fontId="2" type="noConversion"/>
  </si>
  <si>
    <t>8 mons</t>
    <phoneticPr fontId="2" type="noConversion"/>
  </si>
  <si>
    <t>cow dung</t>
    <phoneticPr fontId="2" type="noConversion"/>
  </si>
  <si>
    <t>wood</t>
    <phoneticPr fontId="2" type="noConversion"/>
  </si>
  <si>
    <t>T925</t>
  </si>
  <si>
    <t>T926</t>
  </si>
  <si>
    <t>T927</t>
  </si>
  <si>
    <t>T928</t>
  </si>
  <si>
    <t>T929</t>
  </si>
  <si>
    <t>T930</t>
  </si>
  <si>
    <t>T931</t>
  </si>
  <si>
    <t>T932</t>
  </si>
  <si>
    <t>Puer, Yunan</t>
    <phoneticPr fontId="2" type="noConversion"/>
  </si>
  <si>
    <t>156 mons</t>
    <phoneticPr fontId="2" type="noConversion"/>
  </si>
  <si>
    <t>2006-2019</t>
    <phoneticPr fontId="2" type="noConversion"/>
  </si>
  <si>
    <t>commercial</t>
    <phoneticPr fontId="2" type="noConversion"/>
  </si>
  <si>
    <t>T933</t>
  </si>
  <si>
    <t>Influence of Soil Amendments on the Growth and
Yield of Rice in Acidic Soil</t>
    <phoneticPr fontId="2" type="noConversion"/>
  </si>
  <si>
    <t>Nur et al.</t>
    <phoneticPr fontId="2" type="noConversion"/>
  </si>
  <si>
    <t xml:space="preserve"> Segantang Garam, Kota Kuala Muda</t>
    <phoneticPr fontId="2" type="noConversion"/>
  </si>
  <si>
    <t>Malaysia</t>
    <phoneticPr fontId="2" type="noConversion"/>
  </si>
  <si>
    <t>Magnesium limestone</t>
    <phoneticPr fontId="2" type="noConversion"/>
  </si>
  <si>
    <t>Empty Fruit Bunches</t>
    <phoneticPr fontId="2" type="noConversion"/>
  </si>
  <si>
    <t>Compost</t>
    <phoneticPr fontId="2" type="noConversion"/>
  </si>
  <si>
    <t>T934</t>
  </si>
  <si>
    <t xml:space="preserve"> Pakistan</t>
  </si>
  <si>
    <t>T935</t>
  </si>
  <si>
    <t>T936</t>
  </si>
  <si>
    <t>T937</t>
  </si>
  <si>
    <t>T938</t>
  </si>
  <si>
    <t>Effects of Peanut Husk Biochar on Absorption of Cd in Lettuce and Soil pH</t>
    <phoneticPr fontId="2" type="noConversion"/>
  </si>
  <si>
    <t>Anhui Agri.Sci.Bull</t>
    <phoneticPr fontId="2" type="noConversion"/>
  </si>
  <si>
    <t>Haikou, Hainan</t>
    <phoneticPr fontId="2" type="noConversion"/>
  </si>
  <si>
    <t>Lettuce</t>
    <phoneticPr fontId="2" type="noConversion"/>
  </si>
  <si>
    <t>peanut shell</t>
    <phoneticPr fontId="2" type="noConversion"/>
  </si>
  <si>
    <t>T939</t>
  </si>
  <si>
    <t>T940</t>
  </si>
  <si>
    <t>T941</t>
  </si>
  <si>
    <t>CK- Lime</t>
    <phoneticPr fontId="2" type="noConversion"/>
  </si>
  <si>
    <t>CK- Biochar+Lime</t>
    <phoneticPr fontId="2" type="noConversion"/>
  </si>
  <si>
    <t>Yuebei,Guangdong</t>
    <phoneticPr fontId="2" type="noConversion"/>
  </si>
  <si>
    <t xml:space="preserve">Effects of blended amendment (biochar + lime) on pH, available Cd in paddy soiland, Cd content in brown rice
</t>
    <phoneticPr fontId="2" type="noConversion"/>
  </si>
  <si>
    <t>T942</t>
  </si>
  <si>
    <t>T943</t>
  </si>
  <si>
    <t>T944</t>
  </si>
  <si>
    <t>T945</t>
  </si>
  <si>
    <t>Integrated use of lime with Mg fertilizer significantly improves the pomelo
yield, quality, economic returns and soil physicochemical properties under
acidic soil of southern China</t>
    <phoneticPr fontId="2" type="noConversion"/>
  </si>
  <si>
    <t>Pinghe, Fujian</t>
    <phoneticPr fontId="2" type="noConversion"/>
  </si>
  <si>
    <t>Scientia Horticulturae</t>
    <phoneticPr fontId="2" type="noConversion"/>
  </si>
  <si>
    <t>Citrus</t>
    <phoneticPr fontId="2" type="noConversion"/>
  </si>
  <si>
    <t>Effect of lime application on characteristics of magnesium adsorption-desorption in acid soil of orchard</t>
    <phoneticPr fontId="2" type="noConversion"/>
  </si>
  <si>
    <t>T946</t>
  </si>
  <si>
    <t>T947</t>
  </si>
  <si>
    <t>T948</t>
  </si>
  <si>
    <t>T949</t>
  </si>
  <si>
    <t>Soils and Fertilizers Sciences in China</t>
    <phoneticPr fontId="2" type="noConversion"/>
  </si>
  <si>
    <t>Integrated use of lime with Mg fertilizer significantly improves the pomelo yield, quality, economic returns and soil physicochemical properties under acidic soil of southern China</t>
    <phoneticPr fontId="2" type="noConversion"/>
  </si>
  <si>
    <t>T950</t>
  </si>
  <si>
    <t>T951</t>
  </si>
  <si>
    <t>T952</t>
  </si>
  <si>
    <t>Lime and/or Phosphate Application Affects the Stability of Soil Organic Carbon: Evidence from Changes in Quantity and Chemistry of the Soil Water-Extractable Organic Matter</t>
    <phoneticPr fontId="2" type="noConversion"/>
  </si>
  <si>
    <t>Environ. Sci. Technol.</t>
    <phoneticPr fontId="2" type="noConversion"/>
  </si>
  <si>
    <t>Hawera, Taranaki</t>
    <phoneticPr fontId="2" type="noConversion"/>
  </si>
  <si>
    <t>New Zealand</t>
    <phoneticPr fontId="2" type="noConversion"/>
  </si>
  <si>
    <t xml:space="preserve"> sil-andic Andosol</t>
    <phoneticPr fontId="2" type="noConversion"/>
  </si>
  <si>
    <t>T953</t>
  </si>
  <si>
    <t>T954</t>
  </si>
  <si>
    <t>T955</t>
  </si>
  <si>
    <t>CK- Phosphogypsum+Lime</t>
    <phoneticPr fontId="2" type="noConversion"/>
  </si>
  <si>
    <t>Impact of Amendments on the Physical Properties of Soil under Tropical Long-Term No Till Conditions</t>
    <phoneticPr fontId="2" type="noConversion"/>
  </si>
  <si>
    <t>Antonio et al.</t>
    <phoneticPr fontId="2" type="noConversion"/>
  </si>
  <si>
    <t>Plos One</t>
    <phoneticPr fontId="2" type="noConversion"/>
  </si>
  <si>
    <t>Botucatu, SP</t>
    <phoneticPr fontId="2" type="noConversion"/>
  </si>
  <si>
    <t xml:space="preserve">Brazil </t>
    <phoneticPr fontId="2" type="noConversion"/>
  </si>
  <si>
    <t>kaolinitic, thermic Typic Haplorthox</t>
    <phoneticPr fontId="2" type="noConversion"/>
  </si>
  <si>
    <t>phosphogypsum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</si>
  <si>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</si>
  <si>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</si>
  <si>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</si>
  <si>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</si>
  <si>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</si>
  <si>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</si>
  <si>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</si>
  <si>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</si>
  <si>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</si>
  <si>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</si>
  <si>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</si>
  <si>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</si>
  <si>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</si>
  <si>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</si>
  <si>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</si>
  <si>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</si>
  <si>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Chemically and biologically-mediated fertilizing value of manure-derived biochar</t>
    <phoneticPr fontId="2" type="noConversion"/>
  </si>
  <si>
    <t>Subedi et al.</t>
    <phoneticPr fontId="2" type="noConversion"/>
  </si>
  <si>
    <t>Grugliasco, Italy</t>
    <phoneticPr fontId="2" type="noConversion"/>
  </si>
  <si>
    <t xml:space="preserve"> Italy</t>
  </si>
  <si>
    <t>5 mons</t>
    <phoneticPr fontId="2" type="noConversion"/>
  </si>
  <si>
    <t xml:space="preserve">Ryegrass </t>
    <phoneticPr fontId="2" type="noConversion"/>
  </si>
  <si>
    <t xml:space="preserve">Alfisol </t>
    <phoneticPr fontId="2" type="noConversion"/>
  </si>
  <si>
    <t>Entisol</t>
  </si>
  <si>
    <t>wood chip</t>
  </si>
  <si>
    <t>swine manure</t>
  </si>
  <si>
    <t>T972</t>
  </si>
  <si>
    <t>T973</t>
  </si>
  <si>
    <t>T974</t>
  </si>
  <si>
    <t>T975</t>
  </si>
  <si>
    <t>T976</t>
  </si>
  <si>
    <t>T977</t>
  </si>
  <si>
    <t>T978</t>
  </si>
  <si>
    <t>T979</t>
  </si>
  <si>
    <t xml:space="preserve">Field Crops Research </t>
    <phoneticPr fontId="2" type="noConversion"/>
  </si>
  <si>
    <t>T980</t>
  </si>
  <si>
    <t>T981</t>
  </si>
  <si>
    <t>T982</t>
  </si>
  <si>
    <t>Soil nematode community and crop productivity in response to 5-year biochar and manure addition to yellow cinnamon soil</t>
    <phoneticPr fontId="2" type="noConversion"/>
  </si>
  <si>
    <t>Soil nematode community and crop productivity in response to 6-year biochar and manure addition to yellow cinnamon soil</t>
  </si>
  <si>
    <t>Soil nematode community and crop productivity in response to 7-year biochar and manure addition to yellow cinnamon soil</t>
  </si>
  <si>
    <t>BMC Ecology</t>
    <phoneticPr fontId="2" type="noConversion"/>
  </si>
  <si>
    <t>2012-2017</t>
    <phoneticPr fontId="2" type="noConversion"/>
  </si>
  <si>
    <t>Nanyang, Henan</t>
    <phoneticPr fontId="2" type="noConversion"/>
  </si>
  <si>
    <t>Xanthic Ali-Udic Cambosols</t>
    <phoneticPr fontId="2" type="noConversion"/>
  </si>
  <si>
    <t>Peanut shell biochar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</si>
  <si>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</si>
  <si>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</si>
  <si>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</si>
  <si>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</si>
  <si>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</si>
  <si>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</si>
  <si>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</si>
  <si>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</si>
  <si>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</si>
  <si>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</si>
  <si>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</si>
  <si>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</si>
  <si>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</si>
  <si>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</si>
  <si>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</si>
  <si>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</si>
  <si>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Influences of rice straw biochar and organic manure on forage soybean nutrient and Cd uptake</t>
    <phoneticPr fontId="2" type="noConversion"/>
  </si>
  <si>
    <t xml:space="preserve">International Journal of Phytoremediation </t>
    <phoneticPr fontId="2" type="noConversion"/>
  </si>
  <si>
    <t>Tangshan,Jiangsu</t>
    <phoneticPr fontId="2" type="noConversion"/>
  </si>
  <si>
    <t>Responses of methane emissions and rice yield to applications of biochar and straw in a paddy field</t>
    <phoneticPr fontId="2" type="noConversion"/>
  </si>
  <si>
    <t>Dong et al.</t>
    <phoneticPr fontId="2" type="noConversion"/>
  </si>
  <si>
    <t>T999</t>
  </si>
  <si>
    <t>T1000</t>
  </si>
  <si>
    <t>T1001</t>
  </si>
  <si>
    <t>T1002</t>
  </si>
  <si>
    <t>T1003</t>
  </si>
  <si>
    <t>T1004</t>
  </si>
  <si>
    <t xml:space="preserve">J Soils Sediments </t>
    <phoneticPr fontId="2" type="noConversion"/>
  </si>
  <si>
    <t>bamboo</t>
    <phoneticPr fontId="2" type="noConversion"/>
  </si>
  <si>
    <t>T1005</t>
  </si>
  <si>
    <t>T1006</t>
  </si>
  <si>
    <t>T1007</t>
  </si>
  <si>
    <t>Effects of Different Fertilizer Application on Calcium Activation, Yield and Quality of Peanut in Acidic Soil</t>
    <phoneticPr fontId="2" type="noConversion"/>
  </si>
  <si>
    <t>Weihai, Shandong</t>
    <phoneticPr fontId="2" type="noConversion"/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</si>
  <si>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</si>
  <si>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</si>
  <si>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</si>
  <si>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</si>
  <si>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</si>
  <si>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</si>
  <si>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</si>
  <si>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</si>
  <si>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</si>
  <si>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</si>
  <si>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</si>
  <si>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</si>
  <si>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Biochar addition persistently increased soil fertility and yields in maize- soybean rotations over 10 years in sub-humid regions of Kenya</t>
    <phoneticPr fontId="2" type="noConversion"/>
  </si>
  <si>
    <t>Biochar addition persistently increased soil fertility and yields in maize- soybean rotations over 11 years in sub-humid regions of Kenya</t>
  </si>
  <si>
    <t>Biochar addition persistently increased soil fertility and yields in maize- soybean rotations over 12 years in sub-humid regions of Kenya</t>
  </si>
  <si>
    <t>Biochar addition persistently increased soil fertility and yields in maize- soybean rotations over 13 years in sub-humid regions of Kenya</t>
  </si>
  <si>
    <t>Biochar addition persistently increased soil fertility and yields in maize- soybean rotations over 14 years in sub-humid regions of Kenya</t>
  </si>
  <si>
    <t>Biochar addition persistently increased soil fertility and yields in maize- soybean rotations over 15 years in sub-humid regions of Kenya</t>
  </si>
  <si>
    <t>Biochar addition persistently increased soil fertility and yields in maize- soybean rotations over 16 years in sub-humid regions of Kenya</t>
  </si>
  <si>
    <t>Biochar addition persistently increased soil fertility and yields in maize- soybean rotations over 17 years in sub-humid regions of Kenya</t>
  </si>
  <si>
    <t>Biochar addition persistently increased soil fertility and yields in maize- soybean rotations over 18 years in sub-humid regions of Kenya</t>
  </si>
  <si>
    <t>Biochar addition persistently increased soil fertility and yields in maize- soybean rotations over 19 years in sub-humid regions of Kenya</t>
  </si>
  <si>
    <t>Biochar addition persistently increased soil fertility and yields in maize- soybean rotations over 20 years in sub-humid regions of Kenya</t>
  </si>
  <si>
    <t>Biochar addition persistently increased soil fertility and yields in maize- soybean rotations over 21 years in sub-humid regions of Kenya</t>
  </si>
  <si>
    <t>Thomas et al.</t>
    <phoneticPr fontId="2" type="noConversion"/>
  </si>
  <si>
    <t>2006-2015</t>
    <phoneticPr fontId="2" type="noConversion"/>
  </si>
  <si>
    <t>Kibugu</t>
  </si>
  <si>
    <t>Nyabeda</t>
  </si>
  <si>
    <t>Siaya</t>
  </si>
  <si>
    <t>Kenya</t>
    <phoneticPr fontId="2" type="noConversion"/>
  </si>
  <si>
    <t>120 mons</t>
    <phoneticPr fontId="2" type="noConversion"/>
  </si>
  <si>
    <t>Wood</t>
    <phoneticPr fontId="2" type="noConversion"/>
  </si>
  <si>
    <t>Glesolys</t>
    <phoneticPr fontId="2" type="noConversion"/>
  </si>
  <si>
    <t>T1020</t>
  </si>
  <si>
    <t>T1021</t>
  </si>
  <si>
    <t>T1022</t>
  </si>
  <si>
    <t>T1023</t>
  </si>
  <si>
    <t>T1024</t>
  </si>
  <si>
    <t>T1025</t>
  </si>
  <si>
    <t>Effects of biochar amendment on soil quality, crop yield and greenhouse gas emission in a Chinese rice paddy: A field study of 2 consecutive rice growing cycles</t>
    <phoneticPr fontId="2" type="noConversion"/>
  </si>
  <si>
    <t>Effects of biochar amendment on soil quality, crop yield and greenhouse gas emission in a Chinese rice paddy: A field study of 3 consecutive rice growing cycles</t>
  </si>
  <si>
    <t>Effects of biochar amendment on soil quality, crop yield and greenhouse gas emission in a Chinese rice paddy: A field study of 4 consecutive rice growing cycles</t>
  </si>
  <si>
    <t>Effects of biochar amendment on soil quality, crop yield and greenhouse gas emission in a Chinese rice paddy: A field study of 5 consecutive rice growing cycles</t>
  </si>
  <si>
    <t>Effects of biochar amendment on soil quality, crop yield and greenhouse gas emission in a Chinese rice paddy: A field study of 6 consecutive rice growing cycles</t>
  </si>
  <si>
    <t>Effects of biochar amendment on soil quality, crop yield and greenhouse gas emission in a Chinese rice paddy: A field study of 7 consecutive rice growing cycles</t>
  </si>
  <si>
    <t>2019-2010</t>
    <phoneticPr fontId="2" type="noConversion"/>
  </si>
  <si>
    <t>Yixing, Jiangsu</t>
    <phoneticPr fontId="2" type="noConversion"/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</si>
  <si>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</si>
  <si>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</si>
  <si>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</si>
  <si>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</si>
  <si>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</si>
  <si>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</si>
  <si>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</si>
  <si>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</si>
  <si>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Effect of biochar amendment on yield and methane and nitrous oxide emissions from a rice paddy from Tai Lake plain, China</t>
    <phoneticPr fontId="2" type="noConversion"/>
  </si>
  <si>
    <t>Rate</t>
    <phoneticPr fontId="2" type="noConversion"/>
  </si>
  <si>
    <t>Volume</t>
    <phoneticPr fontId="2" type="noConversion"/>
  </si>
  <si>
    <t>Price</t>
    <phoneticPr fontId="2" type="noConversion"/>
  </si>
  <si>
    <t>Fluvisols</t>
  </si>
  <si>
    <t>Ferralsols</t>
  </si>
  <si>
    <t>Anthrosols</t>
  </si>
  <si>
    <t>Luvisols</t>
  </si>
  <si>
    <t>Price/Yii</t>
    <phoneticPr fontId="2" type="noConversion"/>
  </si>
  <si>
    <t>Yii</t>
    <phoneticPr fontId="2" type="noConversion"/>
  </si>
  <si>
    <t>Price1</t>
    <phoneticPr fontId="2" type="noConversion"/>
  </si>
  <si>
    <t>Rank</t>
    <phoneticPr fontId="2" type="noConversion"/>
  </si>
  <si>
    <t>code1</t>
    <phoneticPr fontId="2" type="noConversion"/>
  </si>
  <si>
    <t>effectsize1</t>
  </si>
  <si>
    <t>Lat</t>
    <phoneticPr fontId="2" type="noConversion"/>
  </si>
  <si>
    <t>Alkalinity_cmol/kg</t>
    <phoneticPr fontId="2" type="noConversion"/>
  </si>
  <si>
    <t>CaCO3_g/kg</t>
    <phoneticPr fontId="2" type="noConversion"/>
  </si>
  <si>
    <t>CaCO3 equivalent</t>
    <phoneticPr fontId="2" type="noConversion"/>
  </si>
  <si>
    <r>
      <rPr>
        <sz val="12"/>
        <color rgb="FFFF0000"/>
        <rFont val="Segoe UI Symbol"/>
        <family val="2"/>
      </rPr>
      <t>△</t>
    </r>
    <r>
      <rPr>
        <sz val="12"/>
        <color rgb="FFFF0000"/>
        <rFont val="Times New Roman"/>
        <family val="1"/>
      </rPr>
      <t>BD</t>
    </r>
    <phoneticPr fontId="2" type="noConversion"/>
  </si>
  <si>
    <r>
      <rPr>
        <sz val="12"/>
        <color theme="1"/>
        <rFont val="Segoe UI Symbol"/>
        <family val="1"/>
      </rPr>
      <t>△</t>
    </r>
    <r>
      <rPr>
        <sz val="12"/>
        <color theme="1"/>
        <rFont val="Times New Roman"/>
        <family val="1"/>
      </rPr>
      <t>Y</t>
    </r>
    <phoneticPr fontId="2" type="noConversion"/>
  </si>
  <si>
    <t>Manure rate</t>
    <phoneticPr fontId="2" type="noConversion"/>
  </si>
  <si>
    <t>biochar rate</t>
    <phoneticPr fontId="2" type="noConversion"/>
  </si>
  <si>
    <t>pyrolysis temperature</t>
  </si>
  <si>
    <t>alkalinity_cmol/kg</t>
  </si>
  <si>
    <t>CaCO3_%</t>
    <phoneticPr fontId="2" type="noConversion"/>
  </si>
  <si>
    <t>straw rate</t>
    <phoneticPr fontId="2" type="noConversion"/>
  </si>
  <si>
    <t>water content _%</t>
    <phoneticPr fontId="2" type="noConversion"/>
  </si>
  <si>
    <t>ash _%</t>
    <phoneticPr fontId="2" type="noConversion"/>
  </si>
  <si>
    <t>TC _g/kg</t>
    <phoneticPr fontId="2" type="noConversion"/>
  </si>
  <si>
    <t>TN_g/kg)</t>
    <phoneticPr fontId="2" type="noConversion"/>
  </si>
  <si>
    <t>byproduct rate</t>
    <phoneticPr fontId="2" type="noConversion"/>
  </si>
  <si>
    <t>byproduct</t>
    <phoneticPr fontId="7" type="noConversion"/>
  </si>
  <si>
    <t>alkalinity_cmol/kg</t>
    <phoneticPr fontId="2" type="noConversion"/>
  </si>
  <si>
    <t>Cambisols&amp;Regosols</t>
  </si>
  <si>
    <t>Phaozems</t>
  </si>
  <si>
    <t>Soil type code</t>
    <phoneticPr fontId="39" type="noConversion"/>
  </si>
  <si>
    <t>Clay</t>
  </si>
  <si>
    <t>Loam</t>
  </si>
  <si>
    <t>Sandy</t>
  </si>
  <si>
    <t>Tropical</t>
  </si>
  <si>
    <t>Subtropical-Temperate</t>
  </si>
  <si>
    <t>Semi-arid&amp;Continetal</t>
    <phoneticPr fontId="39" type="noConversion"/>
  </si>
  <si>
    <t xml:space="preserve">Soil type:
http://westdc.westgis.ac.cn/data/611f7d50-b419-4d14-b4dd-4a944b141175
http://www.fao.org/soils-portal/soil-survey/soil-maps-and-databases/harmonized-world-soil-database-v12/en/
</t>
    <phoneticPr fontId="39" type="noConversion"/>
  </si>
  <si>
    <t>Soil texture code</t>
    <phoneticPr fontId="39" type="noConversion"/>
  </si>
  <si>
    <t>Climate code</t>
    <phoneticPr fontId="39" type="noConversion"/>
  </si>
  <si>
    <t>Field</t>
    <phoneticPr fontId="39" type="noConversion"/>
  </si>
  <si>
    <t>Pot</t>
    <phoneticPr fontId="39" type="noConversion"/>
  </si>
  <si>
    <t>&lt;4.5</t>
  </si>
  <si>
    <t>4.5-5.0</t>
  </si>
  <si>
    <t>5.0-5.5</t>
  </si>
  <si>
    <t>5.5-6.0</t>
  </si>
  <si>
    <t>6.0-6.5</t>
  </si>
  <si>
    <t>&gt;6.5</t>
  </si>
  <si>
    <t>Initial pH code</t>
    <phoneticPr fontId="39" type="noConversion"/>
  </si>
  <si>
    <t>Experimental type code</t>
    <phoneticPr fontId="39" type="noConversion"/>
  </si>
  <si>
    <t>Straw</t>
    <phoneticPr fontId="2" type="noConversion"/>
  </si>
  <si>
    <t>Effect of Alkali Slag on Cadmium Bioavailability in the
Contaminated Soil</t>
    <phoneticPr fontId="2" type="noConversion"/>
  </si>
  <si>
    <t>CK- wheat straw</t>
    <phoneticPr fontId="2" type="noConversion"/>
  </si>
  <si>
    <t>Long-term effect of chemical fertilizer, straw, and manure on soil chemical and biological properties in northwest China</t>
    <phoneticPr fontId="2" type="noConversion"/>
  </si>
  <si>
    <t>1979-2008</t>
    <phoneticPr fontId="2" type="noConversion"/>
  </si>
  <si>
    <t>Pingliang, Gansu</t>
    <phoneticPr fontId="2" type="noConversion"/>
  </si>
  <si>
    <t>360 mons</t>
    <phoneticPr fontId="2" type="noConversion"/>
  </si>
  <si>
    <t xml:space="preserve"> dark loessial soil</t>
    <phoneticPr fontId="2" type="noConversion"/>
  </si>
  <si>
    <t>NP-NP+wheat straw</t>
    <phoneticPr fontId="2" type="noConversion"/>
  </si>
  <si>
    <t>NP-NP+farmyard manure</t>
    <phoneticPr fontId="2" type="noConversion"/>
  </si>
  <si>
    <t>cattle manure</t>
    <phoneticPr fontId="2" type="noConversion"/>
  </si>
  <si>
    <t>NPK-manure</t>
    <phoneticPr fontId="2" type="noConversion"/>
  </si>
  <si>
    <t>Effects of long-term organic fertilization on soil microbiologic
characteristics, yield and sustainable production of winter wheat</t>
    <phoneticPr fontId="2" type="noConversion"/>
  </si>
  <si>
    <t>2007-2016</t>
    <phoneticPr fontId="2" type="noConversion"/>
  </si>
  <si>
    <t>Huojia, Henan</t>
    <phoneticPr fontId="2" type="noConversion"/>
  </si>
  <si>
    <t xml:space="preserve">  wheat-summer
maize rotation</t>
    <phoneticPr fontId="2" type="noConversion"/>
  </si>
  <si>
    <t>NPK-straw</t>
    <phoneticPr fontId="2" type="noConversion"/>
  </si>
  <si>
    <t>maize stalk</t>
    <phoneticPr fontId="2" type="noConversion"/>
  </si>
  <si>
    <t>all corn
stalks from the preceding crop were returned to the farmland
after chopping</t>
    <phoneticPr fontId="2" type="noConversion"/>
  </si>
  <si>
    <t>NPK-straw+manure</t>
    <phoneticPr fontId="2" type="noConversion"/>
  </si>
  <si>
    <t>NPK-NPK+straw</t>
    <phoneticPr fontId="2" type="noConversion"/>
  </si>
  <si>
    <t>Effects of long-term organic amendment on the fertility of soil, nodulation, yield, and seed quality of soybean in a soybean-wheat rotation system</t>
    <phoneticPr fontId="2" type="noConversion"/>
  </si>
  <si>
    <t>Abdoulaye et al.</t>
    <phoneticPr fontId="2" type="noConversion"/>
  </si>
  <si>
    <t>1990-2017</t>
    <phoneticPr fontId="2" type="noConversion"/>
  </si>
  <si>
    <t>Yuanyang, Henan</t>
    <phoneticPr fontId="2" type="noConversion"/>
  </si>
  <si>
    <t>336 mons</t>
    <phoneticPr fontId="2" type="noConversion"/>
  </si>
  <si>
    <t>NPK-NPK+manure</t>
    <phoneticPr fontId="2" type="noConversion"/>
  </si>
  <si>
    <t>Effects of straw returning and fertilization on soil fertility and yield and quality of edible sweetpotato</t>
    <phoneticPr fontId="2" type="noConversion"/>
  </si>
  <si>
    <t>Xuzhou, Jiangsu</t>
    <phoneticPr fontId="2" type="noConversion"/>
  </si>
  <si>
    <t>Sweetpotato</t>
    <phoneticPr fontId="2" type="noConversion"/>
  </si>
  <si>
    <t>50%S</t>
    <phoneticPr fontId="2" type="noConversion"/>
  </si>
  <si>
    <t>Sandy yellow tide soil</t>
    <phoneticPr fontId="2" type="noConversion"/>
  </si>
  <si>
    <t>100%S</t>
    <phoneticPr fontId="2" type="noConversion"/>
  </si>
  <si>
    <t xml:space="preserve">Responses of soil mineral N contents, enzyme activities and crop yield to different C/N ratio mediated by straw retention and N fertilization </t>
    <phoneticPr fontId="2" type="noConversion"/>
  </si>
  <si>
    <t>2012-2013</t>
    <phoneticPr fontId="2" type="noConversion"/>
  </si>
  <si>
    <t>Yucheng,Shandong</t>
    <phoneticPr fontId="2" type="noConversion"/>
  </si>
  <si>
    <t>Alluvial soil</t>
    <phoneticPr fontId="2" type="noConversion"/>
  </si>
  <si>
    <t>CK-Straw+OM</t>
    <phoneticPr fontId="2" type="noConversion"/>
  </si>
  <si>
    <t xml:space="preserve">Effects of successive application of crop-straw biochar on crop yield and soil properties in cambosols </t>
    <phoneticPr fontId="2" type="noConversion"/>
  </si>
  <si>
    <t>Fengqiu,Helan</t>
    <phoneticPr fontId="2" type="noConversion"/>
  </si>
  <si>
    <t>lime concretion black soil</t>
    <phoneticPr fontId="2" type="noConversion"/>
  </si>
  <si>
    <t>Improved crop yield and reduced nitrate nitrogen leaching with straw return in a rice-wheat rotation of Ningxia irrigation district</t>
    <phoneticPr fontId="2" type="noConversion"/>
  </si>
  <si>
    <t>Yinchuan, Ningxia</t>
    <phoneticPr fontId="2" type="noConversion"/>
  </si>
  <si>
    <t>anthropogenic alluvial soil</t>
    <phoneticPr fontId="2" type="noConversion"/>
  </si>
  <si>
    <t>Effect of Combination of Biochar and Organic Fertilizers on Soil Organic Carbon Fractions, Growth and Yield of Apple Orchard</t>
    <phoneticPr fontId="2" type="noConversion"/>
  </si>
  <si>
    <t>Acta Agriculturae Boreali-occidentalis Sinica</t>
    <phoneticPr fontId="2" type="noConversion"/>
  </si>
  <si>
    <t>2014-2015</t>
    <phoneticPr fontId="2" type="noConversion"/>
  </si>
  <si>
    <t>Qianxian,Shaixi</t>
    <phoneticPr fontId="2" type="noConversion"/>
  </si>
  <si>
    <t>Rice hull</t>
    <phoneticPr fontId="2" type="noConversion"/>
  </si>
  <si>
    <t>bagasse</t>
    <phoneticPr fontId="2" type="noConversion"/>
  </si>
  <si>
    <t>CK-Biochar+Manure</t>
    <phoneticPr fontId="2" type="noConversion"/>
  </si>
  <si>
    <t>loessial soil</t>
    <phoneticPr fontId="2" type="noConversion"/>
  </si>
  <si>
    <t>Effects of Different Fertilization Treatments on Yield of Tibetan Highland Barley and Soil Structure</t>
    <phoneticPr fontId="2" type="noConversion"/>
  </si>
  <si>
    <t>Southwest China Journal of Agricultural Sciences</t>
    <phoneticPr fontId="2" type="noConversion"/>
  </si>
  <si>
    <t>Tibetan</t>
    <phoneticPr fontId="2" type="noConversion"/>
  </si>
  <si>
    <t>200-510</t>
    <phoneticPr fontId="2" type="noConversion"/>
  </si>
  <si>
    <t>Sheep</t>
    <phoneticPr fontId="2" type="noConversion"/>
  </si>
  <si>
    <t>Effects of different straw biochars on rice growth and soil nutrients</t>
    <phoneticPr fontId="2" type="noConversion"/>
  </si>
  <si>
    <t>Journal of Southern Agriculture</t>
    <phoneticPr fontId="2" type="noConversion"/>
  </si>
  <si>
    <t>Mulberry branch</t>
    <phoneticPr fontId="2" type="noConversion"/>
  </si>
  <si>
    <t>Cassava stalk</t>
    <phoneticPr fontId="2" type="noConversion"/>
  </si>
  <si>
    <t>Bagasse</t>
    <phoneticPr fontId="2" type="noConversion"/>
  </si>
  <si>
    <t>Biochar-mediated changes in soil quality and plant growth in a three year field trial</t>
    <phoneticPr fontId="2" type="noConversion"/>
  </si>
  <si>
    <t>Jones et al.</t>
    <phoneticPr fontId="2" type="noConversion"/>
  </si>
  <si>
    <t>Soil Biology &amp; Biochemistry</t>
    <phoneticPr fontId="2" type="noConversion"/>
  </si>
  <si>
    <t xml:space="preserve"> Abergwyngregyn</t>
    <phoneticPr fontId="2" type="noConversion"/>
  </si>
  <si>
    <t>Wales</t>
    <phoneticPr fontId="2" type="noConversion"/>
  </si>
  <si>
    <t xml:space="preserve"> loam texture</t>
    <phoneticPr fontId="2" type="noConversion"/>
  </si>
  <si>
    <t>Eutric Cambisol</t>
    <phoneticPr fontId="2" type="noConversion"/>
  </si>
  <si>
    <t>chipped trunks</t>
    <phoneticPr fontId="2" type="noConversion"/>
  </si>
  <si>
    <t>Effects of straw returning in conjunction with different nitrogen fertilizer dosages on cornyield and soil properties</t>
    <phoneticPr fontId="2" type="noConversion"/>
  </si>
  <si>
    <t>Chinese Journal of Ecology</t>
    <phoneticPr fontId="2" type="noConversion"/>
  </si>
  <si>
    <t>Lishu, Jilin</t>
    <phoneticPr fontId="2" type="noConversion"/>
  </si>
  <si>
    <t>17 mons</t>
    <phoneticPr fontId="2" type="noConversion"/>
  </si>
  <si>
    <t>Phaeozems</t>
    <phoneticPr fontId="2" type="noConversion"/>
  </si>
  <si>
    <t>Effects of different straw biochars on rice growth andsoil nutrients</t>
    <phoneticPr fontId="2" type="noConversion"/>
  </si>
  <si>
    <t xml:space="preserve">Mulberry branch </t>
    <phoneticPr fontId="2" type="noConversion"/>
  </si>
  <si>
    <t>Effects of Soil Modifiers on the Growth，Yield and Quality of Flue-cured Tobaccos</t>
    <phoneticPr fontId="2" type="noConversion"/>
  </si>
  <si>
    <r>
      <t>J</t>
    </r>
    <r>
      <rPr>
        <sz val="11"/>
        <color theme="1"/>
        <rFont val="宋体"/>
        <family val="1"/>
        <charset val="134"/>
      </rPr>
      <t>．</t>
    </r>
    <r>
      <rPr>
        <sz val="11"/>
        <color theme="1"/>
        <rFont val="Times New Roman"/>
        <family val="1"/>
      </rPr>
      <t>Anhui Agric</t>
    </r>
    <r>
      <rPr>
        <sz val="11"/>
        <color theme="1"/>
        <rFont val="宋体"/>
        <family val="1"/>
        <charset val="134"/>
      </rPr>
      <t>．</t>
    </r>
    <r>
      <rPr>
        <sz val="11"/>
        <color theme="1"/>
        <rFont val="Times New Roman"/>
        <family val="1"/>
      </rPr>
      <t>Sci</t>
    </r>
    <phoneticPr fontId="2" type="noConversion"/>
  </si>
  <si>
    <t>Tenchong, Yunnan</t>
    <phoneticPr fontId="2" type="noConversion"/>
  </si>
  <si>
    <t>Farmyard</t>
    <phoneticPr fontId="2" type="noConversion"/>
  </si>
  <si>
    <t>rape straw</t>
    <phoneticPr fontId="2" type="noConversion"/>
  </si>
  <si>
    <t>Effects of biochar on apple yield, quality and soil nutrient availability</t>
    <phoneticPr fontId="2" type="noConversion"/>
  </si>
  <si>
    <t>Li Yangyang</t>
    <phoneticPr fontId="2" type="noConversion"/>
  </si>
  <si>
    <t>Thesis</t>
    <phoneticPr fontId="2" type="noConversion"/>
  </si>
  <si>
    <t>Luvisols</t>
    <phoneticPr fontId="2" type="noConversion"/>
  </si>
  <si>
    <t>Effects of biochar and biogas slurry on soil and leaf nutrition and fruit yield and quality in apple orchards</t>
    <phoneticPr fontId="2" type="noConversion"/>
  </si>
  <si>
    <t>China Fruits</t>
    <phoneticPr fontId="2" type="noConversion"/>
  </si>
  <si>
    <t>2012-2014</t>
    <phoneticPr fontId="2" type="noConversion"/>
  </si>
  <si>
    <t>Xunyi, Gansu</t>
    <phoneticPr fontId="2" type="noConversion"/>
  </si>
  <si>
    <t>Application of co-composted farm manure and biochar increased the
wheat growth and decreased cadmium accumulation in plants under
different water regimes</t>
    <phoneticPr fontId="2" type="noConversion"/>
  </si>
  <si>
    <t>Arooj et al.</t>
    <phoneticPr fontId="2" type="noConversion"/>
  </si>
  <si>
    <t>Chemosphere</t>
    <phoneticPr fontId="2" type="noConversion"/>
  </si>
  <si>
    <t xml:space="preserve"> Faisalabad</t>
    <phoneticPr fontId="2" type="noConversion"/>
  </si>
  <si>
    <t>Benefits of organic manure combined with biochar amendments to cotton root growth and yield under continuous cropping systems in Xinjiang, China</t>
    <phoneticPr fontId="2" type="noConversion"/>
  </si>
  <si>
    <t>Shihezi, Xinjiang</t>
    <phoneticPr fontId="2" type="noConversion"/>
  </si>
  <si>
    <t>Grey desert soil</t>
    <phoneticPr fontId="2" type="noConversion"/>
  </si>
  <si>
    <t>CK- Biochar+Manure</t>
    <phoneticPr fontId="2" type="noConversion"/>
  </si>
  <si>
    <t>Cotton straw</t>
    <phoneticPr fontId="2" type="noConversion"/>
  </si>
  <si>
    <t>Effects of biochar and bio-fertilizer on yield and qualitative properties of soybean and some chemical properties of soil</t>
    <phoneticPr fontId="2" type="noConversion"/>
  </si>
  <si>
    <t>Zahra et al.</t>
    <phoneticPr fontId="2" type="noConversion"/>
  </si>
  <si>
    <t>Arabian Journal of Geosciences</t>
    <phoneticPr fontId="2" type="noConversion"/>
  </si>
  <si>
    <t>Yanqaq</t>
    <phoneticPr fontId="2" type="noConversion"/>
  </si>
  <si>
    <t>Regosols</t>
    <phoneticPr fontId="2" type="noConversion"/>
  </si>
  <si>
    <t>Biochar improves phosphorus use efficiency of organic-inorganic fertilizers, maize-wheat productivity and soil quality in a low fertility alkaline soil</t>
    <phoneticPr fontId="2" type="noConversion"/>
  </si>
  <si>
    <t>Muhammad et al.</t>
    <phoneticPr fontId="2" type="noConversion"/>
  </si>
  <si>
    <t>Peshawar</t>
    <phoneticPr fontId="2" type="noConversion"/>
  </si>
  <si>
    <t>Pakistan</t>
    <phoneticPr fontId="2" type="noConversion"/>
  </si>
  <si>
    <t>prunings of the Acacia tree</t>
    <phoneticPr fontId="2" type="noConversion"/>
  </si>
  <si>
    <t>Crop yield and N2O emission affected by long-term organic manure substitution fertilizer under winter wheat-summer maize cropping system</t>
    <phoneticPr fontId="2" type="noConversion"/>
  </si>
  <si>
    <t>Lv et al.</t>
    <phoneticPr fontId="2" type="noConversion"/>
  </si>
  <si>
    <t xml:space="preserve">Science of the Total Environment </t>
    <phoneticPr fontId="2" type="noConversion"/>
  </si>
  <si>
    <t>Yangling, Shanxi</t>
    <phoneticPr fontId="2" type="noConversion"/>
  </si>
  <si>
    <t xml:space="preserve">Eumorthic Anthrosol </t>
    <phoneticPr fontId="2" type="noConversion"/>
  </si>
  <si>
    <t>Effect of biochar amendment on maize yield and greenhouse gas emissions from a soil organic carbon poor calcareous loamy soil from Central China Plain</t>
    <phoneticPr fontId="2" type="noConversion"/>
  </si>
  <si>
    <t xml:space="preserve">Plant Soil </t>
    <phoneticPr fontId="2" type="noConversion"/>
  </si>
  <si>
    <t>Shangqiu, Henan</t>
    <phoneticPr fontId="2" type="noConversion"/>
  </si>
  <si>
    <t>straw_rate</t>
    <phoneticPr fontId="2" type="noConversion"/>
  </si>
  <si>
    <t>straw_volume</t>
    <phoneticPr fontId="2" type="noConversion"/>
  </si>
  <si>
    <t>straw_price</t>
    <phoneticPr fontId="2" type="noConversion"/>
  </si>
  <si>
    <t>byproduct_rate</t>
    <phoneticPr fontId="2" type="noConversion"/>
  </si>
  <si>
    <t>byproduct_volume</t>
    <phoneticPr fontId="2" type="noConversion"/>
  </si>
  <si>
    <t>byproduct_price</t>
    <phoneticPr fontId="2" type="noConversion"/>
  </si>
  <si>
    <t>combination_rate</t>
    <phoneticPr fontId="2" type="noConversion"/>
  </si>
  <si>
    <t>combination_volume</t>
    <phoneticPr fontId="2" type="noConversion"/>
  </si>
  <si>
    <t>combination_price</t>
    <phoneticPr fontId="2" type="noConversion"/>
  </si>
  <si>
    <t>all_rate</t>
    <phoneticPr fontId="2" type="noConversion"/>
  </si>
  <si>
    <t>all_volume</t>
    <phoneticPr fontId="2" type="noConversion"/>
  </si>
  <si>
    <t>all_price</t>
    <phoneticPr fontId="2" type="noConversion"/>
  </si>
  <si>
    <r>
      <t>Texture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http://www.cqates.com/cqsoil/gjztrzdfjbz.htm</t>
    </r>
    <phoneticPr fontId="39" type="noConversion"/>
  </si>
  <si>
    <t>effectsize_pH</t>
    <phoneticPr fontId="43" type="noConversion"/>
  </si>
  <si>
    <t>effectsize_CEC</t>
    <phoneticPr fontId="43" type="noConversion"/>
  </si>
  <si>
    <t>effectsize_OM</t>
    <phoneticPr fontId="43" type="noConversion"/>
  </si>
  <si>
    <t>effectsize_BS</t>
    <phoneticPr fontId="43" type="noConversion"/>
  </si>
  <si>
    <t>effectsize_BD</t>
    <phoneticPr fontId="43" type="noConversion"/>
  </si>
  <si>
    <t>effectsize_yield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</si>
</sst>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44" x14ac:knownFonts="1">
    <font>
      <sz val="11"/>
      <color theme="1"/>
      <name val="等线"/>
      <charset val="134"/>
      <scheme val="minor"/>
    </font>
    <font>
      <sz val="12"/>
      <color theme="1"/>
      <name val="Times New Roman"/>
      <family val="2"/>
      <charset val="134"/>
    </font>
    <font>
      <sz val="9"/>
      <name val="等线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12"/>
      <color indexed="8"/>
      <name val="Segoe UI Symbol"/>
      <family val="2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8"/>
      <color theme="3"/>
      <name val="等线 Light"/>
      <family val="3"/>
      <charset val="134"/>
      <scheme val="major"/>
    </font>
    <font>
      <b/>
      <sz val="15"/>
      <color theme="3"/>
      <name val="等线"/>
      <family val="3"/>
      <charset val="134"/>
      <scheme val="minor"/>
    </font>
    <font>
      <b/>
      <sz val="13"/>
      <color theme="3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9"/>
      <name val="等线"/>
      <family val="3"/>
      <charset val="134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Segoe UI Symbol"/>
      <family val="2"/>
    </font>
    <font>
      <sz val="1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1"/>
      <name val="微软雅黑"/>
      <family val="1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Segoe UI Symbol"/>
      <family val="1"/>
    </font>
    <font>
      <sz val="9"/>
      <name val="等线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25" fillId="25" borderId="5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32" borderId="9" applyNumberFormat="0" applyFont="0" applyAlignment="0" applyProtection="0">
      <alignment vertical="center"/>
    </xf>
  </cellStyleXfs>
  <cellXfs count="77">
    <xf numFmtId="0" fontId="0" fillId="0" borderId="0" xfId="0">
      <alignment vertical="center"/>
    </xf>
    <xf numFmtId="0" fontId="28" fillId="0" borderId="0" xfId="0" applyFont="1" applyAlignment="1">
      <alignment horizontal="left" vertical="center"/>
    </xf>
    <xf numFmtId="176" fontId="27" fillId="0" borderId="0" xfId="0" applyNumberFormat="1" applyFont="1">
      <alignment vertical="center"/>
    </xf>
    <xf numFmtId="176" fontId="27" fillId="0" borderId="0" xfId="0" applyNumberFormat="1" applyFont="1" applyAlignment="1">
      <alignment vertical="center" wrapText="1"/>
    </xf>
    <xf numFmtId="176" fontId="32" fillId="0" borderId="0" xfId="0" applyNumberFormat="1" applyFont="1" applyAlignment="1">
      <alignment vertical="center" wrapText="1"/>
    </xf>
    <xf numFmtId="176" fontId="27" fillId="33" borderId="0" xfId="0" applyNumberFormat="1" applyFont="1" applyFill="1">
      <alignment vertical="center"/>
    </xf>
    <xf numFmtId="176" fontId="27" fillId="34" borderId="0" xfId="0" applyNumberFormat="1" applyFont="1" applyFill="1">
      <alignment vertical="center"/>
    </xf>
    <xf numFmtId="176" fontId="27" fillId="34" borderId="0" xfId="0" applyNumberFormat="1" applyFont="1" applyFill="1" applyAlignment="1">
      <alignment vertical="center" wrapText="1"/>
    </xf>
    <xf numFmtId="176" fontId="27" fillId="37" borderId="0" xfId="0" applyNumberFormat="1" applyFont="1" applyFill="1">
      <alignment vertical="center"/>
    </xf>
    <xf numFmtId="176" fontId="32" fillId="37" borderId="0" xfId="0" applyNumberFormat="1" applyFont="1" applyFill="1">
      <alignment vertical="center"/>
    </xf>
    <xf numFmtId="176" fontId="27" fillId="38" borderId="0" xfId="0" applyNumberFormat="1" applyFont="1" applyFill="1">
      <alignment vertical="center"/>
    </xf>
    <xf numFmtId="176" fontId="27" fillId="39" borderId="0" xfId="0" applyNumberFormat="1" applyFont="1" applyFill="1">
      <alignment vertical="center"/>
    </xf>
    <xf numFmtId="176" fontId="32" fillId="35" borderId="0" xfId="0" applyNumberFormat="1" applyFont="1" applyFill="1">
      <alignment vertical="center"/>
    </xf>
    <xf numFmtId="176" fontId="27" fillId="35" borderId="0" xfId="0" applyNumberFormat="1" applyFont="1" applyFill="1">
      <alignment vertical="center"/>
    </xf>
    <xf numFmtId="176" fontId="27" fillId="36" borderId="0" xfId="0" applyNumberFormat="1" applyFont="1" applyFill="1">
      <alignment vertical="center"/>
    </xf>
    <xf numFmtId="176" fontId="28" fillId="0" borderId="0" xfId="0" applyNumberFormat="1" applyFont="1" applyAlignment="1">
      <alignment horizontal="left" vertical="center"/>
    </xf>
    <xf numFmtId="176" fontId="31" fillId="0" borderId="0" xfId="0" applyNumberFormat="1" applyFont="1" applyAlignment="1">
      <alignment horizontal="left" vertical="center"/>
    </xf>
    <xf numFmtId="176" fontId="28" fillId="0" borderId="0" xfId="0" applyNumberFormat="1" applyFont="1" applyAlignment="1">
      <alignment horizontal="left" vertical="center" wrapText="1"/>
    </xf>
    <xf numFmtId="176" fontId="0" fillId="0" borderId="0" xfId="0" applyNumberFormat="1">
      <alignment vertical="center"/>
    </xf>
    <xf numFmtId="176" fontId="28" fillId="0" borderId="0" xfId="0" applyNumberFormat="1" applyFont="1" applyFill="1" applyAlignment="1">
      <alignment horizontal="left" vertical="center"/>
    </xf>
    <xf numFmtId="176" fontId="28" fillId="34" borderId="0" xfId="0" applyNumberFormat="1" applyFont="1" applyFill="1" applyAlignment="1">
      <alignment horizontal="left" vertical="center"/>
    </xf>
    <xf numFmtId="176" fontId="31" fillId="34" borderId="0" xfId="0" applyNumberFormat="1" applyFont="1" applyFill="1" applyAlignment="1">
      <alignment horizontal="left" vertical="center"/>
    </xf>
    <xf numFmtId="176" fontId="34" fillId="40" borderId="0" xfId="0" applyNumberFormat="1" applyFont="1" applyFill="1" applyAlignment="1">
      <alignment horizontal="left" vertical="center"/>
    </xf>
    <xf numFmtId="176" fontId="28" fillId="0" borderId="0" xfId="0" applyNumberFormat="1" applyFont="1">
      <alignment vertical="center"/>
    </xf>
    <xf numFmtId="176" fontId="31" fillId="0" borderId="0" xfId="0" applyNumberFormat="1" applyFont="1" applyFill="1" applyAlignment="1">
      <alignment horizontal="left" vertical="center"/>
    </xf>
    <xf numFmtId="176" fontId="28" fillId="40" borderId="0" xfId="0" applyNumberFormat="1" applyFont="1" applyFill="1" applyAlignment="1">
      <alignment horizontal="left" vertical="center"/>
    </xf>
    <xf numFmtId="0" fontId="27" fillId="0" borderId="0" xfId="0" applyNumberFormat="1" applyFont="1">
      <alignment vertical="center"/>
    </xf>
    <xf numFmtId="0" fontId="28" fillId="0" borderId="0" xfId="0" applyNumberFormat="1" applyFont="1" applyAlignment="1">
      <alignment horizontal="left" vertical="center"/>
    </xf>
    <xf numFmtId="0" fontId="27" fillId="34" borderId="0" xfId="0" applyNumberFormat="1" applyFont="1" applyFill="1">
      <alignment vertical="center"/>
    </xf>
    <xf numFmtId="176" fontId="10" fillId="0" borderId="0" xfId="0" applyNumberFormat="1" applyFont="1">
      <alignment vertical="center"/>
    </xf>
    <xf numFmtId="0" fontId="40" fillId="0" borderId="0" xfId="0" applyFont="1">
      <alignment vertical="center"/>
    </xf>
    <xf numFmtId="177" fontId="28" fillId="0" borderId="0" xfId="0" applyNumberFormat="1" applyFont="1" applyAlignment="1">
      <alignment horizontal="left" vertical="center"/>
    </xf>
    <xf numFmtId="177" fontId="27" fillId="0" borderId="0" xfId="0" applyNumberFormat="1" applyFont="1" applyAlignment="1">
      <alignment vertical="center" wrapText="1"/>
    </xf>
    <xf numFmtId="177" fontId="28" fillId="34" borderId="0" xfId="0" applyNumberFormat="1" applyFont="1" applyFill="1" applyAlignment="1">
      <alignment horizontal="left" vertical="center"/>
    </xf>
    <xf numFmtId="177" fontId="28" fillId="0" borderId="0" xfId="0" applyNumberFormat="1" applyFont="1" applyFill="1" applyAlignment="1">
      <alignment horizontal="left" vertical="center"/>
    </xf>
    <xf numFmtId="177" fontId="0" fillId="0" borderId="0" xfId="0" applyNumberFormat="1">
      <alignment vertical="center"/>
    </xf>
    <xf numFmtId="0" fontId="27" fillId="34" borderId="0" xfId="0" applyNumberFormat="1" applyFont="1" applyFill="1" applyAlignment="1">
      <alignment horizontal="center" vertical="center"/>
    </xf>
    <xf numFmtId="0" fontId="27" fillId="33" borderId="0" xfId="0" applyNumberFormat="1" applyFont="1" applyFill="1">
      <alignment vertical="center"/>
    </xf>
    <xf numFmtId="176" fontId="27" fillId="40" borderId="0" xfId="0" applyNumberFormat="1" applyFont="1" applyFill="1">
      <alignment vertical="center"/>
    </xf>
    <xf numFmtId="177" fontId="27" fillId="0" borderId="0" xfId="0" applyNumberFormat="1" applyFont="1">
      <alignment vertical="center"/>
    </xf>
    <xf numFmtId="177" fontId="28" fillId="40" borderId="0" xfId="0" applyNumberFormat="1" applyFont="1" applyFill="1" applyAlignment="1">
      <alignment horizontal="left" vertical="center"/>
    </xf>
    <xf numFmtId="176" fontId="37" fillId="40" borderId="0" xfId="0" applyNumberFormat="1" applyFont="1" applyFill="1" applyAlignment="1">
      <alignment horizontal="left" vertical="center"/>
    </xf>
    <xf numFmtId="176" fontId="31" fillId="40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left"/>
    </xf>
    <xf numFmtId="176" fontId="0" fillId="40" borderId="0" xfId="0" applyNumberFormat="1" applyFill="1">
      <alignment vertical="center"/>
    </xf>
    <xf numFmtId="176" fontId="28" fillId="0" borderId="0" xfId="0" applyNumberFormat="1" applyFont="1" applyFill="1" applyAlignment="1">
      <alignment horizontal="left" vertical="center" wrapText="1"/>
    </xf>
    <xf numFmtId="176" fontId="28" fillId="36" borderId="0" xfId="0" applyNumberFormat="1" applyFont="1" applyFill="1" applyAlignment="1">
      <alignment horizontal="left" vertical="center"/>
    </xf>
    <xf numFmtId="176" fontId="0" fillId="36" borderId="0" xfId="0" applyNumberFormat="1" applyFill="1">
      <alignment vertical="center"/>
    </xf>
    <xf numFmtId="176" fontId="10" fillId="36" borderId="0" xfId="0" applyNumberFormat="1" applyFont="1" applyFill="1">
      <alignment vertical="center"/>
    </xf>
    <xf numFmtId="176" fontId="27" fillId="0" borderId="0" xfId="0" applyNumberFormat="1" applyFont="1" applyFill="1">
      <alignment vertical="center"/>
    </xf>
    <xf numFmtId="0" fontId="27" fillId="0" borderId="0" xfId="0" applyFont="1" applyAlignment="1">
      <alignment horizontal="left" vertical="center"/>
    </xf>
    <xf numFmtId="0" fontId="27" fillId="40" borderId="0" xfId="0" applyNumberFormat="1" applyFont="1" applyFill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37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8" fillId="40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176" fontId="21" fillId="0" borderId="0" xfId="0" applyNumberFormat="1" applyFont="1">
      <alignment vertical="center"/>
    </xf>
    <xf numFmtId="0" fontId="28" fillId="0" borderId="0" xfId="0" applyFont="1" applyAlignment="1">
      <alignment horizontal="left" vertical="top"/>
    </xf>
    <xf numFmtId="0" fontId="28" fillId="34" borderId="0" xfId="0" applyFont="1" applyFill="1" applyAlignment="1">
      <alignment horizontal="left" vertical="center"/>
    </xf>
    <xf numFmtId="176" fontId="28" fillId="0" borderId="0" xfId="0" quotePrefix="1" applyNumberFormat="1" applyFont="1" applyAlignment="1">
      <alignment horizontal="left" vertical="center"/>
    </xf>
    <xf numFmtId="176" fontId="34" fillId="0" borderId="0" xfId="0" applyNumberFormat="1" applyFont="1" applyAlignment="1">
      <alignment horizontal="left" vertical="center"/>
    </xf>
    <xf numFmtId="0" fontId="28" fillId="40" borderId="0" xfId="0" applyFont="1" applyFill="1" applyAlignment="1">
      <alignment horizontal="left" vertical="top"/>
    </xf>
    <xf numFmtId="0" fontId="34" fillId="0" borderId="0" xfId="0" applyFont="1" applyAlignment="1">
      <alignment horizontal="left" vertical="center"/>
    </xf>
    <xf numFmtId="177" fontId="34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176" fontId="37" fillId="0" borderId="0" xfId="0" applyNumberFormat="1" applyFont="1" applyAlignment="1">
      <alignment horizontal="left" vertical="center"/>
    </xf>
    <xf numFmtId="176" fontId="29" fillId="0" borderId="0" xfId="0" applyNumberFormat="1" applyFont="1" applyAlignment="1">
      <alignment horizontal="left" vertical="center"/>
    </xf>
    <xf numFmtId="176" fontId="28" fillId="0" borderId="0" xfId="0" applyNumberFormat="1" applyFont="1" applyAlignment="1">
      <alignment horizontal="left" vertical="top"/>
    </xf>
    <xf numFmtId="0" fontId="29" fillId="0" borderId="0" xfId="0" applyFont="1" applyAlignment="1">
      <alignment horizontal="left" vertical="center"/>
    </xf>
    <xf numFmtId="176" fontId="27" fillId="34" borderId="0" xfId="0" applyNumberFormat="1" applyFont="1" applyFill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8" fillId="0" borderId="0" xfId="0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/>
    </xf>
    <xf numFmtId="176" fontId="28" fillId="0" borderId="0" xfId="0" applyNumberFormat="1" applyFont="1" applyAlignment="1">
      <alignment horizontal="left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nghao Xu" id="{F06ADFC0-7F96-4DB1-B39B-889BDC5614E7}" userId="Donghao Xu" providerId="None"/>
  <person displayName="Zhang Siwen" id="{9CD358CE-AFCF-444C-AB5E-259D8A6C7ADF}" userId="Zhang Siwen" providerId="None"/>
  <person displayName="张 思文" id="{17A7C26F-D973-419E-AE9F-DF1CA3E5FCE5}" userId="353b494c2e5654dd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54DD-A926-4B60-8ACB-6D44807AD81F}">
  <dimension ref="A1:IA1040"/>
  <sheetViews>
    <sheetView workbookViewId="0">
      <selection activeCell="L24" sqref="L24"/>
    </sheetView>
  </sheetViews>
  <sheetFormatPr defaultRowHeight="13.8" x14ac:dyDescent="0.25"/>
  <cols>
    <col min="1" max="1" width="10.88671875" style="35" customWidth="1"/>
    <col min="2" max="2" width="13.6640625" customWidth="1"/>
    <col min="3" max="3" width="9" bestFit="1" customWidth="1"/>
    <col min="4" max="4" width="15.5546875" style="18" customWidth="1"/>
    <col min="5" max="5" width="15.5546875" customWidth="1"/>
    <col min="6" max="6" width="22.5546875" style="29" customWidth="1"/>
    <col min="7" max="7" width="26.33203125" style="18" customWidth="1"/>
    <col min="8" max="8" width="8.88671875" style="18"/>
    <col min="9" max="9" width="12" customWidth="1"/>
    <col min="10" max="10" width="10.5546875" style="18" customWidth="1"/>
    <col min="11" max="11" width="12.77734375" style="1" customWidth="1"/>
    <col min="12" max="12" width="17" style="18" customWidth="1"/>
    <col min="13" max="13" width="8.88671875" style="18"/>
    <col min="14" max="14" width="10.6640625" style="18" customWidth="1"/>
    <col min="15" max="15" width="10.6640625" style="35" customWidth="1"/>
    <col min="16" max="16" width="9.77734375" style="18" bestFit="1" customWidth="1"/>
    <col min="17" max="20" width="9" style="18" bestFit="1" customWidth="1"/>
    <col min="21" max="21" width="11.33203125" style="18" customWidth="1"/>
    <col min="22" max="22" width="11.33203125" style="35" customWidth="1"/>
    <col min="23" max="23" width="10.21875" style="59" customWidth="1"/>
    <col min="24" max="24" width="8.88671875" style="18"/>
    <col min="25" max="25" width="10.5546875" customWidth="1"/>
    <col min="26" max="26" width="9" style="18" bestFit="1" customWidth="1"/>
    <col min="27" max="28" width="10.21875" style="18" customWidth="1"/>
    <col min="29" max="29" width="13.21875" customWidth="1"/>
    <col min="30" max="31" width="13.21875" style="18" customWidth="1"/>
    <col min="32" max="32" width="19.21875" style="18" customWidth="1"/>
    <col min="33" max="34" width="13.21875" style="18" customWidth="1"/>
    <col min="35" max="35" width="13.6640625" style="18" customWidth="1"/>
    <col min="36" max="36" width="15.44140625" style="18" customWidth="1"/>
    <col min="37" max="38" width="13.21875" style="18" customWidth="1"/>
    <col min="39" max="39" width="14.21875" customWidth="1"/>
    <col min="40" max="40" width="13.21875" style="18" customWidth="1"/>
    <col min="41" max="41" width="16.109375" style="18" customWidth="1"/>
    <col min="42" max="42" width="27.6640625" style="18" customWidth="1"/>
    <col min="43" max="44" width="13.21875" customWidth="1"/>
    <col min="45" max="67" width="13.21875" style="18" customWidth="1"/>
    <col min="68" max="70" width="13.21875" style="59" customWidth="1"/>
    <col min="71" max="72" width="13.21875" style="18" customWidth="1"/>
    <col min="73" max="73" width="13.21875" style="59" customWidth="1"/>
    <col min="74" max="74" width="13.21875" style="18" customWidth="1"/>
    <col min="75" max="75" width="13.6640625" style="18" customWidth="1"/>
    <col min="76" max="79" width="13.21875" style="18" customWidth="1"/>
    <col min="80" max="80" width="12.109375" style="18" customWidth="1"/>
    <col min="81" max="81" width="8.88671875" style="18"/>
    <col min="82" max="82" width="9.6640625" style="18" customWidth="1"/>
    <col min="83" max="85" width="18" style="18" customWidth="1"/>
    <col min="86" max="86" width="6.21875" style="18" customWidth="1"/>
    <col min="87" max="98" width="9.6640625" style="18" customWidth="1"/>
    <col min="99" max="99" width="22.33203125" style="18" customWidth="1"/>
    <col min="100" max="102" width="9.6640625" style="18" customWidth="1"/>
    <col min="103" max="103" width="11.21875" style="18" customWidth="1"/>
    <col min="104" max="104" width="9.6640625" style="18" customWidth="1"/>
    <col min="105" max="105" width="11.109375" style="18" customWidth="1"/>
    <col min="106" max="106" width="10.109375" style="18" customWidth="1"/>
    <col min="107" max="108" width="9.6640625" style="18" customWidth="1"/>
    <col min="109" max="109" width="11.21875" style="18" customWidth="1"/>
    <col min="110" max="110" width="9.6640625" style="18" customWidth="1"/>
    <col min="111" max="125" width="13.109375" style="18" customWidth="1"/>
    <col min="126" max="152" width="15.77734375" style="18" customWidth="1"/>
    <col min="153" max="153" width="19" style="47" customWidth="1"/>
    <col min="154" max="155" width="15.77734375" style="47" customWidth="1"/>
    <col min="156" max="156" width="7.6640625" style="59" customWidth="1"/>
    <col min="157" max="158" width="6.88671875" style="59" customWidth="1"/>
    <col min="159" max="159" width="6.44140625" style="59" customWidth="1"/>
    <col min="160" max="161" width="6.88671875" style="59" customWidth="1"/>
    <col min="162" max="162" width="7.5546875" style="59" customWidth="1"/>
    <col min="163" max="168" width="11.21875" style="59" customWidth="1"/>
    <col min="169" max="176" width="9.6640625" style="18" customWidth="1"/>
    <col min="177" max="179" width="8.88671875" style="18"/>
    <col min="180" max="187" width="9.6640625" style="18" customWidth="1"/>
    <col min="188" max="190" width="8.88671875" style="18"/>
    <col min="191" max="191" width="9" style="18" bestFit="1" customWidth="1"/>
    <col min="192" max="192" width="9.6640625" style="18" bestFit="1" customWidth="1"/>
    <col min="193" max="193" width="9.6640625" style="18" customWidth="1"/>
    <col min="194" max="194" width="9" style="18" bestFit="1" customWidth="1"/>
    <col min="195" max="195" width="9.77734375" style="18" bestFit="1" customWidth="1"/>
    <col min="196" max="196" width="9.77734375" style="18" customWidth="1"/>
    <col min="197" max="198" width="9" style="18" bestFit="1" customWidth="1"/>
    <col min="199" max="200" width="8.88671875" style="18"/>
    <col min="201" max="212" width="11.6640625" style="18" customWidth="1"/>
    <col min="213" max="213" width="12" style="18" customWidth="1"/>
    <col min="214" max="214" width="9" style="18" bestFit="1" customWidth="1"/>
    <col min="215" max="215" width="9" style="18" customWidth="1"/>
    <col min="216" max="216" width="11.109375" style="18" bestFit="1" customWidth="1"/>
    <col min="217" max="217" width="9" style="18" bestFit="1" customWidth="1"/>
    <col min="218" max="218" width="9" style="18" customWidth="1"/>
    <col min="219" max="219" width="9" style="18" bestFit="1" customWidth="1"/>
    <col min="220" max="221" width="9" style="18" customWidth="1"/>
    <col min="222" max="223" width="8.88671875" style="18"/>
    <col min="224" max="224" width="13" style="18" customWidth="1"/>
    <col min="225" max="226" width="13.33203125" style="18" customWidth="1"/>
    <col min="227" max="228" width="11.44140625" style="18" customWidth="1"/>
    <col min="229" max="229" width="20.109375" style="18" customWidth="1"/>
    <col min="230" max="230" width="11.88671875" style="18" bestFit="1" customWidth="1"/>
    <col min="231" max="231" width="8.88671875" style="18"/>
    <col min="232" max="232" width="15" style="18" customWidth="1"/>
    <col min="233" max="233" width="10.88671875" style="18" customWidth="1"/>
    <col min="234" max="234" width="12.109375" style="18" customWidth="1"/>
    <col min="235" max="235" width="10.109375" style="18" customWidth="1"/>
    <col min="236" max="16384" width="8.88671875" style="18"/>
  </cols>
  <sheetData>
    <row r="1" spans="1:235" s="2" customFormat="1" ht="44.4" customHeight="1" x14ac:dyDescent="0.25">
      <c r="A1" s="26" t="s">
        <v>2298</v>
      </c>
      <c r="B1" s="26" t="s">
        <v>0</v>
      </c>
      <c r="C1" s="26" t="s">
        <v>1</v>
      </c>
      <c r="D1" s="2" t="s">
        <v>2</v>
      </c>
      <c r="E1" s="26" t="s">
        <v>1268</v>
      </c>
      <c r="F1" s="2" t="s">
        <v>747</v>
      </c>
      <c r="G1" s="2" t="s">
        <v>3</v>
      </c>
      <c r="H1" s="2" t="s">
        <v>4</v>
      </c>
      <c r="I1" s="26" t="s">
        <v>5</v>
      </c>
      <c r="J1" s="2" t="s">
        <v>6</v>
      </c>
      <c r="K1" s="27" t="s">
        <v>517</v>
      </c>
      <c r="L1" s="2" t="s">
        <v>7</v>
      </c>
      <c r="M1" s="2" t="s">
        <v>1252</v>
      </c>
      <c r="N1" s="2" t="s">
        <v>8</v>
      </c>
      <c r="O1" s="39" t="s">
        <v>1786</v>
      </c>
      <c r="P1" s="2" t="s">
        <v>2301</v>
      </c>
      <c r="Q1" s="2" t="s">
        <v>9</v>
      </c>
      <c r="R1" s="2" t="s">
        <v>481</v>
      </c>
      <c r="S1" s="3" t="s">
        <v>1266</v>
      </c>
      <c r="T1" s="3" t="s">
        <v>946</v>
      </c>
      <c r="U1" s="3" t="s">
        <v>548</v>
      </c>
      <c r="V1" s="32" t="s">
        <v>1341</v>
      </c>
      <c r="W1" s="4" t="s">
        <v>730</v>
      </c>
      <c r="X1" s="5" t="s">
        <v>547</v>
      </c>
      <c r="Y1" s="37" t="s">
        <v>10</v>
      </c>
      <c r="Z1" s="6" t="s">
        <v>11</v>
      </c>
      <c r="AA1" s="7" t="s">
        <v>572</v>
      </c>
      <c r="AB1" s="7" t="s">
        <v>1787</v>
      </c>
      <c r="AC1" s="51" t="s">
        <v>2299</v>
      </c>
      <c r="AD1" s="6" t="s">
        <v>488</v>
      </c>
      <c r="AE1" s="6" t="s">
        <v>487</v>
      </c>
      <c r="AF1" s="6" t="s">
        <v>482</v>
      </c>
      <c r="AG1" s="6" t="s">
        <v>483</v>
      </c>
      <c r="AH1" s="6" t="s">
        <v>484</v>
      </c>
      <c r="AI1" s="6" t="s">
        <v>485</v>
      </c>
      <c r="AJ1" s="72" t="s">
        <v>512</v>
      </c>
      <c r="AK1" s="72"/>
      <c r="AL1" s="72"/>
      <c r="AM1" s="36" t="s">
        <v>507</v>
      </c>
      <c r="AN1" s="6" t="s">
        <v>522</v>
      </c>
      <c r="AO1" s="6" t="s">
        <v>507</v>
      </c>
      <c r="AP1" s="6" t="s">
        <v>486</v>
      </c>
      <c r="AQ1" s="28" t="s">
        <v>508</v>
      </c>
      <c r="AR1" s="28" t="s">
        <v>523</v>
      </c>
      <c r="AS1" s="5" t="s">
        <v>490</v>
      </c>
      <c r="AT1" s="5"/>
      <c r="AU1" s="5"/>
      <c r="AV1" s="5"/>
      <c r="AW1" s="5"/>
      <c r="AX1" s="14" t="s">
        <v>576</v>
      </c>
      <c r="AY1" s="5"/>
      <c r="AZ1" s="14" t="s">
        <v>2288</v>
      </c>
      <c r="BA1" s="14" t="s">
        <v>2289</v>
      </c>
      <c r="BB1" s="14" t="s">
        <v>2290</v>
      </c>
      <c r="BC1" s="5"/>
      <c r="BD1" s="5"/>
      <c r="BE1" s="5" t="s">
        <v>492</v>
      </c>
      <c r="BF1" s="8" t="s">
        <v>887</v>
      </c>
      <c r="BG1" s="8"/>
      <c r="BH1" s="8"/>
      <c r="BI1" s="8"/>
      <c r="BJ1" s="8"/>
      <c r="BK1" s="8"/>
      <c r="BL1" s="8"/>
      <c r="BM1" s="8"/>
      <c r="BN1" s="8"/>
      <c r="BO1" s="8"/>
      <c r="BP1" s="9"/>
      <c r="BQ1" s="9"/>
      <c r="BR1" s="9"/>
      <c r="BS1" s="8"/>
      <c r="BT1" s="14" t="s">
        <v>2307</v>
      </c>
      <c r="BU1" s="9"/>
      <c r="BV1" s="8"/>
      <c r="BW1" s="8"/>
      <c r="BX1" s="53" t="s">
        <v>2304</v>
      </c>
      <c r="BY1" s="14" t="s">
        <v>2288</v>
      </c>
      <c r="BZ1" s="14" t="s">
        <v>2289</v>
      </c>
      <c r="CA1" s="14" t="s">
        <v>2290</v>
      </c>
      <c r="CB1" s="8" t="s">
        <v>506</v>
      </c>
      <c r="CC1" s="10" t="s">
        <v>552</v>
      </c>
      <c r="CD1" s="10"/>
      <c r="CE1" s="10"/>
      <c r="CF1" s="14" t="s">
        <v>2308</v>
      </c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53" t="s">
        <v>2304</v>
      </c>
      <c r="CY1" s="14" t="s">
        <v>2288</v>
      </c>
      <c r="CZ1" s="14" t="s">
        <v>2289</v>
      </c>
      <c r="DA1" s="14" t="s">
        <v>2290</v>
      </c>
      <c r="DB1" s="11" t="s">
        <v>553</v>
      </c>
      <c r="DC1" s="11"/>
      <c r="DD1" s="11"/>
      <c r="DE1" s="14" t="s">
        <v>2312</v>
      </c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4" t="s">
        <v>2459</v>
      </c>
      <c r="DT1" s="14" t="s">
        <v>2460</v>
      </c>
      <c r="DU1" s="14" t="s">
        <v>2461</v>
      </c>
      <c r="DV1" s="6" t="s">
        <v>2318</v>
      </c>
      <c r="DW1" s="6"/>
      <c r="DX1" s="6"/>
      <c r="DY1" s="14" t="s">
        <v>2317</v>
      </c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 t="s">
        <v>554</v>
      </c>
      <c r="ES1" s="14" t="s">
        <v>2462</v>
      </c>
      <c r="ET1" s="14" t="s">
        <v>2463</v>
      </c>
      <c r="EU1" s="14" t="s">
        <v>2464</v>
      </c>
      <c r="EV1" s="49"/>
      <c r="EW1" s="14" t="s">
        <v>2465</v>
      </c>
      <c r="EX1" s="14" t="s">
        <v>2466</v>
      </c>
      <c r="EY1" s="14" t="s">
        <v>2467</v>
      </c>
      <c r="EZ1" s="12" t="s">
        <v>734</v>
      </c>
      <c r="FA1" s="12" t="s">
        <v>1783</v>
      </c>
      <c r="FB1" s="12" t="s">
        <v>524</v>
      </c>
      <c r="FC1" s="12" t="s">
        <v>735</v>
      </c>
      <c r="FD1" s="12" t="s">
        <v>1784</v>
      </c>
      <c r="FE1" s="12" t="s">
        <v>525</v>
      </c>
      <c r="FF1" s="12" t="s">
        <v>736</v>
      </c>
      <c r="FG1" s="12" t="s">
        <v>2305</v>
      </c>
      <c r="FH1" s="13" t="s">
        <v>496</v>
      </c>
      <c r="FI1" s="13" t="s">
        <v>1782</v>
      </c>
      <c r="FJ1" s="13"/>
      <c r="FK1" s="14" t="s">
        <v>493</v>
      </c>
      <c r="FL1" s="14" t="s">
        <v>494</v>
      </c>
      <c r="FM1" s="13" t="s">
        <v>493</v>
      </c>
      <c r="FN1" s="13" t="s">
        <v>1783</v>
      </c>
      <c r="FO1" s="13" t="s">
        <v>524</v>
      </c>
      <c r="FP1" s="13" t="s">
        <v>494</v>
      </c>
      <c r="FQ1" s="13" t="s">
        <v>1784</v>
      </c>
      <c r="FR1" s="13" t="s">
        <v>525</v>
      </c>
      <c r="FS1" s="13" t="s">
        <v>495</v>
      </c>
      <c r="FT1" s="13" t="s">
        <v>509</v>
      </c>
      <c r="FU1" s="38" t="s">
        <v>2300</v>
      </c>
      <c r="FV1" s="38" t="s">
        <v>1782</v>
      </c>
      <c r="FW1" s="13" t="s">
        <v>497</v>
      </c>
      <c r="FX1" s="13" t="s">
        <v>555</v>
      </c>
      <c r="FY1" s="13" t="s">
        <v>1783</v>
      </c>
      <c r="FZ1" s="13" t="s">
        <v>524</v>
      </c>
      <c r="GA1" s="13" t="s">
        <v>556</v>
      </c>
      <c r="GB1" s="13" t="s">
        <v>1784</v>
      </c>
      <c r="GC1" s="13" t="s">
        <v>525</v>
      </c>
      <c r="GD1" s="13" t="s">
        <v>557</v>
      </c>
      <c r="GE1" s="13" t="s">
        <v>737</v>
      </c>
      <c r="GF1" s="13" t="s">
        <v>500</v>
      </c>
      <c r="GG1" s="13" t="s">
        <v>1782</v>
      </c>
      <c r="GH1" s="13" t="s">
        <v>559</v>
      </c>
      <c r="GI1" s="13" t="s">
        <v>642</v>
      </c>
      <c r="GJ1" s="13" t="s">
        <v>1783</v>
      </c>
      <c r="GK1" s="13" t="s">
        <v>524</v>
      </c>
      <c r="GL1" s="13" t="s">
        <v>643</v>
      </c>
      <c r="GM1" s="13" t="s">
        <v>1784</v>
      </c>
      <c r="GN1" s="13" t="s">
        <v>525</v>
      </c>
      <c r="GO1" s="13" t="s">
        <v>498</v>
      </c>
      <c r="GP1" s="13" t="s">
        <v>510</v>
      </c>
      <c r="GQ1" s="13" t="s">
        <v>502</v>
      </c>
      <c r="GR1" s="13" t="s">
        <v>1782</v>
      </c>
      <c r="GS1" s="13" t="s">
        <v>499</v>
      </c>
      <c r="GT1" s="13" t="s">
        <v>526</v>
      </c>
      <c r="GU1" s="13" t="s">
        <v>1783</v>
      </c>
      <c r="GV1" s="13" t="s">
        <v>524</v>
      </c>
      <c r="GW1" s="13" t="s">
        <v>528</v>
      </c>
      <c r="GX1" s="13" t="s">
        <v>1784</v>
      </c>
      <c r="GY1" s="13" t="s">
        <v>525</v>
      </c>
      <c r="GZ1" s="13" t="s">
        <v>527</v>
      </c>
      <c r="HA1" s="13" t="s">
        <v>511</v>
      </c>
      <c r="HB1" s="13" t="s">
        <v>558</v>
      </c>
      <c r="HC1" s="13" t="s">
        <v>1782</v>
      </c>
      <c r="HD1" s="13" t="s">
        <v>501</v>
      </c>
      <c r="HE1" s="13" t="s">
        <v>667</v>
      </c>
      <c r="HF1" s="13" t="s">
        <v>1783</v>
      </c>
      <c r="HG1" s="13" t="s">
        <v>524</v>
      </c>
      <c r="HH1" s="13" t="s">
        <v>767</v>
      </c>
      <c r="HI1" s="13" t="s">
        <v>1784</v>
      </c>
      <c r="HJ1" s="13" t="s">
        <v>525</v>
      </c>
      <c r="HK1" s="13" t="s">
        <v>12</v>
      </c>
      <c r="HL1" s="13" t="s">
        <v>2306</v>
      </c>
      <c r="HM1" s="13" t="s">
        <v>1785</v>
      </c>
      <c r="HN1" s="13" t="s">
        <v>1782</v>
      </c>
      <c r="HO1" s="13" t="s">
        <v>13</v>
      </c>
      <c r="HP1" s="13" t="s">
        <v>665</v>
      </c>
      <c r="HQ1" s="14" t="s">
        <v>698</v>
      </c>
      <c r="HR1" s="14" t="s">
        <v>524</v>
      </c>
      <c r="HS1" s="14" t="s">
        <v>503</v>
      </c>
      <c r="HT1" s="14" t="s">
        <v>525</v>
      </c>
      <c r="HU1" s="14" t="s">
        <v>14</v>
      </c>
      <c r="HV1" s="38" t="s">
        <v>2295</v>
      </c>
      <c r="HW1" s="38" t="s">
        <v>2296</v>
      </c>
      <c r="HX1" s="38" t="s">
        <v>2297</v>
      </c>
      <c r="HY1" s="2" t="s">
        <v>2468</v>
      </c>
      <c r="HZ1" s="2" t="s">
        <v>2469</v>
      </c>
      <c r="IA1" s="2" t="s">
        <v>2470</v>
      </c>
    </row>
    <row r="2" spans="1:235" s="15" customFormat="1" ht="23.4" customHeight="1" x14ac:dyDescent="0.25">
      <c r="A2" s="31">
        <v>0</v>
      </c>
      <c r="B2" s="27"/>
      <c r="C2" s="27"/>
      <c r="E2" s="27"/>
      <c r="I2" s="27"/>
      <c r="K2" s="27"/>
      <c r="O2" s="34"/>
      <c r="V2" s="31"/>
      <c r="W2" s="16"/>
      <c r="Y2" s="27"/>
      <c r="AC2" s="27"/>
      <c r="AJ2" s="15" t="s">
        <v>513</v>
      </c>
      <c r="AK2" s="15" t="s">
        <v>543</v>
      </c>
      <c r="AL2" s="15" t="s">
        <v>544</v>
      </c>
      <c r="AM2" s="27"/>
      <c r="AQ2" s="27"/>
      <c r="AR2" s="27"/>
      <c r="AS2" s="15" t="s">
        <v>505</v>
      </c>
      <c r="AT2" s="15" t="s">
        <v>489</v>
      </c>
      <c r="AU2" s="15" t="s">
        <v>491</v>
      </c>
      <c r="AV2" s="15" t="s">
        <v>1126</v>
      </c>
      <c r="AW2" s="15" t="s">
        <v>603</v>
      </c>
      <c r="AY2" s="15" t="s">
        <v>601</v>
      </c>
      <c r="BC2" s="15" t="s">
        <v>479</v>
      </c>
      <c r="BD2" s="15" t="s">
        <v>866</v>
      </c>
      <c r="BF2" s="15" t="s">
        <v>505</v>
      </c>
      <c r="BG2" s="15" t="s">
        <v>489</v>
      </c>
      <c r="BH2" s="15" t="s">
        <v>1065</v>
      </c>
      <c r="BI2" s="15" t="s">
        <v>1012</v>
      </c>
      <c r="BJ2" s="15" t="s">
        <v>1013</v>
      </c>
      <c r="BK2" s="15" t="s">
        <v>1014</v>
      </c>
      <c r="BL2" s="15" t="s">
        <v>1015</v>
      </c>
      <c r="BM2" s="15" t="s">
        <v>1320</v>
      </c>
      <c r="BN2" s="15" t="s">
        <v>1011</v>
      </c>
      <c r="BO2" s="15" t="s">
        <v>578</v>
      </c>
      <c r="BP2" s="16" t="s">
        <v>890</v>
      </c>
      <c r="BQ2" s="16" t="s">
        <v>891</v>
      </c>
      <c r="BR2" s="16" t="s">
        <v>892</v>
      </c>
      <c r="BS2" s="15" t="s">
        <v>603</v>
      </c>
      <c r="BU2" s="16" t="s">
        <v>889</v>
      </c>
      <c r="BV2" s="15" t="s">
        <v>479</v>
      </c>
      <c r="BW2" s="52" t="s">
        <v>2302</v>
      </c>
      <c r="BX2" s="15" t="s">
        <v>2303</v>
      </c>
      <c r="CC2" s="15" t="s">
        <v>608</v>
      </c>
      <c r="CD2" s="15" t="s">
        <v>489</v>
      </c>
      <c r="CE2" s="15" t="s">
        <v>641</v>
      </c>
      <c r="CG2" s="15" t="s">
        <v>629</v>
      </c>
      <c r="CH2" s="15" t="s">
        <v>505</v>
      </c>
      <c r="CI2" s="15" t="s">
        <v>2309</v>
      </c>
      <c r="CJ2" s="15" t="s">
        <v>786</v>
      </c>
      <c r="CK2" s="15" t="s">
        <v>579</v>
      </c>
      <c r="CL2" s="15" t="s">
        <v>631</v>
      </c>
      <c r="CM2" s="15" t="s">
        <v>720</v>
      </c>
      <c r="CN2" s="15" t="s">
        <v>773</v>
      </c>
      <c r="CO2" s="15" t="s">
        <v>719</v>
      </c>
      <c r="CP2" s="15" t="s">
        <v>580</v>
      </c>
      <c r="CQ2" s="15" t="s">
        <v>581</v>
      </c>
      <c r="CR2" s="15" t="s">
        <v>771</v>
      </c>
      <c r="CS2" s="15" t="s">
        <v>772</v>
      </c>
      <c r="CT2" s="15" t="s">
        <v>774</v>
      </c>
      <c r="CU2" s="15" t="s">
        <v>609</v>
      </c>
      <c r="CV2" s="52" t="s">
        <v>2310</v>
      </c>
      <c r="CW2" s="15" t="s">
        <v>709</v>
      </c>
      <c r="CX2" s="15" t="s">
        <v>2311</v>
      </c>
      <c r="DB2" s="15" t="s">
        <v>610</v>
      </c>
      <c r="DC2" s="15" t="s">
        <v>611</v>
      </c>
      <c r="DD2" s="15" t="s">
        <v>603</v>
      </c>
      <c r="DF2" s="15" t="s">
        <v>868</v>
      </c>
      <c r="DG2" s="15" t="s">
        <v>2313</v>
      </c>
      <c r="DH2" s="15" t="s">
        <v>2314</v>
      </c>
      <c r="DI2" s="15" t="s">
        <v>505</v>
      </c>
      <c r="DJ2" s="15" t="s">
        <v>2315</v>
      </c>
      <c r="DK2" s="15" t="s">
        <v>2316</v>
      </c>
      <c r="DL2" s="15" t="s">
        <v>720</v>
      </c>
      <c r="DM2" s="15" t="s">
        <v>719</v>
      </c>
      <c r="DN2" s="15" t="s">
        <v>580</v>
      </c>
      <c r="DO2" s="15" t="s">
        <v>581</v>
      </c>
      <c r="DP2" s="15" t="s">
        <v>578</v>
      </c>
      <c r="DQ2" s="15" t="s">
        <v>609</v>
      </c>
      <c r="DR2" s="52" t="s">
        <v>2319</v>
      </c>
      <c r="DV2" s="15" t="s">
        <v>505</v>
      </c>
      <c r="DW2" s="15" t="s">
        <v>489</v>
      </c>
      <c r="DX2" s="15" t="s">
        <v>603</v>
      </c>
      <c r="DZ2" s="15" t="s">
        <v>868</v>
      </c>
      <c r="EA2" s="15" t="s">
        <v>479</v>
      </c>
      <c r="EB2" s="15" t="s">
        <v>914</v>
      </c>
      <c r="EC2" s="15" t="s">
        <v>931</v>
      </c>
      <c r="ED2" s="15" t="s">
        <v>932</v>
      </c>
      <c r="EE2" s="15" t="s">
        <v>933</v>
      </c>
      <c r="EF2" s="15" t="s">
        <v>934</v>
      </c>
      <c r="EG2" s="15" t="s">
        <v>935</v>
      </c>
      <c r="EH2" s="15" t="s">
        <v>936</v>
      </c>
      <c r="EI2" s="15" t="s">
        <v>973</v>
      </c>
      <c r="EJ2" s="15" t="s">
        <v>915</v>
      </c>
      <c r="EK2" s="15" t="s">
        <v>916</v>
      </c>
      <c r="EL2" s="15" t="s">
        <v>917</v>
      </c>
      <c r="EM2" s="15" t="s">
        <v>918</v>
      </c>
      <c r="EN2" s="15" t="s">
        <v>919</v>
      </c>
      <c r="EO2" s="15" t="s">
        <v>609</v>
      </c>
      <c r="EP2" s="52" t="s">
        <v>2319</v>
      </c>
      <c r="EQ2" s="15" t="s">
        <v>504</v>
      </c>
      <c r="EV2" s="19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</row>
    <row r="3" spans="1:235" s="15" customFormat="1" x14ac:dyDescent="0.25">
      <c r="A3" s="31">
        <v>1</v>
      </c>
      <c r="B3" s="1">
        <v>1</v>
      </c>
      <c r="C3" s="1">
        <v>1</v>
      </c>
      <c r="D3" s="15" t="s">
        <v>514</v>
      </c>
      <c r="E3" s="1">
        <v>1</v>
      </c>
      <c r="F3" s="15" t="s">
        <v>761</v>
      </c>
      <c r="G3" s="15" t="s">
        <v>1188</v>
      </c>
      <c r="H3" s="15" t="s">
        <v>516</v>
      </c>
      <c r="I3" s="1">
        <v>2019</v>
      </c>
      <c r="J3" s="15" t="s">
        <v>515</v>
      </c>
      <c r="K3" s="1" t="s">
        <v>518</v>
      </c>
      <c r="L3" s="15" t="s">
        <v>519</v>
      </c>
      <c r="M3" s="15" t="s">
        <v>480</v>
      </c>
      <c r="N3" s="15" t="s">
        <v>520</v>
      </c>
      <c r="O3" s="31">
        <v>2</v>
      </c>
      <c r="P3" s="15">
        <v>28.53</v>
      </c>
      <c r="Q3" s="15">
        <v>109.45</v>
      </c>
      <c r="R3" s="15">
        <v>530</v>
      </c>
      <c r="S3" s="15">
        <v>1364</v>
      </c>
      <c r="T3" s="15">
        <v>15</v>
      </c>
      <c r="U3" s="15" t="s">
        <v>549</v>
      </c>
      <c r="V3" s="31">
        <v>1</v>
      </c>
      <c r="W3" s="16" t="s">
        <v>1158</v>
      </c>
      <c r="X3" s="15" t="s">
        <v>521</v>
      </c>
      <c r="Y3" s="1">
        <v>6</v>
      </c>
      <c r="Z3" s="15">
        <v>5.07</v>
      </c>
      <c r="AA3" s="15" t="s">
        <v>574</v>
      </c>
      <c r="AB3" s="15">
        <f t="shared" ref="AB3:AB34" si="0">Z3</f>
        <v>5.07</v>
      </c>
      <c r="AC3" s="1">
        <v>3</v>
      </c>
      <c r="AD3" s="15">
        <v>20.399999999999999</v>
      </c>
      <c r="AF3" s="15">
        <v>7.06</v>
      </c>
      <c r="AH3" s="15">
        <v>49.9</v>
      </c>
      <c r="AM3" s="1"/>
      <c r="AN3" s="15">
        <v>1.23</v>
      </c>
      <c r="AP3" s="15" t="s">
        <v>1180</v>
      </c>
      <c r="AQ3" s="1">
        <v>2</v>
      </c>
      <c r="AR3" s="1">
        <v>3</v>
      </c>
      <c r="AS3" s="15">
        <v>12.6</v>
      </c>
      <c r="AT3" s="15" t="s">
        <v>546</v>
      </c>
      <c r="AU3" s="15">
        <v>95</v>
      </c>
      <c r="AW3" s="15">
        <v>2250</v>
      </c>
      <c r="AX3" s="15">
        <f>AW3*1.35</f>
        <v>3037.5</v>
      </c>
      <c r="AY3" s="15" t="s">
        <v>766</v>
      </c>
      <c r="AZ3" s="15">
        <f t="shared" ref="AZ3:AZ9" si="1">AX3</f>
        <v>3037.5</v>
      </c>
      <c r="BA3" s="15">
        <f t="shared" ref="BA3:BA9" si="2">AZ3/2.93/1000</f>
        <v>1.0366894197952217</v>
      </c>
      <c r="BB3" s="15">
        <f t="shared" ref="BB3:BB9" si="3">AZ3*0.6</f>
        <v>1822.5</v>
      </c>
      <c r="BP3" s="16"/>
      <c r="BQ3" s="16"/>
      <c r="BR3" s="16"/>
      <c r="BU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>
        <f t="shared" ref="FK3:FK34" si="4">FM3</f>
        <v>5.0599999999999996</v>
      </c>
      <c r="FL3" s="16">
        <f t="shared" ref="FL3:FL34" si="5">FP3</f>
        <v>5.38</v>
      </c>
      <c r="FM3" s="15">
        <v>5.0599999999999996</v>
      </c>
      <c r="FN3" s="15">
        <v>0.21</v>
      </c>
      <c r="FO3" s="15">
        <f>FN3*SQRT(AR3)</f>
        <v>0.36373066958946421</v>
      </c>
      <c r="FP3" s="15">
        <v>5.38</v>
      </c>
      <c r="FQ3" s="15">
        <v>0.24</v>
      </c>
      <c r="FR3" s="15">
        <f>FQ3*SQRT(AR3)</f>
        <v>0.4156921938165305</v>
      </c>
      <c r="FS3" s="15">
        <f t="shared" ref="FS3:FS66" si="6">FP3/FM3</f>
        <v>1.0632411067193677</v>
      </c>
      <c r="FT3" s="15">
        <f t="shared" ref="FT3:FT66" si="7">FP3-FM3</f>
        <v>0.32000000000000028</v>
      </c>
      <c r="FU3" s="15">
        <f t="shared" ref="FU3:FU66" si="8">LN(FP3)-LN(FM3)</f>
        <v>6.1321890874318941E-2</v>
      </c>
      <c r="FV3" s="15">
        <f>((FR3*FR3)/(AR3*FP3*FP3)+(FO3*FO3)/(AR3*FM3*FM3))</f>
        <v>3.7124362850805715E-3</v>
      </c>
      <c r="GI3" s="15">
        <v>7.05</v>
      </c>
      <c r="GJ3" s="15">
        <v>7.0000000000000007E-2</v>
      </c>
      <c r="GK3" s="15">
        <f>GJ3*SQRT(AR3)</f>
        <v>0.12124355652982141</v>
      </c>
      <c r="GL3" s="15">
        <v>8.2899999999999991</v>
      </c>
      <c r="GM3" s="15">
        <v>0.18</v>
      </c>
      <c r="GN3" s="15">
        <f>GM3*SQRT(AR3)</f>
        <v>0.31176914536239786</v>
      </c>
      <c r="GO3" s="15">
        <f>GL3/GI3</f>
        <v>1.1758865248226948</v>
      </c>
      <c r="GP3" s="15">
        <f>GL3-GI3</f>
        <v>1.2399999999999993</v>
      </c>
      <c r="GQ3" s="15">
        <f>LN(GL3)-LN(GI3)</f>
        <v>0.16202235232302598</v>
      </c>
      <c r="GR3" s="15">
        <f>((GN3*GN3)/(AR3*GL3*GL3)+(GK3*GK3)/(AR3*GI3*GI3))</f>
        <v>5.7003692568359586E-4</v>
      </c>
      <c r="GT3" s="15">
        <v>52.25</v>
      </c>
      <c r="GU3" s="15">
        <v>3.1</v>
      </c>
      <c r="GV3" s="15">
        <f>GU3*SQRT(AR3)</f>
        <v>5.3693575034635197</v>
      </c>
      <c r="GW3" s="15">
        <v>52.82</v>
      </c>
      <c r="GX3" s="15">
        <v>1.31</v>
      </c>
      <c r="GY3" s="15">
        <f>GX3*SQRT(AR3)</f>
        <v>2.2689865579152291</v>
      </c>
      <c r="GZ3" s="15">
        <f>GW3/GT3</f>
        <v>1.010909090909091</v>
      </c>
      <c r="HA3" s="15">
        <f>GW3-GT3</f>
        <v>0.57000000000000028</v>
      </c>
      <c r="HB3" s="15">
        <f>LN(GW3)-LN(GT3)</f>
        <v>1.0850016024065656E-2</v>
      </c>
      <c r="HC3" s="15">
        <f>((GY3*GY3)/(AR3*GW3*GW3)+(GV3*GV3)/(AR3*GT3*GT3))</f>
        <v>4.1351660324721725E-3</v>
      </c>
      <c r="HE3" s="15">
        <v>1816</v>
      </c>
      <c r="HF3" s="15">
        <v>21</v>
      </c>
      <c r="HG3" s="15">
        <f>HF3*SQRT(AR3)</f>
        <v>36.373066958946424</v>
      </c>
      <c r="HH3" s="15">
        <v>1883</v>
      </c>
      <c r="HI3" s="15">
        <v>6.8</v>
      </c>
      <c r="HJ3" s="15">
        <f>HI3*SQRT(AR3)</f>
        <v>11.777945491468365</v>
      </c>
      <c r="HK3" s="15">
        <f>HH3/HE3</f>
        <v>1.0368942731277533</v>
      </c>
      <c r="HL3" s="15">
        <f>HH3-HE3</f>
        <v>67</v>
      </c>
      <c r="HM3" s="15">
        <f>LN(HH3)-LN(HE3)</f>
        <v>3.6229969495914283E-2</v>
      </c>
      <c r="HN3" s="15">
        <f>((HJ3*HJ3)/(AR3*HH3*HH3)+(HG3*HG3)/(AR3*HE3*HE3))</f>
        <v>1.4676443211390035E-4</v>
      </c>
      <c r="HP3" s="15" t="s">
        <v>666</v>
      </c>
      <c r="HV3" s="15">
        <f>HX3/HW3/100</f>
        <v>503.03658141515314</v>
      </c>
      <c r="HW3" s="15">
        <f>HM3</f>
        <v>3.6229969495914283E-2</v>
      </c>
      <c r="HX3" s="15">
        <f>BB3</f>
        <v>1822.5</v>
      </c>
      <c r="HY3" s="15">
        <f>AZ3</f>
        <v>3037.5</v>
      </c>
      <c r="HZ3" s="15">
        <f>BA3</f>
        <v>1.0366894197952217</v>
      </c>
      <c r="IA3" s="15">
        <f>BB3</f>
        <v>1822.5</v>
      </c>
    </row>
    <row r="4" spans="1:235" s="15" customFormat="1" x14ac:dyDescent="0.25">
      <c r="A4" s="31">
        <v>2</v>
      </c>
      <c r="B4" s="1">
        <v>2</v>
      </c>
      <c r="C4" s="1">
        <v>2</v>
      </c>
      <c r="D4" s="15" t="s">
        <v>615</v>
      </c>
      <c r="E4" s="1">
        <v>1</v>
      </c>
      <c r="F4" s="15" t="s">
        <v>761</v>
      </c>
      <c r="G4" s="15" t="s">
        <v>1187</v>
      </c>
      <c r="H4" s="15" t="s">
        <v>529</v>
      </c>
      <c r="I4" s="1">
        <v>2014</v>
      </c>
      <c r="J4" s="15" t="s">
        <v>533</v>
      </c>
      <c r="K4" s="1" t="s">
        <v>530</v>
      </c>
      <c r="L4" s="15" t="s">
        <v>531</v>
      </c>
      <c r="M4" s="15" t="s">
        <v>480</v>
      </c>
      <c r="N4" s="15" t="s">
        <v>520</v>
      </c>
      <c r="O4" s="31">
        <v>2</v>
      </c>
      <c r="P4" s="15">
        <v>30.64</v>
      </c>
      <c r="Q4" s="15">
        <v>111.6</v>
      </c>
      <c r="R4" s="15" t="s">
        <v>532</v>
      </c>
      <c r="U4" s="15" t="s">
        <v>549</v>
      </c>
      <c r="V4" s="31">
        <v>1</v>
      </c>
      <c r="W4" s="16" t="s">
        <v>1158</v>
      </c>
      <c r="X4" s="15" t="s">
        <v>1124</v>
      </c>
      <c r="Y4" s="1">
        <v>2</v>
      </c>
      <c r="Z4" s="15">
        <v>4.5199999999999996</v>
      </c>
      <c r="AA4" s="15" t="s">
        <v>574</v>
      </c>
      <c r="AB4" s="15">
        <f t="shared" si="0"/>
        <v>4.5199999999999996</v>
      </c>
      <c r="AC4" s="1">
        <v>2</v>
      </c>
      <c r="AD4" s="15">
        <v>14.96</v>
      </c>
      <c r="AF4" s="15" t="s">
        <v>532</v>
      </c>
      <c r="AM4" s="1"/>
      <c r="AP4" s="15" t="s">
        <v>1180</v>
      </c>
      <c r="AQ4" s="1">
        <v>2</v>
      </c>
      <c r="AR4" s="1">
        <v>4</v>
      </c>
      <c r="AS4" s="15">
        <v>12.3</v>
      </c>
      <c r="AT4" s="15" t="s">
        <v>545</v>
      </c>
      <c r="AU4" s="15">
        <v>98</v>
      </c>
      <c r="AW4" s="15">
        <v>2036</v>
      </c>
      <c r="AX4" s="15">
        <f>AW4*1.78</f>
        <v>3624.08</v>
      </c>
      <c r="AY4" s="15" t="s">
        <v>766</v>
      </c>
      <c r="AZ4" s="15">
        <f t="shared" si="1"/>
        <v>3624.08</v>
      </c>
      <c r="BA4" s="15">
        <f t="shared" si="2"/>
        <v>1.236887372013652</v>
      </c>
      <c r="BB4" s="15">
        <f t="shared" si="3"/>
        <v>2174.4479999999999</v>
      </c>
      <c r="BP4" s="16"/>
      <c r="BQ4" s="16"/>
      <c r="BR4" s="16"/>
      <c r="BU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>
        <f t="shared" si="4"/>
        <v>4.8899999999999997</v>
      </c>
      <c r="FL4" s="16">
        <f t="shared" si="5"/>
        <v>4.83</v>
      </c>
      <c r="FM4" s="15">
        <v>4.8899999999999997</v>
      </c>
      <c r="FN4" s="15">
        <v>0.4</v>
      </c>
      <c r="FO4" s="15">
        <f>FN4*SQRT(AR4)</f>
        <v>0.8</v>
      </c>
      <c r="FP4" s="15">
        <v>4.83</v>
      </c>
      <c r="FQ4" s="15">
        <v>0.4</v>
      </c>
      <c r="FR4" s="15">
        <f>FQ4*SQRT(AR4)</f>
        <v>0.8</v>
      </c>
      <c r="FS4" s="15">
        <f t="shared" si="6"/>
        <v>0.98773006134969332</v>
      </c>
      <c r="FT4" s="15">
        <f t="shared" si="7"/>
        <v>-5.9999999999999609E-2</v>
      </c>
      <c r="FU4" s="15">
        <f t="shared" si="8"/>
        <v>-1.23458358222992E-2</v>
      </c>
      <c r="FV4" s="15">
        <f>((FR4*FR4)/(AR4*FP4*FP4)+(FO4*FO4)/(AR4*FM4*FM4))</f>
        <v>1.3549619049977457E-2</v>
      </c>
      <c r="HY4" s="15">
        <f>AZ4</f>
        <v>3624.08</v>
      </c>
      <c r="HZ4" s="15">
        <f>BA4</f>
        <v>1.236887372013652</v>
      </c>
      <c r="IA4" s="15">
        <f>BB4</f>
        <v>2174.4479999999999</v>
      </c>
    </row>
    <row r="5" spans="1:235" s="15" customFormat="1" x14ac:dyDescent="0.25">
      <c r="A5" s="31">
        <v>3</v>
      </c>
      <c r="B5" s="1">
        <v>2</v>
      </c>
      <c r="C5" s="1">
        <v>2</v>
      </c>
      <c r="D5" s="15" t="s">
        <v>616</v>
      </c>
      <c r="E5" s="1">
        <v>1</v>
      </c>
      <c r="F5" s="15" t="s">
        <v>761</v>
      </c>
      <c r="G5" s="15" t="s">
        <v>1187</v>
      </c>
      <c r="H5" s="15" t="s">
        <v>529</v>
      </c>
      <c r="I5" s="1">
        <v>2014</v>
      </c>
      <c r="J5" s="15" t="s">
        <v>533</v>
      </c>
      <c r="K5" s="1" t="s">
        <v>530</v>
      </c>
      <c r="L5" s="15" t="s">
        <v>531</v>
      </c>
      <c r="M5" s="15" t="s">
        <v>480</v>
      </c>
      <c r="N5" s="15" t="s">
        <v>520</v>
      </c>
      <c r="O5" s="31">
        <v>2</v>
      </c>
      <c r="P5" s="15">
        <v>30.64</v>
      </c>
      <c r="Q5" s="15">
        <v>111.6</v>
      </c>
      <c r="R5" s="15" t="s">
        <v>532</v>
      </c>
      <c r="U5" s="15" t="s">
        <v>549</v>
      </c>
      <c r="V5" s="31">
        <v>1</v>
      </c>
      <c r="W5" s="16" t="s">
        <v>1158</v>
      </c>
      <c r="X5" s="15" t="s">
        <v>1124</v>
      </c>
      <c r="Y5" s="1">
        <v>2</v>
      </c>
      <c r="Z5" s="15">
        <v>4.5199999999999996</v>
      </c>
      <c r="AA5" s="15" t="s">
        <v>574</v>
      </c>
      <c r="AB5" s="15">
        <f t="shared" si="0"/>
        <v>4.5199999999999996</v>
      </c>
      <c r="AC5" s="1">
        <v>2</v>
      </c>
      <c r="AD5" s="15">
        <v>14.96</v>
      </c>
      <c r="AF5" s="15" t="s">
        <v>532</v>
      </c>
      <c r="AM5" s="1"/>
      <c r="AP5" s="15" t="s">
        <v>1180</v>
      </c>
      <c r="AQ5" s="1">
        <v>2</v>
      </c>
      <c r="AR5" s="1">
        <v>4</v>
      </c>
      <c r="AS5" s="15">
        <v>12.3</v>
      </c>
      <c r="AT5" s="15" t="s">
        <v>545</v>
      </c>
      <c r="AU5" s="15">
        <v>98</v>
      </c>
      <c r="AW5" s="15">
        <v>2962</v>
      </c>
      <c r="AX5" s="15">
        <f>AW5*1.78</f>
        <v>5272.36</v>
      </c>
      <c r="AY5" s="15" t="s">
        <v>766</v>
      </c>
      <c r="AZ5" s="15">
        <f t="shared" si="1"/>
        <v>5272.36</v>
      </c>
      <c r="BA5" s="15">
        <f t="shared" si="2"/>
        <v>1.7994402730375425</v>
      </c>
      <c r="BB5" s="15">
        <f t="shared" si="3"/>
        <v>3163.4159999999997</v>
      </c>
      <c r="BP5" s="16"/>
      <c r="BQ5" s="16"/>
      <c r="BR5" s="16"/>
      <c r="BU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>
        <f t="shared" si="4"/>
        <v>4.8899999999999997</v>
      </c>
      <c r="FL5" s="16">
        <f t="shared" si="5"/>
        <v>5.0199999999999996</v>
      </c>
      <c r="FM5" s="15">
        <v>4.8899999999999997</v>
      </c>
      <c r="FN5" s="15">
        <v>0.4</v>
      </c>
      <c r="FO5" s="15">
        <f>FN5*SQRT(AR5)</f>
        <v>0.8</v>
      </c>
      <c r="FP5" s="15">
        <v>5.0199999999999996</v>
      </c>
      <c r="FQ5" s="15">
        <v>0.5</v>
      </c>
      <c r="FR5" s="15">
        <f>FQ5*SQRT(AR5)</f>
        <v>1</v>
      </c>
      <c r="FS5" s="15">
        <f t="shared" si="6"/>
        <v>1.0265848670756645</v>
      </c>
      <c r="FT5" s="15">
        <f t="shared" si="7"/>
        <v>0.12999999999999989</v>
      </c>
      <c r="FU5" s="15">
        <f t="shared" si="8"/>
        <v>2.6237630216857211E-2</v>
      </c>
      <c r="FV5" s="15">
        <f>((FR5*FR5)/(AR5*FP5*FP5)+(FO5*FO5)/(AR5*FM5*FM5))</f>
        <v>1.661165054084069E-2</v>
      </c>
      <c r="HY5" s="15">
        <f>AZ5</f>
        <v>5272.36</v>
      </c>
      <c r="HZ5" s="15">
        <f>BA5</f>
        <v>1.7994402730375425</v>
      </c>
      <c r="IA5" s="15">
        <f>BB5</f>
        <v>3163.4159999999997</v>
      </c>
    </row>
    <row r="6" spans="1:235" s="15" customFormat="1" x14ac:dyDescent="0.25">
      <c r="A6" s="31">
        <v>4</v>
      </c>
      <c r="B6" s="1">
        <v>2</v>
      </c>
      <c r="C6" s="1">
        <v>2</v>
      </c>
      <c r="D6" s="15" t="s">
        <v>617</v>
      </c>
      <c r="E6" s="1">
        <v>1</v>
      </c>
      <c r="F6" s="15" t="s">
        <v>761</v>
      </c>
      <c r="G6" s="15" t="s">
        <v>1187</v>
      </c>
      <c r="H6" s="15" t="s">
        <v>529</v>
      </c>
      <c r="I6" s="1">
        <v>2014</v>
      </c>
      <c r="J6" s="15" t="s">
        <v>533</v>
      </c>
      <c r="K6" s="1" t="s">
        <v>530</v>
      </c>
      <c r="L6" s="15" t="s">
        <v>531</v>
      </c>
      <c r="M6" s="15" t="s">
        <v>480</v>
      </c>
      <c r="N6" s="15" t="s">
        <v>520</v>
      </c>
      <c r="O6" s="31">
        <v>2</v>
      </c>
      <c r="P6" s="15">
        <v>30.64</v>
      </c>
      <c r="Q6" s="15">
        <v>111.6</v>
      </c>
      <c r="R6" s="15" t="s">
        <v>532</v>
      </c>
      <c r="U6" s="15" t="s">
        <v>549</v>
      </c>
      <c r="V6" s="31">
        <v>1</v>
      </c>
      <c r="W6" s="16" t="s">
        <v>1158</v>
      </c>
      <c r="X6" s="15" t="s">
        <v>1124</v>
      </c>
      <c r="Y6" s="1">
        <v>2</v>
      </c>
      <c r="Z6" s="15">
        <v>4.5199999999999996</v>
      </c>
      <c r="AA6" s="15" t="s">
        <v>573</v>
      </c>
      <c r="AB6" s="15">
        <f t="shared" si="0"/>
        <v>4.5199999999999996</v>
      </c>
      <c r="AC6" s="1">
        <v>2</v>
      </c>
      <c r="AD6" s="15">
        <v>14.96</v>
      </c>
      <c r="AF6" s="15" t="s">
        <v>532</v>
      </c>
      <c r="AM6" s="1"/>
      <c r="AP6" s="15" t="s">
        <v>1180</v>
      </c>
      <c r="AQ6" s="1">
        <v>2</v>
      </c>
      <c r="AR6" s="1">
        <v>4</v>
      </c>
      <c r="AS6" s="15">
        <v>12.3</v>
      </c>
      <c r="AT6" s="15" t="s">
        <v>545</v>
      </c>
      <c r="AU6" s="15">
        <v>98</v>
      </c>
      <c r="AW6" s="15">
        <v>3887</v>
      </c>
      <c r="AX6" s="15">
        <f>AW6*1.78</f>
        <v>6918.86</v>
      </c>
      <c r="AY6" s="15" t="s">
        <v>766</v>
      </c>
      <c r="AZ6" s="15">
        <f t="shared" si="1"/>
        <v>6918.86</v>
      </c>
      <c r="BA6" s="15">
        <f t="shared" si="2"/>
        <v>2.36138566552901</v>
      </c>
      <c r="BB6" s="15">
        <f t="shared" si="3"/>
        <v>4151.3159999999998</v>
      </c>
      <c r="BP6" s="16"/>
      <c r="BQ6" s="16"/>
      <c r="BR6" s="16"/>
      <c r="BU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>
        <f t="shared" si="4"/>
        <v>4.8899999999999997</v>
      </c>
      <c r="FL6" s="16">
        <f t="shared" si="5"/>
        <v>5.46</v>
      </c>
      <c r="FM6" s="15">
        <v>4.8899999999999997</v>
      </c>
      <c r="FN6" s="15">
        <v>0.4</v>
      </c>
      <c r="FO6" s="15">
        <f>FN6*SQRT(AR6)</f>
        <v>0.8</v>
      </c>
      <c r="FP6" s="15">
        <v>5.46</v>
      </c>
      <c r="FQ6" s="15">
        <v>0.5</v>
      </c>
      <c r="FR6" s="15">
        <f>FQ6*SQRT(AR6)</f>
        <v>1</v>
      </c>
      <c r="FS6" s="15">
        <f t="shared" si="6"/>
        <v>1.1165644171779141</v>
      </c>
      <c r="FT6" s="15">
        <f t="shared" si="7"/>
        <v>0.57000000000000028</v>
      </c>
      <c r="FU6" s="15">
        <f t="shared" si="8"/>
        <v>0.11025648627003304</v>
      </c>
      <c r="FV6" s="15">
        <f>((FR6*FR6)/(AR6*FP6*FP6)+(FO6*FO6)/(AR6*FM6*FM6))</f>
        <v>1.5077170485088252E-2</v>
      </c>
      <c r="HY6" s="15">
        <f>AZ6</f>
        <v>6918.86</v>
      </c>
      <c r="HZ6" s="15">
        <f>BA6</f>
        <v>2.36138566552901</v>
      </c>
      <c r="IA6" s="15">
        <f>BB6</f>
        <v>4151.3159999999998</v>
      </c>
    </row>
    <row r="7" spans="1:235" s="15" customFormat="1" ht="15" customHeight="1" x14ac:dyDescent="0.25">
      <c r="A7" s="31">
        <v>5</v>
      </c>
      <c r="B7" s="1">
        <v>2</v>
      </c>
      <c r="C7" s="1">
        <v>2</v>
      </c>
      <c r="D7" s="15" t="s">
        <v>618</v>
      </c>
      <c r="E7" s="1">
        <v>1</v>
      </c>
      <c r="F7" s="15" t="s">
        <v>761</v>
      </c>
      <c r="G7" s="15" t="s">
        <v>1187</v>
      </c>
      <c r="H7" s="15" t="s">
        <v>529</v>
      </c>
      <c r="I7" s="1">
        <v>2014</v>
      </c>
      <c r="J7" s="15" t="s">
        <v>533</v>
      </c>
      <c r="K7" s="1" t="s">
        <v>530</v>
      </c>
      <c r="L7" s="15" t="s">
        <v>531</v>
      </c>
      <c r="M7" s="15" t="s">
        <v>480</v>
      </c>
      <c r="N7" s="15" t="s">
        <v>520</v>
      </c>
      <c r="O7" s="31">
        <v>2</v>
      </c>
      <c r="P7" s="15">
        <v>30.64</v>
      </c>
      <c r="Q7" s="15">
        <v>111.6</v>
      </c>
      <c r="R7" s="15" t="s">
        <v>532</v>
      </c>
      <c r="U7" s="15" t="s">
        <v>549</v>
      </c>
      <c r="V7" s="31">
        <v>1</v>
      </c>
      <c r="W7" s="16" t="s">
        <v>1158</v>
      </c>
      <c r="X7" s="15" t="s">
        <v>1124</v>
      </c>
      <c r="Y7" s="1">
        <v>2</v>
      </c>
      <c r="Z7" s="15">
        <v>4.5199999999999996</v>
      </c>
      <c r="AA7" s="15" t="s">
        <v>573</v>
      </c>
      <c r="AB7" s="15">
        <f t="shared" si="0"/>
        <v>4.5199999999999996</v>
      </c>
      <c r="AC7" s="1">
        <v>2</v>
      </c>
      <c r="AD7" s="15">
        <v>14.96</v>
      </c>
      <c r="AF7" s="15" t="s">
        <v>532</v>
      </c>
      <c r="AM7" s="1"/>
      <c r="AP7" s="15" t="s">
        <v>1180</v>
      </c>
      <c r="AQ7" s="1">
        <v>2</v>
      </c>
      <c r="AR7" s="1">
        <v>4</v>
      </c>
      <c r="AS7" s="15">
        <v>12.3</v>
      </c>
      <c r="AT7" s="15" t="s">
        <v>545</v>
      </c>
      <c r="AU7" s="15">
        <v>98</v>
      </c>
      <c r="AW7" s="15">
        <v>4813</v>
      </c>
      <c r="AX7" s="15">
        <f>AW7*1.78</f>
        <v>8567.14</v>
      </c>
      <c r="AY7" s="15" t="s">
        <v>766</v>
      </c>
      <c r="AZ7" s="15">
        <f t="shared" si="1"/>
        <v>8567.14</v>
      </c>
      <c r="BA7" s="15">
        <f t="shared" si="2"/>
        <v>2.9239385665529007</v>
      </c>
      <c r="BB7" s="15">
        <f t="shared" si="3"/>
        <v>5140.2839999999997</v>
      </c>
      <c r="BP7" s="16"/>
      <c r="BQ7" s="16"/>
      <c r="BR7" s="16"/>
      <c r="BU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>
        <f t="shared" si="4"/>
        <v>4.8899999999999997</v>
      </c>
      <c r="FL7" s="16">
        <f t="shared" si="5"/>
        <v>5.7</v>
      </c>
      <c r="FM7" s="15">
        <v>4.8899999999999997</v>
      </c>
      <c r="FN7" s="15">
        <v>0.4</v>
      </c>
      <c r="FO7" s="15">
        <f>FN7*SQRT(AR7)</f>
        <v>0.8</v>
      </c>
      <c r="FP7" s="15">
        <v>5.7</v>
      </c>
      <c r="FQ7" s="15">
        <v>0.5</v>
      </c>
      <c r="FR7" s="15">
        <f>FQ7*SQRT(AR7)</f>
        <v>1</v>
      </c>
      <c r="FS7" s="15">
        <f t="shared" si="6"/>
        <v>1.1656441717791413</v>
      </c>
      <c r="FT7" s="15">
        <f t="shared" si="7"/>
        <v>0.8100000000000005</v>
      </c>
      <c r="FU7" s="15">
        <f t="shared" si="8"/>
        <v>0.15327387135372406</v>
      </c>
      <c r="FV7" s="15">
        <f>((FR7*FR7)/(AR7*FP7*FP7)+(FO7*FO7)/(AR7*FM7*FM7))</f>
        <v>1.4385848372804828E-2</v>
      </c>
      <c r="HY7" s="15">
        <f>AZ7</f>
        <v>8567.14</v>
      </c>
      <c r="HZ7" s="15">
        <f>BA7</f>
        <v>2.9239385665529007</v>
      </c>
      <c r="IA7" s="15">
        <f>BB7</f>
        <v>5140.2839999999997</v>
      </c>
    </row>
    <row r="8" spans="1:235" s="15" customFormat="1" ht="13.8" customHeight="1" x14ac:dyDescent="0.25">
      <c r="A8" s="31">
        <v>6</v>
      </c>
      <c r="B8" s="1">
        <v>3</v>
      </c>
      <c r="C8" s="1">
        <v>3</v>
      </c>
      <c r="D8" s="15" t="s">
        <v>619</v>
      </c>
      <c r="E8" s="1">
        <v>1</v>
      </c>
      <c r="F8" s="15" t="s">
        <v>761</v>
      </c>
      <c r="G8" s="15" t="s">
        <v>534</v>
      </c>
      <c r="H8" s="15" t="s">
        <v>535</v>
      </c>
      <c r="I8" s="1">
        <v>2006</v>
      </c>
      <c r="J8" s="15" t="s">
        <v>536</v>
      </c>
      <c r="K8" s="1" t="s">
        <v>537</v>
      </c>
      <c r="L8" s="15" t="s">
        <v>539</v>
      </c>
      <c r="M8" s="15" t="s">
        <v>540</v>
      </c>
      <c r="N8" s="15" t="s">
        <v>538</v>
      </c>
      <c r="O8" s="31">
        <v>1</v>
      </c>
      <c r="P8" s="15">
        <v>3.5</v>
      </c>
      <c r="Q8" s="15">
        <v>11.33</v>
      </c>
      <c r="R8" s="15">
        <v>560</v>
      </c>
      <c r="S8" s="15">
        <v>1800</v>
      </c>
      <c r="U8" s="15" t="s">
        <v>549</v>
      </c>
      <c r="V8" s="31">
        <v>1</v>
      </c>
      <c r="W8" s="16" t="s">
        <v>1161</v>
      </c>
      <c r="X8" s="15" t="s">
        <v>550</v>
      </c>
      <c r="Y8" s="1">
        <v>12</v>
      </c>
      <c r="Z8" s="15">
        <v>4.76</v>
      </c>
      <c r="AA8" s="15" t="s">
        <v>573</v>
      </c>
      <c r="AB8" s="15">
        <f t="shared" si="0"/>
        <v>4.76</v>
      </c>
      <c r="AC8" s="1">
        <v>2</v>
      </c>
      <c r="AD8" s="15" t="s">
        <v>532</v>
      </c>
      <c r="AF8" s="15">
        <v>3.69</v>
      </c>
      <c r="AH8" s="15">
        <v>32.5</v>
      </c>
      <c r="AM8" s="1"/>
      <c r="AP8" s="15" t="s">
        <v>541</v>
      </c>
      <c r="AQ8" s="1">
        <v>1</v>
      </c>
      <c r="AR8" s="1">
        <v>6</v>
      </c>
      <c r="AT8" s="15" t="s">
        <v>993</v>
      </c>
      <c r="AW8" s="15">
        <v>2000</v>
      </c>
      <c r="AX8" s="15">
        <f>AW8*1.09</f>
        <v>2180</v>
      </c>
      <c r="AY8" s="15" t="s">
        <v>766</v>
      </c>
      <c r="AZ8" s="15">
        <f t="shared" si="1"/>
        <v>2180</v>
      </c>
      <c r="BA8" s="15">
        <f t="shared" si="2"/>
        <v>0.74402730375426618</v>
      </c>
      <c r="BB8" s="15">
        <f t="shared" si="3"/>
        <v>1308</v>
      </c>
      <c r="BP8" s="16"/>
      <c r="BQ8" s="16"/>
      <c r="BR8" s="16"/>
      <c r="BU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>
        <f t="shared" si="4"/>
        <v>4.54</v>
      </c>
      <c r="FL8" s="16">
        <f t="shared" si="5"/>
        <v>4.7699999999999996</v>
      </c>
      <c r="FM8" s="15">
        <v>4.54</v>
      </c>
      <c r="FN8" s="15">
        <v>0.45</v>
      </c>
      <c r="FO8" s="15">
        <f>FN8*SQRT(AR8)</f>
        <v>1.1022703842524302</v>
      </c>
      <c r="FP8" s="15">
        <v>4.7699999999999996</v>
      </c>
      <c r="FQ8" s="15">
        <v>0.47</v>
      </c>
      <c r="FR8" s="15">
        <f>FQ8*SQRT(AR8)</f>
        <v>1.1512601791080936</v>
      </c>
      <c r="FS8" s="15">
        <f t="shared" si="6"/>
        <v>1.0506607929515417</v>
      </c>
      <c r="FT8" s="15">
        <f t="shared" si="7"/>
        <v>0.22999999999999954</v>
      </c>
      <c r="FU8" s="15">
        <f t="shared" si="8"/>
        <v>4.9419292846993201E-2</v>
      </c>
      <c r="FV8" s="15">
        <f>((FR8*FR8)/(AR8*FP8*FP8)+(FO8*FO8)/(AR8*FM8*FM8))</f>
        <v>1.9533217331580872E-2</v>
      </c>
      <c r="GI8" s="15">
        <v>4.04</v>
      </c>
      <c r="GJ8" s="15">
        <v>0.4</v>
      </c>
      <c r="GK8" s="15">
        <f>GJ8*SQRT(AR8)</f>
        <v>0.9797958971132712</v>
      </c>
      <c r="GL8" s="15">
        <v>4.1399999999999997</v>
      </c>
      <c r="GM8" s="15">
        <v>0.4</v>
      </c>
      <c r="GN8" s="15">
        <f>GM8*SQRT(AR8)</f>
        <v>0.9797958971132712</v>
      </c>
      <c r="GO8" s="15">
        <f t="shared" ref="GO8:GO16" si="9">GL8/GI8</f>
        <v>1.0247524752475248</v>
      </c>
      <c r="GP8" s="15">
        <f t="shared" ref="GP8:GP16" si="10">GL8-GI8</f>
        <v>9.9999999999999645E-2</v>
      </c>
      <c r="GQ8" s="15">
        <f t="shared" ref="GQ8:GQ16" si="11">LN(GL8)-LN(GI8)</f>
        <v>2.4451095864164163E-2</v>
      </c>
      <c r="GR8" s="15">
        <f>((GN8*GN8)/(AR8*GL8*GL8)+(GK8*GK8)/(AR8*GI8*GI8))</f>
        <v>1.9138067497733238E-2</v>
      </c>
      <c r="GT8" s="15">
        <v>38.6</v>
      </c>
      <c r="GU8" s="15">
        <v>3.9</v>
      </c>
      <c r="GV8" s="15">
        <f>GU8*SQRT(AR8)</f>
        <v>9.553009996854394</v>
      </c>
      <c r="GW8" s="15">
        <v>65.8</v>
      </c>
      <c r="GX8" s="15">
        <v>6.6</v>
      </c>
      <c r="GY8" s="15">
        <f>GX8*SQRT(AR8)</f>
        <v>16.166632302368974</v>
      </c>
      <c r="GZ8" s="15">
        <f t="shared" ref="GZ8:GZ13" si="12">GW8/GT8</f>
        <v>1.704663212435233</v>
      </c>
      <c r="HA8" s="15">
        <f t="shared" ref="HA8:HA13" si="13">GW8-GT8</f>
        <v>27.199999999999996</v>
      </c>
      <c r="HB8" s="15">
        <f t="shared" ref="HB8:HB13" si="14">LN(GW8)-LN(GT8)</f>
        <v>0.53336756186048628</v>
      </c>
      <c r="HC8" s="15">
        <f>((GY8*GY8)/(AR8*GW8*GW8)+(GV8*GV8)/(AR8*GT8*GT8))</f>
        <v>2.0269210400332228E-2</v>
      </c>
      <c r="HE8" s="15">
        <v>2095</v>
      </c>
      <c r="HF8" s="15">
        <v>209</v>
      </c>
      <c r="HG8" s="15">
        <f>HF8*SQRT(AR8)</f>
        <v>511.94335624168417</v>
      </c>
      <c r="HH8" s="15">
        <v>3817</v>
      </c>
      <c r="HI8" s="15">
        <v>382</v>
      </c>
      <c r="HJ8" s="15">
        <f>HI8*SQRT(AR8)</f>
        <v>935.70508174317399</v>
      </c>
      <c r="HK8" s="15">
        <f t="shared" ref="HK8:HK13" si="15">HH8/HE8</f>
        <v>1.8219570405727923</v>
      </c>
      <c r="HL8" s="15">
        <f t="shared" ref="HL8:HL13" si="16">HH8-HE8</f>
        <v>1722</v>
      </c>
      <c r="HM8" s="15">
        <f t="shared" ref="HM8:HM13" si="17">LN(HH8)-LN(HE8)</f>
        <v>0.59991122038899114</v>
      </c>
      <c r="HN8" s="15">
        <f>((HJ8*HJ8)/(AR8*HH8*HH8)+(HG8*HG8)/(AR8*HE8*HE8))</f>
        <v>1.9968049591820122E-2</v>
      </c>
      <c r="HP8" s="15" t="s">
        <v>666</v>
      </c>
      <c r="HV8" s="15">
        <f t="shared" ref="HV8:HV13" si="18">HX8/HW8/100</f>
        <v>21.803226136558568</v>
      </c>
      <c r="HW8" s="15">
        <f t="shared" ref="HW8:HW13" si="19">HM8</f>
        <v>0.59991122038899114</v>
      </c>
      <c r="HX8" s="15">
        <f>BB8</f>
        <v>1308</v>
      </c>
      <c r="HY8" s="15">
        <f>AZ8</f>
        <v>2180</v>
      </c>
      <c r="HZ8" s="15">
        <f>BA8</f>
        <v>0.74402730375426618</v>
      </c>
      <c r="IA8" s="15">
        <f>BB8</f>
        <v>1308</v>
      </c>
    </row>
    <row r="9" spans="1:235" s="15" customFormat="1" ht="13.8" customHeight="1" x14ac:dyDescent="0.25">
      <c r="A9" s="31">
        <v>7</v>
      </c>
      <c r="B9" s="1">
        <v>3</v>
      </c>
      <c r="C9" s="1">
        <v>3</v>
      </c>
      <c r="D9" s="15" t="s">
        <v>614</v>
      </c>
      <c r="E9" s="1">
        <v>1</v>
      </c>
      <c r="F9" s="15" t="s">
        <v>761</v>
      </c>
      <c r="G9" s="15" t="s">
        <v>534</v>
      </c>
      <c r="H9" s="15" t="s">
        <v>535</v>
      </c>
      <c r="I9" s="1">
        <v>2006</v>
      </c>
      <c r="J9" s="15" t="s">
        <v>536</v>
      </c>
      <c r="K9" s="1" t="s">
        <v>537</v>
      </c>
      <c r="L9" s="15" t="s">
        <v>539</v>
      </c>
      <c r="M9" s="15" t="s">
        <v>540</v>
      </c>
      <c r="N9" s="15" t="s">
        <v>538</v>
      </c>
      <c r="O9" s="31">
        <v>1</v>
      </c>
      <c r="P9" s="15">
        <v>3.5</v>
      </c>
      <c r="Q9" s="15">
        <v>11.33</v>
      </c>
      <c r="R9" s="15">
        <v>560</v>
      </c>
      <c r="S9" s="15">
        <v>1800</v>
      </c>
      <c r="U9" s="15" t="s">
        <v>549</v>
      </c>
      <c r="V9" s="31">
        <v>1</v>
      </c>
      <c r="W9" s="16" t="s">
        <v>1161</v>
      </c>
      <c r="X9" s="15" t="s">
        <v>551</v>
      </c>
      <c r="Y9" s="1">
        <v>12</v>
      </c>
      <c r="Z9" s="15">
        <v>4.76</v>
      </c>
      <c r="AA9" s="15" t="s">
        <v>574</v>
      </c>
      <c r="AB9" s="15">
        <f t="shared" si="0"/>
        <v>4.76</v>
      </c>
      <c r="AC9" s="1">
        <v>2</v>
      </c>
      <c r="AD9" s="15" t="s">
        <v>532</v>
      </c>
      <c r="AF9" s="15">
        <v>3.69</v>
      </c>
      <c r="AH9" s="15">
        <v>32.5</v>
      </c>
      <c r="AM9" s="1"/>
      <c r="AP9" s="15" t="s">
        <v>541</v>
      </c>
      <c r="AQ9" s="1">
        <v>1</v>
      </c>
      <c r="AR9" s="1">
        <v>6</v>
      </c>
      <c r="AT9" s="15" t="s">
        <v>993</v>
      </c>
      <c r="AW9" s="15">
        <v>2000</v>
      </c>
      <c r="AX9" s="15">
        <f>AW9*1.09</f>
        <v>2180</v>
      </c>
      <c r="AY9" s="15" t="s">
        <v>766</v>
      </c>
      <c r="AZ9" s="15">
        <f t="shared" si="1"/>
        <v>2180</v>
      </c>
      <c r="BA9" s="15">
        <f t="shared" si="2"/>
        <v>0.74402730375426618</v>
      </c>
      <c r="BB9" s="15">
        <f t="shared" si="3"/>
        <v>1308</v>
      </c>
      <c r="BP9" s="16"/>
      <c r="BQ9" s="16"/>
      <c r="BR9" s="16"/>
      <c r="BU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>
        <f t="shared" si="4"/>
        <v>4.51</v>
      </c>
      <c r="FL9" s="16">
        <f t="shared" si="5"/>
        <v>4.88</v>
      </c>
      <c r="FM9" s="15">
        <v>4.51</v>
      </c>
      <c r="FN9" s="15">
        <v>0.45</v>
      </c>
      <c r="FO9" s="15">
        <f>FN9*SQRT(AR9)</f>
        <v>1.1022703842524302</v>
      </c>
      <c r="FP9" s="15">
        <v>4.88</v>
      </c>
      <c r="FQ9" s="15">
        <v>0.49</v>
      </c>
      <c r="FR9" s="15">
        <f>FQ9*SQRT(AR9)</f>
        <v>1.2002499739637571</v>
      </c>
      <c r="FS9" s="15">
        <f t="shared" si="6"/>
        <v>1.082039911308204</v>
      </c>
      <c r="FT9" s="15">
        <f t="shared" si="7"/>
        <v>0.37000000000000011</v>
      </c>
      <c r="FU9" s="15">
        <f t="shared" si="8"/>
        <v>7.8848066350468704E-2</v>
      </c>
      <c r="FV9" s="15">
        <f>((FR9*FR9)/(AR9*FP9*FP9)+(FO9*FO9)/(AR9*FM9*FM9))</f>
        <v>2.0037838444677707E-2</v>
      </c>
      <c r="GI9" s="15">
        <v>3.82</v>
      </c>
      <c r="GJ9" s="15">
        <v>0.4</v>
      </c>
      <c r="GK9" s="15">
        <f>GJ9*SQRT(AR9)</f>
        <v>0.9797958971132712</v>
      </c>
      <c r="GL9" s="15">
        <v>4.07</v>
      </c>
      <c r="GM9" s="15">
        <v>0.4</v>
      </c>
      <c r="GN9" s="15">
        <f>GM9*SQRT(AR9)</f>
        <v>0.9797958971132712</v>
      </c>
      <c r="GO9" s="15">
        <f t="shared" si="9"/>
        <v>1.0654450261780106</v>
      </c>
      <c r="GP9" s="15">
        <f t="shared" si="10"/>
        <v>0.25000000000000044</v>
      </c>
      <c r="GQ9" s="15">
        <f t="shared" si="11"/>
        <v>6.3392576836019954E-2</v>
      </c>
      <c r="GR9" s="15">
        <f>((GN9*GN9)/(AR9*GL9*GL9)+(GK9*GK9)/(AR9*GI9*GI9))</f>
        <v>2.0623589433633394E-2</v>
      </c>
      <c r="GT9" s="15">
        <v>36.65</v>
      </c>
      <c r="GU9" s="15">
        <v>3.7</v>
      </c>
      <c r="GV9" s="15">
        <f>GU9*SQRT(AR9)</f>
        <v>9.063112048297759</v>
      </c>
      <c r="GW9" s="15">
        <v>68.3</v>
      </c>
      <c r="GX9" s="15">
        <v>6.8</v>
      </c>
      <c r="GY9" s="15">
        <f>GX9*SQRT(AR9)</f>
        <v>16.656530250925609</v>
      </c>
      <c r="GZ9" s="15">
        <f t="shared" si="12"/>
        <v>1.8635743519781718</v>
      </c>
      <c r="HA9" s="15">
        <f t="shared" si="13"/>
        <v>31.65</v>
      </c>
      <c r="HB9" s="15">
        <f t="shared" si="14"/>
        <v>0.62249633824408379</v>
      </c>
      <c r="HC9" s="15">
        <f>((GY9*GY9)/(AR9*GW9*GW9)+(GV9*GV9)/(AR9*GT9*GT9))</f>
        <v>2.0104253093139027E-2</v>
      </c>
      <c r="HE9" s="15">
        <v>1305</v>
      </c>
      <c r="HF9" s="15">
        <v>131</v>
      </c>
      <c r="HG9" s="15">
        <f>HF9*SQRT(AR9)</f>
        <v>320.8831563045963</v>
      </c>
      <c r="HH9" s="15">
        <v>4031</v>
      </c>
      <c r="HI9" s="15">
        <v>403</v>
      </c>
      <c r="HJ9" s="15">
        <f>HI9*SQRT(AR9)</f>
        <v>987.14436634162064</v>
      </c>
      <c r="HK9" s="15">
        <f t="shared" si="15"/>
        <v>3.088888888888889</v>
      </c>
      <c r="HL9" s="15">
        <f t="shared" si="16"/>
        <v>2726</v>
      </c>
      <c r="HM9" s="15">
        <f t="shared" si="17"/>
        <v>1.1278114433603719</v>
      </c>
      <c r="HN9" s="15">
        <f>((HJ9*HJ9)/(AR9*HH9*HH9)+(HG9*HG9)/(AR9*HE9*HE9))</f>
        <v>2.0071814217521543E-2</v>
      </c>
      <c r="HP9" s="15" t="s">
        <v>666</v>
      </c>
      <c r="HV9" s="15">
        <f t="shared" si="18"/>
        <v>11.597683351241296</v>
      </c>
      <c r="HW9" s="15">
        <f t="shared" si="19"/>
        <v>1.1278114433603719</v>
      </c>
      <c r="HX9" s="15">
        <f>BB9</f>
        <v>1308</v>
      </c>
      <c r="HY9" s="15">
        <f>AZ9</f>
        <v>2180</v>
      </c>
      <c r="HZ9" s="15">
        <f>BA9</f>
        <v>0.74402730375426618</v>
      </c>
      <c r="IA9" s="15">
        <f>BB9</f>
        <v>1308</v>
      </c>
    </row>
    <row r="10" spans="1:235" s="15" customFormat="1" x14ac:dyDescent="0.25">
      <c r="A10" s="31">
        <v>8</v>
      </c>
      <c r="B10" s="1">
        <v>3</v>
      </c>
      <c r="C10" s="1">
        <v>3</v>
      </c>
      <c r="D10" s="15" t="s">
        <v>613</v>
      </c>
      <c r="E10" s="1">
        <v>4</v>
      </c>
      <c r="F10" s="15" t="s">
        <v>879</v>
      </c>
      <c r="G10" s="15" t="s">
        <v>534</v>
      </c>
      <c r="H10" s="15" t="s">
        <v>535</v>
      </c>
      <c r="I10" s="1">
        <v>2006</v>
      </c>
      <c r="J10" s="15" t="s">
        <v>536</v>
      </c>
      <c r="K10" s="1" t="s">
        <v>537</v>
      </c>
      <c r="L10" s="15" t="s">
        <v>539</v>
      </c>
      <c r="M10" s="15" t="s">
        <v>540</v>
      </c>
      <c r="N10" s="15" t="s">
        <v>538</v>
      </c>
      <c r="O10" s="31">
        <v>1</v>
      </c>
      <c r="P10" s="15">
        <v>3.5</v>
      </c>
      <c r="Q10" s="15">
        <v>11.33</v>
      </c>
      <c r="R10" s="15">
        <v>560</v>
      </c>
      <c r="S10" s="15">
        <v>1800</v>
      </c>
      <c r="U10" s="15" t="s">
        <v>549</v>
      </c>
      <c r="V10" s="31">
        <v>1</v>
      </c>
      <c r="W10" s="16" t="s">
        <v>1161</v>
      </c>
      <c r="X10" s="15" t="s">
        <v>550</v>
      </c>
      <c r="Y10" s="1">
        <v>12</v>
      </c>
      <c r="Z10" s="15">
        <v>4.76</v>
      </c>
      <c r="AA10" s="15" t="s">
        <v>574</v>
      </c>
      <c r="AB10" s="15">
        <f t="shared" si="0"/>
        <v>4.76</v>
      </c>
      <c r="AC10" s="1">
        <v>2</v>
      </c>
      <c r="AD10" s="15" t="s">
        <v>532</v>
      </c>
      <c r="AF10" s="15">
        <v>3.69</v>
      </c>
      <c r="AH10" s="15">
        <v>32.5</v>
      </c>
      <c r="AM10" s="1"/>
      <c r="AP10" s="15" t="s">
        <v>541</v>
      </c>
      <c r="AQ10" s="1">
        <v>1</v>
      </c>
      <c r="AR10" s="1">
        <v>6</v>
      </c>
      <c r="BG10" s="15" t="s">
        <v>542</v>
      </c>
      <c r="BP10" s="16"/>
      <c r="BQ10" s="16"/>
      <c r="BR10" s="16"/>
      <c r="BS10" s="15">
        <v>4000</v>
      </c>
      <c r="BT10" s="15">
        <f>BS10</f>
        <v>4000</v>
      </c>
      <c r="BU10" s="15" t="s">
        <v>766</v>
      </c>
      <c r="BW10" s="15">
        <f>BS10*199.5</f>
        <v>798000</v>
      </c>
      <c r="BX10" s="15">
        <f>BS10*99.8</f>
        <v>399200</v>
      </c>
      <c r="BY10" s="15">
        <f>BT10</f>
        <v>4000</v>
      </c>
      <c r="BZ10" s="15">
        <f>BY10/1.1/1000</f>
        <v>3.6363636363636362</v>
      </c>
      <c r="CA10" s="15">
        <f>BY10*2</f>
        <v>8000</v>
      </c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>
        <f t="shared" si="4"/>
        <v>4.54</v>
      </c>
      <c r="FL10" s="16">
        <f t="shared" si="5"/>
        <v>4.6100000000000003</v>
      </c>
      <c r="FM10" s="15">
        <v>4.54</v>
      </c>
      <c r="FN10" s="15">
        <v>0.4</v>
      </c>
      <c r="FO10" s="15">
        <f>FN10*SQRT(AR10)</f>
        <v>0.9797958971132712</v>
      </c>
      <c r="FP10" s="15">
        <v>4.6100000000000003</v>
      </c>
      <c r="FQ10" s="15">
        <v>0.4</v>
      </c>
      <c r="FR10" s="15">
        <f>FQ10*SQRT(AR10)</f>
        <v>0.9797958971132712</v>
      </c>
      <c r="FS10" s="15">
        <f t="shared" si="6"/>
        <v>1.0154185022026432</v>
      </c>
      <c r="FT10" s="15">
        <f t="shared" si="7"/>
        <v>7.0000000000000284E-2</v>
      </c>
      <c r="FU10" s="15">
        <f t="shared" si="8"/>
        <v>1.5300844955300708E-2</v>
      </c>
      <c r="FV10" s="15">
        <f>((FR10*FR10)/(AR10*FP10*FP10)+(FO10*FO10)/(AR10*FM10*FM10))</f>
        <v>1.5291286862873477E-2</v>
      </c>
      <c r="GI10" s="15">
        <v>4.04</v>
      </c>
      <c r="GJ10" s="15">
        <v>0.4</v>
      </c>
      <c r="GK10" s="15">
        <f>GJ10*SQRT(AR10)</f>
        <v>0.9797958971132712</v>
      </c>
      <c r="GL10" s="15">
        <v>4.0199999999999996</v>
      </c>
      <c r="GM10" s="15">
        <v>0.4</v>
      </c>
      <c r="GN10" s="15">
        <f>GM10*SQRT(AR10)</f>
        <v>0.9797958971132712</v>
      </c>
      <c r="GO10" s="15">
        <f t="shared" si="9"/>
        <v>0.99504950495049493</v>
      </c>
      <c r="GP10" s="15">
        <f t="shared" si="10"/>
        <v>-2.0000000000000462E-2</v>
      </c>
      <c r="GQ10" s="15">
        <f t="shared" si="11"/>
        <v>-4.9627893421291258E-3</v>
      </c>
      <c r="GR10" s="15">
        <f>((GN10*GN10)/(AR10*GL10*GL10)+(GK10*GK10)/(AR10*GI10*GI10))</f>
        <v>1.97037055251328E-2</v>
      </c>
      <c r="GT10" s="15">
        <v>38.6</v>
      </c>
      <c r="GU10" s="15">
        <v>3.9</v>
      </c>
      <c r="GV10" s="15">
        <f>GU10*SQRT(AR10)</f>
        <v>9.553009996854394</v>
      </c>
      <c r="GW10" s="15">
        <v>55.72</v>
      </c>
      <c r="GX10" s="15">
        <v>5.6</v>
      </c>
      <c r="GY10" s="15">
        <f>GX10*SQRT(AR10)</f>
        <v>13.717142559585795</v>
      </c>
      <c r="GZ10" s="15">
        <f t="shared" si="12"/>
        <v>1.4435233160621761</v>
      </c>
      <c r="HA10" s="15">
        <f t="shared" si="13"/>
        <v>17.119999999999997</v>
      </c>
      <c r="HB10" s="15">
        <f t="shared" si="14"/>
        <v>0.36708687244081961</v>
      </c>
      <c r="HC10" s="15">
        <f>((GY10*GY10)/(AR10*GW10*GW10)+(GV10*GV10)/(AR10*GT10*GT10))</f>
        <v>2.0309082771780618E-2</v>
      </c>
      <c r="HE10" s="15">
        <v>2095</v>
      </c>
      <c r="HF10" s="15">
        <v>210</v>
      </c>
      <c r="HG10" s="15">
        <f>HF10*SQRT(AR10)</f>
        <v>514.39284598446739</v>
      </c>
      <c r="HH10" s="15">
        <v>3627</v>
      </c>
      <c r="HI10" s="15">
        <v>363</v>
      </c>
      <c r="HJ10" s="15">
        <f>HI10*SQRT(AR10)</f>
        <v>889.16477663029355</v>
      </c>
      <c r="HK10" s="15">
        <f t="shared" si="15"/>
        <v>1.7312649164677805</v>
      </c>
      <c r="HL10" s="15">
        <f t="shared" si="16"/>
        <v>1532</v>
      </c>
      <c r="HM10" s="15">
        <f t="shared" si="17"/>
        <v>0.54885230692666376</v>
      </c>
      <c r="HN10" s="15">
        <f>((HJ10*HJ10)/(AR10*HH10*HH10)+(HG10*HG10)/(AR10*HE10*HE10))</f>
        <v>2.0064339095782001E-2</v>
      </c>
      <c r="HP10" s="15" t="s">
        <v>666</v>
      </c>
      <c r="HV10" s="15">
        <f t="shared" si="18"/>
        <v>145.75870227815113</v>
      </c>
      <c r="HW10" s="15">
        <f t="shared" si="19"/>
        <v>0.54885230692666376</v>
      </c>
      <c r="HX10" s="15">
        <f>CA10</f>
        <v>8000</v>
      </c>
      <c r="HY10" s="15">
        <f>BY10</f>
        <v>4000</v>
      </c>
      <c r="HZ10" s="15">
        <f>BZ10</f>
        <v>3.6363636363636362</v>
      </c>
      <c r="IA10" s="15">
        <f>CA10</f>
        <v>8000</v>
      </c>
    </row>
    <row r="11" spans="1:235" s="15" customFormat="1" x14ac:dyDescent="0.25">
      <c r="A11" s="31">
        <v>9</v>
      </c>
      <c r="B11" s="1">
        <v>3</v>
      </c>
      <c r="C11" s="1">
        <v>3</v>
      </c>
      <c r="D11" s="15" t="s">
        <v>612</v>
      </c>
      <c r="E11" s="1">
        <v>4</v>
      </c>
      <c r="F11" s="15" t="s">
        <v>879</v>
      </c>
      <c r="G11" s="15" t="s">
        <v>534</v>
      </c>
      <c r="H11" s="15" t="s">
        <v>535</v>
      </c>
      <c r="I11" s="1">
        <v>2006</v>
      </c>
      <c r="J11" s="15" t="s">
        <v>536</v>
      </c>
      <c r="K11" s="1" t="s">
        <v>537</v>
      </c>
      <c r="L11" s="15" t="s">
        <v>539</v>
      </c>
      <c r="M11" s="15" t="s">
        <v>540</v>
      </c>
      <c r="N11" s="15" t="s">
        <v>538</v>
      </c>
      <c r="O11" s="31">
        <v>1</v>
      </c>
      <c r="P11" s="15">
        <v>3.5</v>
      </c>
      <c r="Q11" s="15">
        <v>11.33</v>
      </c>
      <c r="R11" s="15">
        <v>560</v>
      </c>
      <c r="S11" s="15">
        <v>1800</v>
      </c>
      <c r="U11" s="15" t="s">
        <v>549</v>
      </c>
      <c r="V11" s="31">
        <v>1</v>
      </c>
      <c r="W11" s="16" t="s">
        <v>1161</v>
      </c>
      <c r="X11" s="15" t="s">
        <v>551</v>
      </c>
      <c r="Y11" s="1">
        <v>12</v>
      </c>
      <c r="Z11" s="15">
        <v>4.76</v>
      </c>
      <c r="AA11" s="15" t="s">
        <v>574</v>
      </c>
      <c r="AB11" s="15">
        <f t="shared" si="0"/>
        <v>4.76</v>
      </c>
      <c r="AC11" s="1">
        <v>2</v>
      </c>
      <c r="AD11" s="15" t="s">
        <v>532</v>
      </c>
      <c r="AF11" s="15">
        <v>3.69</v>
      </c>
      <c r="AH11" s="15">
        <v>32.5</v>
      </c>
      <c r="AM11" s="1"/>
      <c r="AP11" s="15" t="s">
        <v>541</v>
      </c>
      <c r="AQ11" s="1">
        <v>1</v>
      </c>
      <c r="AR11" s="1">
        <v>6</v>
      </c>
      <c r="BG11" s="15" t="s">
        <v>542</v>
      </c>
      <c r="BP11" s="16"/>
      <c r="BQ11" s="16"/>
      <c r="BR11" s="16"/>
      <c r="BS11" s="15">
        <v>4000</v>
      </c>
      <c r="BT11" s="15">
        <f>BS11</f>
        <v>4000</v>
      </c>
      <c r="BU11" s="15" t="s">
        <v>766</v>
      </c>
      <c r="BW11" s="15">
        <f>BS11*199.5</f>
        <v>798000</v>
      </c>
      <c r="BX11" s="15">
        <f>BS11*99.8</f>
        <v>399200</v>
      </c>
      <c r="BY11" s="15">
        <f>BT11</f>
        <v>4000</v>
      </c>
      <c r="BZ11" s="15">
        <f>BY11/1.1/1000</f>
        <v>3.6363636363636362</v>
      </c>
      <c r="CA11" s="15">
        <f>BY11*2</f>
        <v>8000</v>
      </c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>
        <f t="shared" si="4"/>
        <v>4.51</v>
      </c>
      <c r="FL11" s="16">
        <f t="shared" si="5"/>
        <v>4.54</v>
      </c>
      <c r="FM11" s="15">
        <v>4.51</v>
      </c>
      <c r="FN11" s="15">
        <v>0.4</v>
      </c>
      <c r="FO11" s="15">
        <f>FN11*SQRT(AR11)</f>
        <v>0.9797958971132712</v>
      </c>
      <c r="FP11" s="15">
        <v>4.54</v>
      </c>
      <c r="FQ11" s="15">
        <v>0.4</v>
      </c>
      <c r="FR11" s="15">
        <f>FQ11*SQRT(AR11)</f>
        <v>0.9797958971132712</v>
      </c>
      <c r="FS11" s="15">
        <f t="shared" si="6"/>
        <v>1.0066518847006651</v>
      </c>
      <c r="FT11" s="15">
        <f t="shared" si="7"/>
        <v>3.0000000000000249E-2</v>
      </c>
      <c r="FU11" s="15">
        <f t="shared" si="8"/>
        <v>6.6298585386694864E-3</v>
      </c>
      <c r="FV11" s="15">
        <f>((FR11*FR11)/(AR11*FP11*FP11)+(FO11*FO11)/(AR11*FM11*FM11))</f>
        <v>1.5628853786965796E-2</v>
      </c>
      <c r="GI11" s="15">
        <v>3.82</v>
      </c>
      <c r="GJ11" s="15">
        <v>0.4</v>
      </c>
      <c r="GK11" s="15">
        <f>GJ11*SQRT(AR11)</f>
        <v>0.9797958971132712</v>
      </c>
      <c r="GL11" s="15">
        <v>4.08</v>
      </c>
      <c r="GM11" s="15">
        <v>0.4</v>
      </c>
      <c r="GN11" s="15">
        <f>GM11*SQRT(AR11)</f>
        <v>0.9797958971132712</v>
      </c>
      <c r="GO11" s="15">
        <f t="shared" si="9"/>
        <v>1.0680628272251309</v>
      </c>
      <c r="GP11" s="15">
        <f t="shared" si="10"/>
        <v>0.26000000000000023</v>
      </c>
      <c r="GQ11" s="15">
        <f t="shared" si="11"/>
        <v>6.5846565797586631E-2</v>
      </c>
      <c r="GR11" s="15">
        <f>((GN11*GN11)/(AR11*GL11*GL11)+(GK11*GK11)/(AR11*GI11*GI11))</f>
        <v>2.0576299528067471E-2</v>
      </c>
      <c r="GT11" s="15">
        <v>36.65</v>
      </c>
      <c r="GU11" s="15">
        <v>3.7</v>
      </c>
      <c r="GV11" s="15">
        <f>GU11*SQRT(AR11)</f>
        <v>9.063112048297759</v>
      </c>
      <c r="GW11" s="15">
        <v>40.93</v>
      </c>
      <c r="GX11" s="15">
        <v>4.0999999999999996</v>
      </c>
      <c r="GY11" s="15">
        <f>GX11*SQRT(AR11)</f>
        <v>10.042907945411029</v>
      </c>
      <c r="GZ11" s="15">
        <f t="shared" si="12"/>
        <v>1.1167803547066848</v>
      </c>
      <c r="HA11" s="15">
        <f t="shared" si="13"/>
        <v>4.2800000000000011</v>
      </c>
      <c r="HB11" s="15">
        <f t="shared" si="14"/>
        <v>0.11044986217165098</v>
      </c>
      <c r="HC11" s="15">
        <f>((GY11*GY11)/(AR11*GW11*GW11)+(GV11*GV11)/(AR11*GT11*GT11))</f>
        <v>2.0226141882050307E-2</v>
      </c>
      <c r="HE11" s="15">
        <v>1305</v>
      </c>
      <c r="HF11" s="15">
        <v>131</v>
      </c>
      <c r="HG11" s="15">
        <f>HF11*SQRT(AR11)</f>
        <v>320.8831563045963</v>
      </c>
      <c r="HH11" s="15">
        <v>3380</v>
      </c>
      <c r="HI11" s="15">
        <v>338</v>
      </c>
      <c r="HJ11" s="15">
        <f>HI11*SQRT(AR11)</f>
        <v>827.92753306071415</v>
      </c>
      <c r="HK11" s="15">
        <f t="shared" si="15"/>
        <v>2.5900383141762453</v>
      </c>
      <c r="HL11" s="15">
        <f t="shared" si="16"/>
        <v>2075</v>
      </c>
      <c r="HM11" s="15">
        <f t="shared" si="17"/>
        <v>0.95167266872027056</v>
      </c>
      <c r="HN11" s="15">
        <f>((HJ11*HJ11)/(AR11*HH11*HH11)+(HG11*HG11)/(AR11*HE11*HE11))</f>
        <v>2.0076775150100555E-2</v>
      </c>
      <c r="HP11" s="15" t="s">
        <v>666</v>
      </c>
      <c r="HV11" s="15">
        <f t="shared" si="18"/>
        <v>84.062517112714048</v>
      </c>
      <c r="HW11" s="15">
        <f t="shared" si="19"/>
        <v>0.95167266872027056</v>
      </c>
      <c r="HX11" s="15">
        <f>CA11</f>
        <v>8000</v>
      </c>
      <c r="HY11" s="15">
        <f>BY11</f>
        <v>4000</v>
      </c>
      <c r="HZ11" s="15">
        <f>BZ11</f>
        <v>3.6363636363636362</v>
      </c>
      <c r="IA11" s="15">
        <f>CA11</f>
        <v>8000</v>
      </c>
    </row>
    <row r="12" spans="1:235" s="15" customFormat="1" x14ac:dyDescent="0.25">
      <c r="A12" s="31">
        <v>10</v>
      </c>
      <c r="B12" s="1">
        <v>3</v>
      </c>
      <c r="C12" s="1">
        <v>3</v>
      </c>
      <c r="D12" s="15" t="s">
        <v>607</v>
      </c>
      <c r="E12" s="1">
        <v>6</v>
      </c>
      <c r="F12" s="15" t="s">
        <v>1154</v>
      </c>
      <c r="G12" s="15" t="s">
        <v>534</v>
      </c>
      <c r="H12" s="15" t="s">
        <v>535</v>
      </c>
      <c r="I12" s="1">
        <v>2006</v>
      </c>
      <c r="J12" s="15" t="s">
        <v>536</v>
      </c>
      <c r="K12" s="1" t="s">
        <v>537</v>
      </c>
      <c r="L12" s="15" t="s">
        <v>539</v>
      </c>
      <c r="M12" s="15" t="s">
        <v>540</v>
      </c>
      <c r="N12" s="15" t="s">
        <v>538</v>
      </c>
      <c r="O12" s="31">
        <v>1</v>
      </c>
      <c r="P12" s="15">
        <v>3.5</v>
      </c>
      <c r="Q12" s="15">
        <v>11.33</v>
      </c>
      <c r="R12" s="15">
        <v>560</v>
      </c>
      <c r="S12" s="15">
        <v>1800</v>
      </c>
      <c r="U12" s="15" t="s">
        <v>549</v>
      </c>
      <c r="V12" s="31">
        <v>1</v>
      </c>
      <c r="W12" s="16" t="s">
        <v>1161</v>
      </c>
      <c r="X12" s="15" t="s">
        <v>550</v>
      </c>
      <c r="Y12" s="1">
        <v>12</v>
      </c>
      <c r="Z12" s="15">
        <v>4.76</v>
      </c>
      <c r="AA12" s="15" t="s">
        <v>574</v>
      </c>
      <c r="AB12" s="15">
        <f t="shared" si="0"/>
        <v>4.76</v>
      </c>
      <c r="AC12" s="1">
        <v>2</v>
      </c>
      <c r="AD12" s="15" t="s">
        <v>532</v>
      </c>
      <c r="AF12" s="15">
        <v>3.69</v>
      </c>
      <c r="AH12" s="15">
        <v>32.5</v>
      </c>
      <c r="AM12" s="1"/>
      <c r="AP12" s="15" t="s">
        <v>541</v>
      </c>
      <c r="AQ12" s="1">
        <v>1</v>
      </c>
      <c r="AR12" s="1">
        <v>6</v>
      </c>
      <c r="AT12" s="15" t="s">
        <v>993</v>
      </c>
      <c r="AW12" s="15">
        <v>2000</v>
      </c>
      <c r="AX12" s="15">
        <f>AW12*1.09</f>
        <v>2180</v>
      </c>
      <c r="AY12" s="15" t="s">
        <v>766</v>
      </c>
      <c r="AZ12" s="15">
        <f>AX12</f>
        <v>2180</v>
      </c>
      <c r="BA12" s="15">
        <f>AZ12/2.93/1000</f>
        <v>0.74402730375426618</v>
      </c>
      <c r="BB12" s="15">
        <f>AZ12*0.6</f>
        <v>1308</v>
      </c>
      <c r="BG12" s="15" t="s">
        <v>542</v>
      </c>
      <c r="BP12" s="16"/>
      <c r="BQ12" s="16"/>
      <c r="BR12" s="16"/>
      <c r="BS12" s="15">
        <v>4000</v>
      </c>
      <c r="BT12" s="15">
        <f>BS12</f>
        <v>4000</v>
      </c>
      <c r="BU12" s="15" t="s">
        <v>766</v>
      </c>
      <c r="BW12" s="15">
        <f>BS12*199.5</f>
        <v>798000</v>
      </c>
      <c r="BX12" s="15">
        <f>BS12*99.8</f>
        <v>399200</v>
      </c>
      <c r="BY12" s="15">
        <f>BT12</f>
        <v>4000</v>
      </c>
      <c r="BZ12" s="15">
        <f>BY12/1.1/1000</f>
        <v>3.6363636363636362</v>
      </c>
      <c r="CA12" s="15">
        <f>BY12*2</f>
        <v>8000</v>
      </c>
      <c r="EW12" s="46">
        <f>AX12+BT12+CF12+DE12+DY12</f>
        <v>6180</v>
      </c>
      <c r="EX12" s="46">
        <f>BA12+BZ12+CZ12+DT12+ET12</f>
        <v>4.380390940117902</v>
      </c>
      <c r="EY12" s="46">
        <f>BB12+CA12+DA12+DU12+EU12</f>
        <v>9308</v>
      </c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>
        <f t="shared" si="4"/>
        <v>4.54</v>
      </c>
      <c r="FL12" s="16">
        <f t="shared" si="5"/>
        <v>4.96</v>
      </c>
      <c r="FM12" s="15">
        <v>4.54</v>
      </c>
      <c r="FN12" s="15">
        <v>0.4</v>
      </c>
      <c r="FO12" s="15">
        <f>FN12*SQRT(AR12)</f>
        <v>0.9797958971132712</v>
      </c>
      <c r="FP12" s="15">
        <v>4.96</v>
      </c>
      <c r="FQ12" s="15">
        <v>0.5</v>
      </c>
      <c r="FR12" s="15">
        <f>FQ12*SQRT(AR12)</f>
        <v>1.2247448713915889</v>
      </c>
      <c r="FS12" s="15">
        <f t="shared" si="6"/>
        <v>1.0925110132158591</v>
      </c>
      <c r="FT12" s="15">
        <f t="shared" si="7"/>
        <v>0.41999999999999993</v>
      </c>
      <c r="FU12" s="15">
        <f t="shared" si="8"/>
        <v>8.8478728683579533E-2</v>
      </c>
      <c r="FV12" s="15">
        <f>((FR12*FR12)/(AR12*FP12*FP12)+(FO12*FO12)/(AR12*FM12*FM12))</f>
        <v>1.792455979447153E-2</v>
      </c>
      <c r="GI12" s="15">
        <v>4.04</v>
      </c>
      <c r="GJ12" s="15">
        <v>0.4</v>
      </c>
      <c r="GK12" s="15">
        <f>GJ12*SQRT(AR12)</f>
        <v>0.9797958971132712</v>
      </c>
      <c r="GL12" s="15">
        <v>4.0199999999999996</v>
      </c>
      <c r="GM12" s="15">
        <v>0.4</v>
      </c>
      <c r="GN12" s="15">
        <f>GM12*SQRT(AR12)</f>
        <v>0.9797958971132712</v>
      </c>
      <c r="GO12" s="15">
        <f t="shared" si="9"/>
        <v>0.99504950495049493</v>
      </c>
      <c r="GP12" s="15">
        <f t="shared" si="10"/>
        <v>-2.0000000000000462E-2</v>
      </c>
      <c r="GQ12" s="15">
        <f t="shared" si="11"/>
        <v>-4.9627893421291258E-3</v>
      </c>
      <c r="GR12" s="15">
        <f>((GN12*GN12)/(AR12*GL12*GL12)+(GK12*GK12)/(AR12*GI12*GI12))</f>
        <v>1.97037055251328E-2</v>
      </c>
      <c r="GT12" s="15">
        <v>38.6</v>
      </c>
      <c r="GU12" s="15">
        <v>3.9</v>
      </c>
      <c r="GV12" s="15">
        <f>GU12*SQRT(AR12)</f>
        <v>9.553009996854394</v>
      </c>
      <c r="GW12" s="15">
        <v>77.11</v>
      </c>
      <c r="GX12" s="15">
        <v>7.7</v>
      </c>
      <c r="GY12" s="15">
        <f>GX12*SQRT(AR12)</f>
        <v>18.861071019430469</v>
      </c>
      <c r="GZ12" s="15">
        <f t="shared" si="12"/>
        <v>1.9976683937823834</v>
      </c>
      <c r="HA12" s="15">
        <f t="shared" si="13"/>
        <v>38.51</v>
      </c>
      <c r="HB12" s="15">
        <f t="shared" si="14"/>
        <v>0.69198069737408385</v>
      </c>
      <c r="HC12" s="15">
        <f>((GY12*GY12)/(AR12*GW12*GW12)+(GV12*GV12)/(AR12*GT12*GT12))</f>
        <v>2.0179817419850199E-2</v>
      </c>
      <c r="HE12" s="15">
        <v>2095</v>
      </c>
      <c r="HF12" s="15">
        <v>210</v>
      </c>
      <c r="HG12" s="15">
        <f>HF12*SQRT(AR12)</f>
        <v>514.39284598446739</v>
      </c>
      <c r="HH12" s="15">
        <v>4856</v>
      </c>
      <c r="HI12" s="15">
        <v>486</v>
      </c>
      <c r="HJ12" s="15">
        <f>HI12*SQRT(AR12)</f>
        <v>1190.4520149926245</v>
      </c>
      <c r="HK12" s="15">
        <f t="shared" si="15"/>
        <v>2.3178997613365153</v>
      </c>
      <c r="HL12" s="15">
        <f t="shared" si="16"/>
        <v>2761</v>
      </c>
      <c r="HM12" s="15">
        <f t="shared" si="17"/>
        <v>0.84066150038309573</v>
      </c>
      <c r="HN12" s="15">
        <f>((HJ12*HJ12)/(AR12*HH12*HH12)+(HG12*HG12)/(AR12*HE12*HE12))</f>
        <v>2.0064270906935681E-2</v>
      </c>
      <c r="HP12" s="15" t="s">
        <v>666</v>
      </c>
      <c r="HV12" s="15">
        <f t="shared" si="18"/>
        <v>110.72232992421178</v>
      </c>
      <c r="HW12" s="15">
        <f t="shared" si="19"/>
        <v>0.84066150038309573</v>
      </c>
      <c r="HX12" s="15">
        <f>EY12</f>
        <v>9308</v>
      </c>
      <c r="HY12" s="15">
        <f t="shared" ref="HY12:IA13" si="20">EW12</f>
        <v>6180</v>
      </c>
      <c r="HZ12" s="15">
        <f t="shared" si="20"/>
        <v>4.380390940117902</v>
      </c>
      <c r="IA12" s="15">
        <f t="shared" si="20"/>
        <v>9308</v>
      </c>
    </row>
    <row r="13" spans="1:235" s="15" customFormat="1" x14ac:dyDescent="0.25">
      <c r="A13" s="31">
        <v>11</v>
      </c>
      <c r="B13" s="1">
        <v>3</v>
      </c>
      <c r="C13" s="1">
        <v>3</v>
      </c>
      <c r="D13" s="15" t="s">
        <v>606</v>
      </c>
      <c r="E13" s="1">
        <v>6</v>
      </c>
      <c r="F13" s="15" t="s">
        <v>1154</v>
      </c>
      <c r="G13" s="15" t="s">
        <v>534</v>
      </c>
      <c r="H13" s="15" t="s">
        <v>535</v>
      </c>
      <c r="I13" s="1">
        <v>2006</v>
      </c>
      <c r="J13" s="15" t="s">
        <v>536</v>
      </c>
      <c r="K13" s="1" t="s">
        <v>537</v>
      </c>
      <c r="L13" s="15" t="s">
        <v>539</v>
      </c>
      <c r="M13" s="15" t="s">
        <v>540</v>
      </c>
      <c r="N13" s="15" t="s">
        <v>538</v>
      </c>
      <c r="O13" s="31">
        <v>1</v>
      </c>
      <c r="P13" s="15">
        <v>3.5</v>
      </c>
      <c r="Q13" s="15">
        <v>11.33</v>
      </c>
      <c r="R13" s="15">
        <v>560</v>
      </c>
      <c r="S13" s="15">
        <v>1800</v>
      </c>
      <c r="U13" s="15" t="s">
        <v>549</v>
      </c>
      <c r="V13" s="31">
        <v>1</v>
      </c>
      <c r="W13" s="16" t="s">
        <v>1161</v>
      </c>
      <c r="X13" s="15" t="s">
        <v>551</v>
      </c>
      <c r="Y13" s="1">
        <v>12</v>
      </c>
      <c r="Z13" s="15">
        <v>4.76</v>
      </c>
      <c r="AA13" s="15" t="s">
        <v>573</v>
      </c>
      <c r="AB13" s="15">
        <f t="shared" si="0"/>
        <v>4.76</v>
      </c>
      <c r="AC13" s="1">
        <v>2</v>
      </c>
      <c r="AD13" s="15" t="s">
        <v>532</v>
      </c>
      <c r="AF13" s="15">
        <v>3.69</v>
      </c>
      <c r="AH13" s="15">
        <v>32.5</v>
      </c>
      <c r="AM13" s="1"/>
      <c r="AP13" s="15" t="s">
        <v>541</v>
      </c>
      <c r="AQ13" s="1">
        <v>1</v>
      </c>
      <c r="AR13" s="1">
        <v>6</v>
      </c>
      <c r="AT13" s="15" t="s">
        <v>993</v>
      </c>
      <c r="AW13" s="15">
        <v>2000</v>
      </c>
      <c r="AX13" s="15">
        <f>AW13*1.09</f>
        <v>2180</v>
      </c>
      <c r="AY13" s="15" t="s">
        <v>766</v>
      </c>
      <c r="AZ13" s="15">
        <f>AX13</f>
        <v>2180</v>
      </c>
      <c r="BA13" s="15">
        <f>AZ13/2.93/1000</f>
        <v>0.74402730375426618</v>
      </c>
      <c r="BB13" s="15">
        <f>AZ13*0.6</f>
        <v>1308</v>
      </c>
      <c r="BG13" s="15" t="s">
        <v>542</v>
      </c>
      <c r="BP13" s="16"/>
      <c r="BQ13" s="16"/>
      <c r="BR13" s="16"/>
      <c r="BS13" s="15">
        <v>4000</v>
      </c>
      <c r="BT13" s="15">
        <f>BS13</f>
        <v>4000</v>
      </c>
      <c r="BU13" s="15" t="s">
        <v>766</v>
      </c>
      <c r="BW13" s="15">
        <f>BS13*199.5</f>
        <v>798000</v>
      </c>
      <c r="BX13" s="15">
        <f>BS13*99.8</f>
        <v>399200</v>
      </c>
      <c r="BY13" s="15">
        <f>BT13</f>
        <v>4000</v>
      </c>
      <c r="BZ13" s="15">
        <f>BY13/1.1/1000</f>
        <v>3.6363636363636362</v>
      </c>
      <c r="CA13" s="15">
        <f>BY13*2</f>
        <v>8000</v>
      </c>
      <c r="EW13" s="46">
        <f>AX13+BT13+CF13+DE13+DY13</f>
        <v>6180</v>
      </c>
      <c r="EX13" s="46">
        <f>BA13+BZ13+CZ13+DT13+ET13</f>
        <v>4.380390940117902</v>
      </c>
      <c r="EY13" s="46">
        <f>BB13+CA13+DA13+DU13+EU13</f>
        <v>9308</v>
      </c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>
        <f t="shared" si="4"/>
        <v>4.51</v>
      </c>
      <c r="FL13" s="16">
        <f t="shared" si="5"/>
        <v>4.88</v>
      </c>
      <c r="FM13" s="15">
        <v>4.51</v>
      </c>
      <c r="FN13" s="15">
        <v>0.4</v>
      </c>
      <c r="FO13" s="15">
        <f>FN13*SQRT(AR13)</f>
        <v>0.9797958971132712</v>
      </c>
      <c r="FP13" s="15">
        <v>4.88</v>
      </c>
      <c r="FQ13" s="15">
        <v>0.5</v>
      </c>
      <c r="FR13" s="15">
        <f>FQ13*SQRT(AR13)</f>
        <v>1.2247448713915889</v>
      </c>
      <c r="FS13" s="15">
        <f t="shared" si="6"/>
        <v>1.082039911308204</v>
      </c>
      <c r="FT13" s="15">
        <f t="shared" si="7"/>
        <v>0.37000000000000011</v>
      </c>
      <c r="FU13" s="15">
        <f t="shared" si="8"/>
        <v>7.8848066350468704E-2</v>
      </c>
      <c r="FV13" s="15">
        <f>((FR13*FR13)/(AR13*FP13*FP13)+(FO13*FO13)/(AR13*FM13*FM13))</f>
        <v>1.8364084719590605E-2</v>
      </c>
      <c r="GI13" s="15">
        <v>3.82</v>
      </c>
      <c r="GJ13" s="15">
        <v>0.4</v>
      </c>
      <c r="GK13" s="15">
        <f>GJ13*SQRT(AR13)</f>
        <v>0.9797958971132712</v>
      </c>
      <c r="GL13" s="15">
        <v>4.38</v>
      </c>
      <c r="GM13" s="15">
        <v>0.4</v>
      </c>
      <c r="GN13" s="15">
        <f>GM13*SQRT(AR13)</f>
        <v>0.9797958971132712</v>
      </c>
      <c r="GO13" s="15">
        <f t="shared" si="9"/>
        <v>1.1465968586387434</v>
      </c>
      <c r="GP13" s="15">
        <f t="shared" si="10"/>
        <v>0.56000000000000005</v>
      </c>
      <c r="GQ13" s="15">
        <f t="shared" si="11"/>
        <v>0.13679830176987107</v>
      </c>
      <c r="GR13" s="15">
        <f>((GN13*GN13)/(AR13*GL13*GL13)+(GK13*GK13)/(AR13*GI13*GI13))</f>
        <v>1.930472138812981E-2</v>
      </c>
      <c r="GT13" s="15">
        <v>36.65</v>
      </c>
      <c r="GU13" s="15">
        <v>3.7</v>
      </c>
      <c r="GV13" s="15">
        <f>GU13*SQRT(AR13)</f>
        <v>9.063112048297759</v>
      </c>
      <c r="GW13" s="15">
        <v>76.48</v>
      </c>
      <c r="GX13" s="15">
        <v>7.6</v>
      </c>
      <c r="GY13" s="15">
        <f>GX13*SQRT(AR13)</f>
        <v>18.616122045152149</v>
      </c>
      <c r="GZ13" s="15">
        <f t="shared" si="12"/>
        <v>2.0867667121418827</v>
      </c>
      <c r="HA13" s="15">
        <f t="shared" si="13"/>
        <v>39.830000000000005</v>
      </c>
      <c r="HB13" s="15">
        <f t="shared" si="14"/>
        <v>0.73561584041048578</v>
      </c>
      <c r="HC13" s="15">
        <f>((GY13*GY13)/(AR13*GW13*GW13)+(GV13*GV13)/(AR13*GT13*GT13))</f>
        <v>2.0066778781259731E-2</v>
      </c>
      <c r="HE13" s="15">
        <v>1305</v>
      </c>
      <c r="HF13" s="15">
        <v>131</v>
      </c>
      <c r="HG13" s="15">
        <f>HF13*SQRT(AR13)</f>
        <v>320.8831563045963</v>
      </c>
      <c r="HH13" s="15">
        <v>4549</v>
      </c>
      <c r="HI13" s="15">
        <v>455</v>
      </c>
      <c r="HJ13" s="15">
        <f>HI13*SQRT(AR13)</f>
        <v>1114.5178329663458</v>
      </c>
      <c r="HK13" s="15">
        <f t="shared" si="15"/>
        <v>3.4858237547892719</v>
      </c>
      <c r="HL13" s="15">
        <f t="shared" si="16"/>
        <v>3244</v>
      </c>
      <c r="HM13" s="15">
        <f t="shared" si="17"/>
        <v>1.2487043878132091</v>
      </c>
      <c r="HN13" s="15">
        <f>((HJ13*HJ13)/(AR13*HH13*HH13)+(HG13*HG13)/(AR13*HE13*HE13))</f>
        <v>2.0081172204021266E-2</v>
      </c>
      <c r="HP13" s="15" t="s">
        <v>604</v>
      </c>
      <c r="HV13" s="15">
        <f t="shared" si="18"/>
        <v>74.541261253198726</v>
      </c>
      <c r="HW13" s="15">
        <f t="shared" si="19"/>
        <v>1.2487043878132091</v>
      </c>
      <c r="HX13" s="15">
        <f>EY13</f>
        <v>9308</v>
      </c>
      <c r="HY13" s="15">
        <f t="shared" si="20"/>
        <v>6180</v>
      </c>
      <c r="HZ13" s="15">
        <f t="shared" si="20"/>
        <v>4.380390940117902</v>
      </c>
      <c r="IA13" s="15">
        <f t="shared" si="20"/>
        <v>9308</v>
      </c>
    </row>
    <row r="14" spans="1:235" s="15" customFormat="1" ht="13.8" customHeight="1" x14ac:dyDescent="0.25">
      <c r="A14" s="31">
        <v>12</v>
      </c>
      <c r="B14" s="1">
        <v>4</v>
      </c>
      <c r="C14" s="1">
        <v>4</v>
      </c>
      <c r="D14" s="15" t="s">
        <v>563</v>
      </c>
      <c r="E14" s="1">
        <v>1</v>
      </c>
      <c r="F14" s="15" t="s">
        <v>761</v>
      </c>
      <c r="G14" s="15" t="s">
        <v>560</v>
      </c>
      <c r="H14" s="15" t="s">
        <v>561</v>
      </c>
      <c r="I14" s="1">
        <v>2014</v>
      </c>
      <c r="J14" s="15" t="s">
        <v>562</v>
      </c>
      <c r="K14" s="1" t="s">
        <v>1159</v>
      </c>
      <c r="L14" s="15" t="s">
        <v>565</v>
      </c>
      <c r="M14" s="15" t="s">
        <v>564</v>
      </c>
      <c r="N14" s="15" t="s">
        <v>538</v>
      </c>
      <c r="O14" s="31">
        <v>1</v>
      </c>
      <c r="P14" s="15" t="s">
        <v>567</v>
      </c>
      <c r="Q14" s="15" t="s">
        <v>566</v>
      </c>
      <c r="R14" s="15" t="s">
        <v>568</v>
      </c>
      <c r="S14" s="15">
        <v>1300</v>
      </c>
      <c r="T14" s="15" t="s">
        <v>569</v>
      </c>
      <c r="U14" s="15" t="s">
        <v>549</v>
      </c>
      <c r="V14" s="31">
        <v>1</v>
      </c>
      <c r="W14" s="16" t="s">
        <v>1160</v>
      </c>
      <c r="X14" s="15" t="s">
        <v>575</v>
      </c>
      <c r="Y14" s="1">
        <v>3</v>
      </c>
      <c r="Z14" s="15">
        <v>5.01</v>
      </c>
      <c r="AA14" s="15" t="s">
        <v>573</v>
      </c>
      <c r="AB14" s="15">
        <f t="shared" si="0"/>
        <v>5.01</v>
      </c>
      <c r="AC14" s="1">
        <v>3</v>
      </c>
      <c r="AD14" s="15" t="s">
        <v>532</v>
      </c>
      <c r="AF14" s="15">
        <v>17</v>
      </c>
      <c r="AJ14" s="15" t="s">
        <v>571</v>
      </c>
      <c r="AM14" s="1">
        <v>1</v>
      </c>
      <c r="AP14" s="15" t="s">
        <v>570</v>
      </c>
      <c r="AQ14" s="1">
        <v>2</v>
      </c>
      <c r="AR14" s="1">
        <v>3</v>
      </c>
      <c r="AT14" s="15" t="s">
        <v>576</v>
      </c>
      <c r="AW14" s="15">
        <v>1250</v>
      </c>
      <c r="AX14" s="15">
        <f>AW14</f>
        <v>1250</v>
      </c>
      <c r="AY14" s="15" t="s">
        <v>766</v>
      </c>
      <c r="AZ14" s="15">
        <f>AX14</f>
        <v>1250</v>
      </c>
      <c r="BA14" s="15">
        <f>AZ14/2.93/1000</f>
        <v>0.42662116040955628</v>
      </c>
      <c r="BB14" s="15">
        <f>AZ14*0.6</f>
        <v>750</v>
      </c>
      <c r="BP14" s="16"/>
      <c r="BQ14" s="16"/>
      <c r="BR14" s="16"/>
      <c r="BU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>
        <f t="shared" si="4"/>
        <v>5.03</v>
      </c>
      <c r="FL14" s="16">
        <f t="shared" si="5"/>
        <v>5.64</v>
      </c>
      <c r="FM14" s="15">
        <v>5.03</v>
      </c>
      <c r="FN14" s="15">
        <v>0.15</v>
      </c>
      <c r="FO14" s="15">
        <f>FN14*SQRT(AR14)</f>
        <v>0.25980762113533157</v>
      </c>
      <c r="FP14" s="15">
        <v>5.64</v>
      </c>
      <c r="FQ14" s="15">
        <v>0.17</v>
      </c>
      <c r="FR14" s="15">
        <f>FQ14*SQRT(AR14)</f>
        <v>0.29444863728670917</v>
      </c>
      <c r="FS14" s="15">
        <f t="shared" si="6"/>
        <v>1.1212723658051689</v>
      </c>
      <c r="FT14" s="15">
        <f t="shared" si="7"/>
        <v>0.60999999999999943</v>
      </c>
      <c r="FU14" s="15">
        <f t="shared" si="8"/>
        <v>0.11446408139831954</v>
      </c>
      <c r="FV14" s="15">
        <f>((FR14*FR14)/(AR14*FP14*FP14)+(FO14*FO14)/(AR14*FM14*FM14))</f>
        <v>1.7978271862004621E-3</v>
      </c>
      <c r="GI14" s="15">
        <v>19.18</v>
      </c>
      <c r="GJ14" s="15">
        <v>1.1499999999999999</v>
      </c>
      <c r="GK14" s="15">
        <f>GJ14*SQRT(AR14)</f>
        <v>1.9918584287042087</v>
      </c>
      <c r="GL14" s="15">
        <v>25.21</v>
      </c>
      <c r="GM14" s="15">
        <v>1.51</v>
      </c>
      <c r="GN14" s="15">
        <f>GM14*SQRT(AR14)</f>
        <v>2.6153967194290044</v>
      </c>
      <c r="GO14" s="15">
        <f t="shared" si="9"/>
        <v>1.3143899895724713</v>
      </c>
      <c r="GP14" s="15">
        <f t="shared" si="10"/>
        <v>6.0300000000000011</v>
      </c>
      <c r="GQ14" s="15">
        <f t="shared" si="11"/>
        <v>0.27337267174453617</v>
      </c>
      <c r="GR14" s="15">
        <f>((GN14*GN14)/(AR14*GL14*GL14)+(GK14*GK14)/(AR14*GI14*GI14))</f>
        <v>7.1826311212712136E-3</v>
      </c>
      <c r="HY14" s="15">
        <f>AZ14</f>
        <v>1250</v>
      </c>
      <c r="HZ14" s="15">
        <f>BA14</f>
        <v>0.42662116040955628</v>
      </c>
      <c r="IA14" s="15">
        <f>BB14</f>
        <v>750</v>
      </c>
    </row>
    <row r="15" spans="1:235" s="15" customFormat="1" x14ac:dyDescent="0.25">
      <c r="A15" s="31">
        <v>13</v>
      </c>
      <c r="B15" s="1">
        <v>4</v>
      </c>
      <c r="C15" s="1">
        <v>4</v>
      </c>
      <c r="D15" s="15" t="s">
        <v>605</v>
      </c>
      <c r="E15" s="1">
        <v>1</v>
      </c>
      <c r="F15" s="15" t="s">
        <v>761</v>
      </c>
      <c r="G15" s="15" t="s">
        <v>560</v>
      </c>
      <c r="H15" s="15" t="s">
        <v>561</v>
      </c>
      <c r="I15" s="1">
        <v>2014</v>
      </c>
      <c r="J15" s="15" t="s">
        <v>562</v>
      </c>
      <c r="K15" s="1" t="s">
        <v>1159</v>
      </c>
      <c r="L15" s="15" t="s">
        <v>565</v>
      </c>
      <c r="M15" s="15" t="s">
        <v>564</v>
      </c>
      <c r="N15" s="15" t="s">
        <v>538</v>
      </c>
      <c r="O15" s="31">
        <v>1</v>
      </c>
      <c r="P15" s="15" t="s">
        <v>567</v>
      </c>
      <c r="Q15" s="15" t="s">
        <v>566</v>
      </c>
      <c r="R15" s="15" t="s">
        <v>568</v>
      </c>
      <c r="S15" s="15">
        <v>1300</v>
      </c>
      <c r="T15" s="15" t="s">
        <v>569</v>
      </c>
      <c r="U15" s="15" t="s">
        <v>549</v>
      </c>
      <c r="V15" s="31">
        <v>1</v>
      </c>
      <c r="W15" s="16" t="s">
        <v>1160</v>
      </c>
      <c r="X15" s="15" t="s">
        <v>575</v>
      </c>
      <c r="Y15" s="1">
        <v>3</v>
      </c>
      <c r="Z15" s="15">
        <v>5.01</v>
      </c>
      <c r="AA15" s="15" t="s">
        <v>573</v>
      </c>
      <c r="AB15" s="15">
        <f t="shared" si="0"/>
        <v>5.01</v>
      </c>
      <c r="AC15" s="1">
        <v>3</v>
      </c>
      <c r="AD15" s="15" t="s">
        <v>532</v>
      </c>
      <c r="AF15" s="15">
        <v>17</v>
      </c>
      <c r="AJ15" s="15" t="s">
        <v>571</v>
      </c>
      <c r="AM15" s="1">
        <v>1</v>
      </c>
      <c r="AP15" s="15" t="s">
        <v>570</v>
      </c>
      <c r="AQ15" s="1">
        <v>2</v>
      </c>
      <c r="AR15" s="1">
        <v>3</v>
      </c>
      <c r="AT15" s="15" t="s">
        <v>576</v>
      </c>
      <c r="AW15" s="15">
        <v>2500</v>
      </c>
      <c r="AX15" s="15">
        <f>AW15</f>
        <v>2500</v>
      </c>
      <c r="AY15" s="15" t="s">
        <v>766</v>
      </c>
      <c r="AZ15" s="15">
        <f>AX15</f>
        <v>2500</v>
      </c>
      <c r="BA15" s="15">
        <f>AZ15/2.93/1000</f>
        <v>0.85324232081911255</v>
      </c>
      <c r="BB15" s="15">
        <f>AZ15*0.6</f>
        <v>1500</v>
      </c>
      <c r="BP15" s="16"/>
      <c r="BQ15" s="16"/>
      <c r="BR15" s="16"/>
      <c r="BU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>
        <f t="shared" si="4"/>
        <v>5.03</v>
      </c>
      <c r="FL15" s="16">
        <f t="shared" si="5"/>
        <v>6.14</v>
      </c>
      <c r="FM15" s="15">
        <v>5.03</v>
      </c>
      <c r="FN15" s="15">
        <v>0.15</v>
      </c>
      <c r="FO15" s="15">
        <f>FN15*SQRT(AR15)</f>
        <v>0.25980762113533157</v>
      </c>
      <c r="FP15" s="15">
        <v>6.14</v>
      </c>
      <c r="FQ15" s="15">
        <v>0.18</v>
      </c>
      <c r="FR15" s="15">
        <f>FQ15*SQRT(AR15)</f>
        <v>0.31176914536239786</v>
      </c>
      <c r="FS15" s="15">
        <f t="shared" si="6"/>
        <v>1.2206759443339958</v>
      </c>
      <c r="FT15" s="15">
        <f t="shared" si="7"/>
        <v>1.1099999999999994</v>
      </c>
      <c r="FU15" s="15">
        <f t="shared" si="8"/>
        <v>0.19940475804740321</v>
      </c>
      <c r="FV15" s="15">
        <f>((FR15*FR15)/(AR15*FP15*FP15)+(FO15*FO15)/(AR15*FM15*FM15))</f>
        <v>1.7487219923872687E-3</v>
      </c>
      <c r="GI15" s="15">
        <v>19.18</v>
      </c>
      <c r="GJ15" s="15">
        <v>1.1499999999999999</v>
      </c>
      <c r="GK15" s="15">
        <f>GJ15*SQRT(AR15)</f>
        <v>1.9918584287042087</v>
      </c>
      <c r="GL15" s="15">
        <v>31.49</v>
      </c>
      <c r="GM15" s="15">
        <v>1.89</v>
      </c>
      <c r="GN15" s="15">
        <f>GM15*SQRT(AR15)</f>
        <v>3.2735760263051779</v>
      </c>
      <c r="GO15" s="15">
        <f t="shared" si="9"/>
        <v>1.6418143899895725</v>
      </c>
      <c r="GP15" s="15">
        <f t="shared" si="10"/>
        <v>12.309999999999999</v>
      </c>
      <c r="GQ15" s="15">
        <f t="shared" si="11"/>
        <v>0.49580196565764112</v>
      </c>
      <c r="GR15" s="15">
        <f>((GN15*GN15)/(AR15*GL15*GL15)+(GK15*GK15)/(AR15*GI15*GI15))</f>
        <v>7.1972833291513143E-3</v>
      </c>
      <c r="HY15" s="15">
        <f>AZ15</f>
        <v>2500</v>
      </c>
      <c r="HZ15" s="15">
        <f>BA15</f>
        <v>0.85324232081911255</v>
      </c>
      <c r="IA15" s="15">
        <f>BB15</f>
        <v>1500</v>
      </c>
    </row>
    <row r="16" spans="1:235" s="15" customFormat="1" x14ac:dyDescent="0.25">
      <c r="A16" s="31">
        <v>14</v>
      </c>
      <c r="B16" s="1">
        <v>4</v>
      </c>
      <c r="C16" s="1">
        <v>4</v>
      </c>
      <c r="D16" s="15" t="s">
        <v>582</v>
      </c>
      <c r="E16" s="1">
        <v>1</v>
      </c>
      <c r="F16" s="15" t="s">
        <v>761</v>
      </c>
      <c r="G16" s="15" t="s">
        <v>560</v>
      </c>
      <c r="H16" s="15" t="s">
        <v>561</v>
      </c>
      <c r="I16" s="1">
        <v>2014</v>
      </c>
      <c r="J16" s="15" t="s">
        <v>562</v>
      </c>
      <c r="K16" s="1" t="s">
        <v>1159</v>
      </c>
      <c r="L16" s="15" t="s">
        <v>565</v>
      </c>
      <c r="M16" s="15" t="s">
        <v>564</v>
      </c>
      <c r="N16" s="15" t="s">
        <v>538</v>
      </c>
      <c r="O16" s="31">
        <v>1</v>
      </c>
      <c r="P16" s="15" t="s">
        <v>567</v>
      </c>
      <c r="Q16" s="15" t="s">
        <v>566</v>
      </c>
      <c r="R16" s="15" t="s">
        <v>568</v>
      </c>
      <c r="S16" s="15">
        <v>1300</v>
      </c>
      <c r="T16" s="15" t="s">
        <v>569</v>
      </c>
      <c r="U16" s="15" t="s">
        <v>549</v>
      </c>
      <c r="V16" s="31">
        <v>1</v>
      </c>
      <c r="W16" s="16" t="s">
        <v>1160</v>
      </c>
      <c r="X16" s="15" t="s">
        <v>575</v>
      </c>
      <c r="Y16" s="1">
        <v>3</v>
      </c>
      <c r="Z16" s="15">
        <v>5.01</v>
      </c>
      <c r="AA16" s="15" t="s">
        <v>574</v>
      </c>
      <c r="AB16" s="15">
        <f t="shared" si="0"/>
        <v>5.01</v>
      </c>
      <c r="AC16" s="1">
        <v>3</v>
      </c>
      <c r="AD16" s="15" t="s">
        <v>532</v>
      </c>
      <c r="AF16" s="15">
        <v>17</v>
      </c>
      <c r="AJ16" s="15" t="s">
        <v>571</v>
      </c>
      <c r="AM16" s="1">
        <v>1</v>
      </c>
      <c r="AP16" s="15" t="s">
        <v>570</v>
      </c>
      <c r="AQ16" s="1">
        <v>2</v>
      </c>
      <c r="AR16" s="1">
        <v>3</v>
      </c>
      <c r="AT16" s="15" t="s">
        <v>576</v>
      </c>
      <c r="AW16" s="15">
        <v>3750</v>
      </c>
      <c r="AX16" s="15">
        <f>AW16</f>
        <v>3750</v>
      </c>
      <c r="AY16" s="15" t="s">
        <v>766</v>
      </c>
      <c r="AZ16" s="15">
        <f>AX16</f>
        <v>3750</v>
      </c>
      <c r="BA16" s="15">
        <f>AZ16/2.93/1000</f>
        <v>1.2798634812286689</v>
      </c>
      <c r="BB16" s="15">
        <f>AZ16*0.6</f>
        <v>2250</v>
      </c>
      <c r="BP16" s="16"/>
      <c r="BQ16" s="16"/>
      <c r="BR16" s="16"/>
      <c r="BU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>
        <f t="shared" si="4"/>
        <v>5.03</v>
      </c>
      <c r="FL16" s="16">
        <f t="shared" si="5"/>
        <v>6.72</v>
      </c>
      <c r="FM16" s="15">
        <v>5.03</v>
      </c>
      <c r="FN16" s="15">
        <v>0.15</v>
      </c>
      <c r="FO16" s="15">
        <f>FN16*SQRT(AR16)</f>
        <v>0.25980762113533157</v>
      </c>
      <c r="FP16" s="15">
        <v>6.72</v>
      </c>
      <c r="FQ16" s="15">
        <v>0.2</v>
      </c>
      <c r="FR16" s="15">
        <f>FQ16*SQRT(AR16)</f>
        <v>0.34641016151377546</v>
      </c>
      <c r="FS16" s="15">
        <f t="shared" si="6"/>
        <v>1.3359840954274353</v>
      </c>
      <c r="FT16" s="15">
        <f t="shared" si="7"/>
        <v>1.6899999999999995</v>
      </c>
      <c r="FU16" s="15">
        <f t="shared" si="8"/>
        <v>0.28966817042341031</v>
      </c>
      <c r="FV16" s="15">
        <f>((FR16*FR16)/(AR16*FP16*FP16)+(FO16*FO16)/(AR16*FM16*FM16))</f>
        <v>1.7750674032469905E-3</v>
      </c>
      <c r="GI16" s="15">
        <v>19.18</v>
      </c>
      <c r="GJ16" s="15">
        <v>1.1499999999999999</v>
      </c>
      <c r="GK16" s="15">
        <f>GJ16*SQRT(AR16)</f>
        <v>1.9918584287042087</v>
      </c>
      <c r="GL16" s="15">
        <v>33.340000000000003</v>
      </c>
      <c r="GM16" s="15">
        <v>2</v>
      </c>
      <c r="GN16" s="15">
        <f>GM16*SQRT(AR16)</f>
        <v>3.4641016151377544</v>
      </c>
      <c r="GO16" s="15">
        <f t="shared" si="9"/>
        <v>1.7382690302398334</v>
      </c>
      <c r="GP16" s="15">
        <f t="shared" si="10"/>
        <v>14.160000000000004</v>
      </c>
      <c r="GQ16" s="15">
        <f t="shared" si="11"/>
        <v>0.55288980786735609</v>
      </c>
      <c r="GR16" s="15">
        <f>((GN16*GN16)/(AR16*GL16*GL16)+(GK16*GK16)/(AR16*GI16*GI16))</f>
        <v>7.1935569578541574E-3</v>
      </c>
      <c r="HY16" s="15">
        <f>AZ16</f>
        <v>3750</v>
      </c>
      <c r="HZ16" s="15">
        <f>BA16</f>
        <v>1.2798634812286689</v>
      </c>
      <c r="IA16" s="15">
        <f>BB16</f>
        <v>2250</v>
      </c>
    </row>
    <row r="17" spans="1:235" s="19" customFormat="1" x14ac:dyDescent="0.25">
      <c r="A17" s="34">
        <v>15</v>
      </c>
      <c r="B17" s="74">
        <v>5</v>
      </c>
      <c r="C17" s="75">
        <v>5</v>
      </c>
      <c r="D17" s="45" t="s">
        <v>16</v>
      </c>
      <c r="E17" s="74">
        <v>2</v>
      </c>
      <c r="F17" s="45" t="s">
        <v>777</v>
      </c>
      <c r="G17" s="19" t="s">
        <v>583</v>
      </c>
      <c r="H17" s="19" t="s">
        <v>584</v>
      </c>
      <c r="I17" s="75">
        <v>2015</v>
      </c>
      <c r="J17" s="19" t="s">
        <v>585</v>
      </c>
      <c r="K17" s="75">
        <v>2014</v>
      </c>
      <c r="L17" s="19" t="s">
        <v>594</v>
      </c>
      <c r="M17" s="19" t="s">
        <v>480</v>
      </c>
      <c r="N17" s="19" t="s">
        <v>520</v>
      </c>
      <c r="O17" s="34">
        <v>2</v>
      </c>
      <c r="P17" s="19">
        <v>30.48</v>
      </c>
      <c r="Q17" s="19">
        <v>114.36</v>
      </c>
      <c r="U17" s="19" t="s">
        <v>807</v>
      </c>
      <c r="V17" s="34">
        <v>2</v>
      </c>
      <c r="W17" s="24" t="s">
        <v>1149</v>
      </c>
      <c r="X17" s="19" t="s">
        <v>586</v>
      </c>
      <c r="Y17" s="75">
        <v>6</v>
      </c>
      <c r="Z17" s="19">
        <v>4.55</v>
      </c>
      <c r="AA17" s="19" t="s">
        <v>573</v>
      </c>
      <c r="AB17" s="19">
        <f t="shared" si="0"/>
        <v>4.55</v>
      </c>
      <c r="AC17" s="75">
        <v>2</v>
      </c>
      <c r="AD17" s="19">
        <f>3.4*1.724</f>
        <v>5.8616000000000001</v>
      </c>
      <c r="AH17" s="19">
        <v>8.5</v>
      </c>
      <c r="AM17" s="75"/>
      <c r="AP17" s="19" t="s">
        <v>587</v>
      </c>
      <c r="AQ17" s="75">
        <v>1</v>
      </c>
      <c r="AR17" s="75">
        <v>4</v>
      </c>
      <c r="BP17" s="24"/>
      <c r="BQ17" s="24"/>
      <c r="BR17" s="24"/>
      <c r="BU17" s="24"/>
      <c r="CC17" s="19" t="s">
        <v>577</v>
      </c>
      <c r="CE17" s="19">
        <v>0.5</v>
      </c>
      <c r="CF17" s="19">
        <f>CE17*22500</f>
        <v>11250</v>
      </c>
      <c r="CG17" s="19" t="s">
        <v>766</v>
      </c>
      <c r="CH17" s="19">
        <v>8.49</v>
      </c>
      <c r="CI17" s="19">
        <v>400</v>
      </c>
      <c r="CK17" s="19">
        <v>400.9</v>
      </c>
      <c r="CL17" s="19">
        <v>18.8</v>
      </c>
      <c r="CM17" s="19">
        <v>2.5</v>
      </c>
      <c r="CO17" s="19">
        <v>8.5</v>
      </c>
      <c r="CP17" s="19">
        <v>2.2000000000000002</v>
      </c>
      <c r="CQ17" s="19">
        <v>1.1000000000000001</v>
      </c>
      <c r="CY17" s="19">
        <f>CF17</f>
        <v>11250</v>
      </c>
      <c r="CZ17" s="19">
        <f>CY17/0.78/1000</f>
        <v>14.423076923076922</v>
      </c>
      <c r="DA17" s="19">
        <f>CY17*3</f>
        <v>33750</v>
      </c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>
        <f t="shared" si="4"/>
        <v>4.37</v>
      </c>
      <c r="FL17" s="24">
        <f t="shared" si="5"/>
        <v>4.66</v>
      </c>
      <c r="FM17" s="45">
        <v>4.37</v>
      </c>
      <c r="FN17" s="19">
        <v>0.08</v>
      </c>
      <c r="FO17" s="19">
        <f>FN17*SQRT(AR17)</f>
        <v>0.16</v>
      </c>
      <c r="FP17" s="19">
        <v>4.66</v>
      </c>
      <c r="FQ17" s="19">
        <v>0.21</v>
      </c>
      <c r="FR17" s="19">
        <f>FQ17*SQRT(AR17)</f>
        <v>0.42</v>
      </c>
      <c r="FS17" s="19">
        <f t="shared" si="6"/>
        <v>1.0663615560640731</v>
      </c>
      <c r="FT17" s="19">
        <f t="shared" si="7"/>
        <v>0.29000000000000004</v>
      </c>
      <c r="FU17" s="19">
        <f t="shared" si="8"/>
        <v>6.4252439030055841E-2</v>
      </c>
      <c r="FV17" s="19">
        <f>((FR17*FR17)/(AR17*FP17*FP17)+(FO17*FO17)/(AR17*FM17*FM17))</f>
        <v>2.3659310632360561E-3</v>
      </c>
      <c r="FX17" s="19">
        <f>3.75*1.724</f>
        <v>6.4649999999999999</v>
      </c>
      <c r="FY17" s="19">
        <v>0.1</v>
      </c>
      <c r="FZ17" s="19">
        <f>FY17*SQRT(AR17)</f>
        <v>0.2</v>
      </c>
      <c r="GA17" s="19">
        <f>1.724*6.18</f>
        <v>10.65432</v>
      </c>
      <c r="GB17" s="19">
        <v>0.09</v>
      </c>
      <c r="GC17" s="19">
        <f>GB17*SQRT(AR17)</f>
        <v>0.18</v>
      </c>
      <c r="GD17" s="19">
        <f>GA17/FX17</f>
        <v>1.6480000000000001</v>
      </c>
      <c r="GE17" s="19">
        <f>GA17-FX17</f>
        <v>4.1893200000000004</v>
      </c>
      <c r="GF17" s="19">
        <f>LN(GA17)-LN(FX17)</f>
        <v>0.49956243148727997</v>
      </c>
      <c r="GG17" s="19">
        <f>((GC17*GC17)/(AR17*GA17*GA17)+(FZ17*FZ17)/(AR17*FX17*FX17))</f>
        <v>3.1061255816149715E-4</v>
      </c>
      <c r="HE17" s="19">
        <v>0.22</v>
      </c>
      <c r="HF17" s="19">
        <v>0.03</v>
      </c>
      <c r="HG17" s="19">
        <f>HF17*SQRT(AR17)</f>
        <v>0.06</v>
      </c>
      <c r="HH17" s="19">
        <v>6.8</v>
      </c>
      <c r="HI17" s="19">
        <v>0.62</v>
      </c>
      <c r="HJ17" s="19">
        <f>HI17*SQRT(AR17)</f>
        <v>1.24</v>
      </c>
      <c r="HK17" s="19">
        <f t="shared" ref="HK17:HK26" si="21">HH17/HE17</f>
        <v>30.909090909090907</v>
      </c>
      <c r="HL17" s="19">
        <f t="shared" ref="HL17:HL26" si="22">HH17-HE17</f>
        <v>6.58</v>
      </c>
      <c r="HM17" s="19">
        <f t="shared" ref="HM17:HM26" si="23">LN(HH17)-LN(HE17)</f>
        <v>3.4310503448118368</v>
      </c>
      <c r="HN17" s="19">
        <f>((HJ17*HJ17)/(AR17*HH17*HH17)+(HG17*HG17)/(AR17*HE17*HE17))</f>
        <v>2.690819011124139E-2</v>
      </c>
      <c r="HP17" s="19" t="s">
        <v>598</v>
      </c>
      <c r="HV17" s="19">
        <f t="shared" ref="HV17:HV26" si="24">HX17/HW17/100</f>
        <v>98.366379412164804</v>
      </c>
      <c r="HW17" s="19">
        <f t="shared" ref="HW17:HW26" si="25">HM17</f>
        <v>3.4310503448118368</v>
      </c>
      <c r="HX17" s="19">
        <f>DA17</f>
        <v>33750</v>
      </c>
      <c r="HY17" s="19">
        <f>CY17</f>
        <v>11250</v>
      </c>
      <c r="HZ17" s="19">
        <f>CZ17</f>
        <v>14.423076923076922</v>
      </c>
      <c r="IA17" s="19">
        <f>DA17</f>
        <v>33750</v>
      </c>
    </row>
    <row r="18" spans="1:235" s="19" customFormat="1" x14ac:dyDescent="0.25">
      <c r="A18" s="34">
        <v>16</v>
      </c>
      <c r="B18" s="74">
        <v>5</v>
      </c>
      <c r="C18" s="75">
        <v>5</v>
      </c>
      <c r="D18" s="45" t="s">
        <v>588</v>
      </c>
      <c r="E18" s="74">
        <v>2</v>
      </c>
      <c r="F18" s="45" t="s">
        <v>777</v>
      </c>
      <c r="G18" s="19" t="s">
        <v>583</v>
      </c>
      <c r="H18" s="19" t="s">
        <v>584</v>
      </c>
      <c r="I18" s="75">
        <v>2015</v>
      </c>
      <c r="J18" s="19" t="s">
        <v>585</v>
      </c>
      <c r="K18" s="75">
        <v>2014</v>
      </c>
      <c r="L18" s="19" t="s">
        <v>594</v>
      </c>
      <c r="M18" s="19" t="s">
        <v>480</v>
      </c>
      <c r="N18" s="19" t="s">
        <v>520</v>
      </c>
      <c r="O18" s="34">
        <v>2</v>
      </c>
      <c r="P18" s="19">
        <v>30.48</v>
      </c>
      <c r="Q18" s="19">
        <v>114.36</v>
      </c>
      <c r="U18" s="19" t="s">
        <v>807</v>
      </c>
      <c r="V18" s="34">
        <v>2</v>
      </c>
      <c r="W18" s="24" t="s">
        <v>1149</v>
      </c>
      <c r="X18" s="19" t="s">
        <v>586</v>
      </c>
      <c r="Y18" s="75">
        <v>6</v>
      </c>
      <c r="Z18" s="19">
        <v>4.55</v>
      </c>
      <c r="AA18" s="19" t="s">
        <v>573</v>
      </c>
      <c r="AB18" s="19">
        <f t="shared" si="0"/>
        <v>4.55</v>
      </c>
      <c r="AC18" s="75">
        <v>2</v>
      </c>
      <c r="AD18" s="19">
        <f>3.4*1.724</f>
        <v>5.8616000000000001</v>
      </c>
      <c r="AH18" s="19">
        <v>8.5</v>
      </c>
      <c r="AM18" s="75"/>
      <c r="AP18" s="19" t="s">
        <v>587</v>
      </c>
      <c r="AQ18" s="75">
        <v>1</v>
      </c>
      <c r="AR18" s="75">
        <v>4</v>
      </c>
      <c r="BP18" s="24"/>
      <c r="BQ18" s="24"/>
      <c r="BR18" s="24"/>
      <c r="BU18" s="24"/>
      <c r="CC18" s="19" t="s">
        <v>577</v>
      </c>
      <c r="CE18" s="19">
        <v>1</v>
      </c>
      <c r="CF18" s="19">
        <f>CE18*22500</f>
        <v>22500</v>
      </c>
      <c r="CG18" s="19" t="s">
        <v>766</v>
      </c>
      <c r="CH18" s="19">
        <v>8.49</v>
      </c>
      <c r="CI18" s="19">
        <v>400</v>
      </c>
      <c r="CK18" s="19">
        <v>400.9</v>
      </c>
      <c r="CL18" s="19">
        <v>18.8</v>
      </c>
      <c r="CM18" s="19">
        <v>2.5</v>
      </c>
      <c r="CO18" s="19">
        <v>8.5</v>
      </c>
      <c r="CP18" s="19">
        <v>2.2000000000000002</v>
      </c>
      <c r="CQ18" s="19">
        <v>1.1000000000000001</v>
      </c>
      <c r="CY18" s="19">
        <f>CF18</f>
        <v>22500</v>
      </c>
      <c r="CZ18" s="19">
        <f>CY18/0.78/1000</f>
        <v>28.846153846153843</v>
      </c>
      <c r="DA18" s="19">
        <f>CY18*3</f>
        <v>67500</v>
      </c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>
        <f t="shared" si="4"/>
        <v>4.37</v>
      </c>
      <c r="FL18" s="24">
        <f t="shared" si="5"/>
        <v>4.88</v>
      </c>
      <c r="FM18" s="45">
        <v>4.37</v>
      </c>
      <c r="FN18" s="19">
        <v>0.08</v>
      </c>
      <c r="FO18" s="19">
        <f>FN18*SQRT(AR18)</f>
        <v>0.16</v>
      </c>
      <c r="FP18" s="19">
        <v>4.88</v>
      </c>
      <c r="FQ18" s="19">
        <v>0.22</v>
      </c>
      <c r="FR18" s="19">
        <f>FQ18*SQRT(AR18)</f>
        <v>0.44</v>
      </c>
      <c r="FS18" s="19">
        <f t="shared" si="6"/>
        <v>1.1167048054919908</v>
      </c>
      <c r="FT18" s="19">
        <f t="shared" si="7"/>
        <v>0.50999999999999979</v>
      </c>
      <c r="FU18" s="19">
        <f t="shared" si="8"/>
        <v>0.11038221075755694</v>
      </c>
      <c r="FV18" s="19">
        <f>((FR18*FR18)/(AR18*FP18*FP18)+(FO18*FO18)/(AR18*FM18*FM18))</f>
        <v>2.3675166951381095E-3</v>
      </c>
      <c r="FX18" s="19">
        <f>3.75*1.724</f>
        <v>6.4649999999999999</v>
      </c>
      <c r="FY18" s="19">
        <v>0.1</v>
      </c>
      <c r="FZ18" s="19">
        <f>FY18*SQRT(AR18)</f>
        <v>0.2</v>
      </c>
      <c r="GA18" s="19">
        <f>1.724*9.94</f>
        <v>17.136559999999999</v>
      </c>
      <c r="GB18" s="19">
        <v>0.2</v>
      </c>
      <c r="GC18" s="19">
        <f>GB18*SQRT(AR18)</f>
        <v>0.4</v>
      </c>
      <c r="GD18" s="19">
        <f>GA18/FX18</f>
        <v>2.6506666666666665</v>
      </c>
      <c r="GE18" s="19">
        <f>GA18-FX18</f>
        <v>10.671559999999999</v>
      </c>
      <c r="GF18" s="19">
        <f>LN(GA18)-LN(FX18)</f>
        <v>0.97481118068616301</v>
      </c>
      <c r="GG18" s="19">
        <f>((GC18*GC18)/(AR18*GA18*GA18)+(FZ18*FZ18)/(AR18*FX18*FX18))</f>
        <v>3.7546721974805844E-4</v>
      </c>
      <c r="HE18" s="19">
        <v>0.22</v>
      </c>
      <c r="HF18" s="19">
        <v>0.03</v>
      </c>
      <c r="HG18" s="19">
        <f>HF18*SQRT(AR18)</f>
        <v>0.06</v>
      </c>
      <c r="HH18" s="19">
        <v>12.82</v>
      </c>
      <c r="HI18" s="19">
        <v>1.1100000000000001</v>
      </c>
      <c r="HJ18" s="19">
        <f>HI18*SQRT(AR18)</f>
        <v>2.2200000000000002</v>
      </c>
      <c r="HK18" s="19">
        <f t="shared" si="21"/>
        <v>58.272727272727273</v>
      </c>
      <c r="HL18" s="19">
        <f t="shared" si="22"/>
        <v>12.6</v>
      </c>
      <c r="HM18" s="19">
        <f t="shared" si="23"/>
        <v>4.0651341841222992</v>
      </c>
      <c r="HN18" s="19">
        <f>((HJ18*HJ18)/(AR18*HH18*HH18)+(HG18*HG18)/(AR18*HE18*HE18))</f>
        <v>2.6091737446009233E-2</v>
      </c>
      <c r="HP18" s="19" t="s">
        <v>598</v>
      </c>
      <c r="HV18" s="19">
        <f t="shared" si="24"/>
        <v>166.04617939462653</v>
      </c>
      <c r="HW18" s="19">
        <f t="shared" si="25"/>
        <v>4.0651341841222992</v>
      </c>
      <c r="HX18" s="19">
        <f>DA18</f>
        <v>67500</v>
      </c>
      <c r="HY18" s="19">
        <f>CY18</f>
        <v>22500</v>
      </c>
      <c r="HZ18" s="19">
        <f>CZ18</f>
        <v>28.846153846153843</v>
      </c>
      <c r="IA18" s="19">
        <f>DA18</f>
        <v>67500</v>
      </c>
    </row>
    <row r="19" spans="1:235" s="19" customFormat="1" x14ac:dyDescent="0.25">
      <c r="A19" s="34">
        <v>17</v>
      </c>
      <c r="B19" s="74">
        <v>5</v>
      </c>
      <c r="C19" s="75">
        <v>5</v>
      </c>
      <c r="D19" s="45" t="s">
        <v>589</v>
      </c>
      <c r="E19" s="74">
        <v>2</v>
      </c>
      <c r="F19" s="45" t="s">
        <v>777</v>
      </c>
      <c r="G19" s="19" t="s">
        <v>583</v>
      </c>
      <c r="H19" s="19" t="s">
        <v>584</v>
      </c>
      <c r="I19" s="75">
        <v>2015</v>
      </c>
      <c r="J19" s="19" t="s">
        <v>585</v>
      </c>
      <c r="K19" s="75">
        <v>2014</v>
      </c>
      <c r="L19" s="19" t="s">
        <v>594</v>
      </c>
      <c r="M19" s="19" t="s">
        <v>480</v>
      </c>
      <c r="N19" s="19" t="s">
        <v>520</v>
      </c>
      <c r="O19" s="34">
        <v>2</v>
      </c>
      <c r="P19" s="19">
        <v>30.48</v>
      </c>
      <c r="Q19" s="19">
        <v>114.36</v>
      </c>
      <c r="U19" s="19" t="s">
        <v>807</v>
      </c>
      <c r="V19" s="34">
        <v>2</v>
      </c>
      <c r="W19" s="24" t="s">
        <v>1149</v>
      </c>
      <c r="X19" s="19" t="s">
        <v>521</v>
      </c>
      <c r="Y19" s="75">
        <v>6</v>
      </c>
      <c r="Z19" s="19">
        <v>4.55</v>
      </c>
      <c r="AA19" s="19" t="s">
        <v>573</v>
      </c>
      <c r="AB19" s="19">
        <f t="shared" si="0"/>
        <v>4.55</v>
      </c>
      <c r="AC19" s="75">
        <v>2</v>
      </c>
      <c r="AD19" s="19">
        <f>3.4*1.724</f>
        <v>5.8616000000000001</v>
      </c>
      <c r="AH19" s="19">
        <v>8.5</v>
      </c>
      <c r="AM19" s="75"/>
      <c r="AP19" s="19" t="s">
        <v>587</v>
      </c>
      <c r="AQ19" s="75">
        <v>1</v>
      </c>
      <c r="AR19" s="75">
        <v>4</v>
      </c>
      <c r="BP19" s="24"/>
      <c r="BQ19" s="24"/>
      <c r="BR19" s="24"/>
      <c r="BU19" s="24"/>
      <c r="CC19" s="19" t="s">
        <v>577</v>
      </c>
      <c r="CE19" s="19">
        <v>2</v>
      </c>
      <c r="CF19" s="19">
        <f>CE19*22500</f>
        <v>45000</v>
      </c>
      <c r="CG19" s="19" t="s">
        <v>766</v>
      </c>
      <c r="CH19" s="19">
        <v>8.49</v>
      </c>
      <c r="CI19" s="19">
        <v>400</v>
      </c>
      <c r="CK19" s="19">
        <v>400.9</v>
      </c>
      <c r="CL19" s="19">
        <v>18.8</v>
      </c>
      <c r="CM19" s="19">
        <v>2.5</v>
      </c>
      <c r="CO19" s="19">
        <v>8.5</v>
      </c>
      <c r="CP19" s="19">
        <v>2.2000000000000002</v>
      </c>
      <c r="CQ19" s="19">
        <v>1.1000000000000001</v>
      </c>
      <c r="CY19" s="19">
        <f>CF19</f>
        <v>45000</v>
      </c>
      <c r="CZ19" s="19">
        <f>CY19/0.78/1000</f>
        <v>57.692307692307686</v>
      </c>
      <c r="DA19" s="19">
        <f>CY19*3</f>
        <v>135000</v>
      </c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>
        <f t="shared" si="4"/>
        <v>4.37</v>
      </c>
      <c r="FL19" s="24">
        <f t="shared" si="5"/>
        <v>5.35</v>
      </c>
      <c r="FM19" s="45">
        <v>4.37</v>
      </c>
      <c r="FN19" s="19">
        <v>0.08</v>
      </c>
      <c r="FO19" s="19">
        <f>FN19*SQRT(AR19)</f>
        <v>0.16</v>
      </c>
      <c r="FP19" s="19">
        <v>5.35</v>
      </c>
      <c r="FQ19" s="19">
        <v>0.06</v>
      </c>
      <c r="FR19" s="19">
        <f>FQ19*SQRT(AR19)</f>
        <v>0.12</v>
      </c>
      <c r="FS19" s="19">
        <f t="shared" si="6"/>
        <v>1.2242562929061784</v>
      </c>
      <c r="FT19" s="19">
        <f t="shared" si="7"/>
        <v>0.97999999999999954</v>
      </c>
      <c r="FU19" s="19">
        <f t="shared" si="8"/>
        <v>0.20233355180041634</v>
      </c>
      <c r="FV19" s="19">
        <f>((FR19*FR19)/(AR19*FP19*FP19)+(FO19*FO19)/(AR19*FM19*FM19))</f>
        <v>4.6090810420509822E-4</v>
      </c>
      <c r="FX19" s="19">
        <f>3.75*1.724</f>
        <v>6.4649999999999999</v>
      </c>
      <c r="FY19" s="19">
        <v>0.1</v>
      </c>
      <c r="FZ19" s="19">
        <f>FY19*SQRT(AR19)</f>
        <v>0.2</v>
      </c>
      <c r="GA19" s="19">
        <f>1.724*17.1</f>
        <v>29.480400000000003</v>
      </c>
      <c r="GB19" s="19">
        <v>0.2</v>
      </c>
      <c r="GC19" s="19">
        <f>GB19*SQRT(AR19)</f>
        <v>0.4</v>
      </c>
      <c r="GD19" s="19">
        <f>GA19/FX19</f>
        <v>4.5600000000000005</v>
      </c>
      <c r="GE19" s="19">
        <f>GA19-FX19</f>
        <v>23.015400000000003</v>
      </c>
      <c r="GF19" s="19">
        <f>LN(GA19)-LN(FX19)</f>
        <v>1.5173226235262949</v>
      </c>
      <c r="GG19" s="19">
        <f>((GC19*GC19)/(AR19*GA19*GA19)+(FZ19*FZ19)/(AR19*FX19*FX19))</f>
        <v>2.8528099897002059E-4</v>
      </c>
      <c r="HE19" s="19">
        <v>0.22</v>
      </c>
      <c r="HF19" s="19">
        <v>0.03</v>
      </c>
      <c r="HG19" s="19">
        <f>HF19*SQRT(AR19)</f>
        <v>0.06</v>
      </c>
      <c r="HH19" s="19">
        <v>47.73</v>
      </c>
      <c r="HI19" s="19">
        <v>2.89</v>
      </c>
      <c r="HJ19" s="19">
        <f>HI19*SQRT(AR19)</f>
        <v>5.78</v>
      </c>
      <c r="HK19" s="19">
        <f t="shared" si="21"/>
        <v>216.95454545454544</v>
      </c>
      <c r="HL19" s="19">
        <f t="shared" si="22"/>
        <v>47.51</v>
      </c>
      <c r="HM19" s="19">
        <f t="shared" si="23"/>
        <v>5.3796878636475807</v>
      </c>
      <c r="HN19" s="19">
        <f>((HJ19*HJ19)/(AR19*HH19*HH19)+(HG19*HG19)/(AR19*HE19*HE19))</f>
        <v>2.2261213158278177E-2</v>
      </c>
      <c r="HP19" s="19" t="s">
        <v>598</v>
      </c>
      <c r="HV19" s="19">
        <f t="shared" si="24"/>
        <v>250.94392727176961</v>
      </c>
      <c r="HW19" s="19">
        <f t="shared" si="25"/>
        <v>5.3796878636475807</v>
      </c>
      <c r="HX19" s="19">
        <f>DA19</f>
        <v>135000</v>
      </c>
      <c r="HY19" s="19">
        <f>CY19</f>
        <v>45000</v>
      </c>
      <c r="HZ19" s="19">
        <f>CZ19</f>
        <v>57.692307692307686</v>
      </c>
      <c r="IA19" s="19">
        <f>DA19</f>
        <v>135000</v>
      </c>
    </row>
    <row r="20" spans="1:235" s="19" customFormat="1" x14ac:dyDescent="0.25">
      <c r="A20" s="34">
        <v>18</v>
      </c>
      <c r="B20" s="74">
        <v>5</v>
      </c>
      <c r="C20" s="75">
        <v>5</v>
      </c>
      <c r="D20" s="45" t="s">
        <v>17</v>
      </c>
      <c r="E20" s="74">
        <v>1</v>
      </c>
      <c r="F20" s="19" t="s">
        <v>761</v>
      </c>
      <c r="G20" s="19" t="s">
        <v>583</v>
      </c>
      <c r="H20" s="19" t="s">
        <v>584</v>
      </c>
      <c r="I20" s="75">
        <v>2015</v>
      </c>
      <c r="J20" s="19" t="s">
        <v>585</v>
      </c>
      <c r="K20" s="75">
        <v>2014</v>
      </c>
      <c r="L20" s="19" t="s">
        <v>594</v>
      </c>
      <c r="M20" s="19" t="s">
        <v>480</v>
      </c>
      <c r="N20" s="19" t="s">
        <v>520</v>
      </c>
      <c r="O20" s="34">
        <v>2</v>
      </c>
      <c r="P20" s="19">
        <v>30.48</v>
      </c>
      <c r="Q20" s="19">
        <v>114.36</v>
      </c>
      <c r="U20" s="19" t="s">
        <v>807</v>
      </c>
      <c r="V20" s="34">
        <v>2</v>
      </c>
      <c r="W20" s="24" t="s">
        <v>1149</v>
      </c>
      <c r="X20" s="19" t="s">
        <v>586</v>
      </c>
      <c r="Y20" s="75">
        <v>6</v>
      </c>
      <c r="Z20" s="19">
        <v>4.55</v>
      </c>
      <c r="AA20" s="19" t="s">
        <v>574</v>
      </c>
      <c r="AB20" s="19">
        <f t="shared" si="0"/>
        <v>4.55</v>
      </c>
      <c r="AC20" s="75">
        <v>2</v>
      </c>
      <c r="AD20" s="19">
        <f>3.4*1.724</f>
        <v>5.8616000000000001</v>
      </c>
      <c r="AH20" s="19">
        <v>8.5</v>
      </c>
      <c r="AM20" s="75"/>
      <c r="AP20" s="19" t="s">
        <v>587</v>
      </c>
      <c r="AQ20" s="75">
        <v>1</v>
      </c>
      <c r="AR20" s="75">
        <v>4</v>
      </c>
      <c r="AT20" s="19" t="s">
        <v>664</v>
      </c>
      <c r="AU20" s="19">
        <v>95</v>
      </c>
      <c r="AW20" s="19">
        <v>3</v>
      </c>
      <c r="AX20" s="19">
        <f>AW20*1.35*2250</f>
        <v>9112.5000000000018</v>
      </c>
      <c r="AY20" s="19" t="s">
        <v>766</v>
      </c>
      <c r="AZ20" s="19">
        <f>AX20</f>
        <v>9112.5000000000018</v>
      </c>
      <c r="BA20" s="19">
        <f>AZ20/2.93/1000</f>
        <v>3.1100682593856659</v>
      </c>
      <c r="BB20" s="19">
        <f>AZ20*0.6</f>
        <v>5467.5000000000009</v>
      </c>
      <c r="BP20" s="24"/>
      <c r="BQ20" s="24"/>
      <c r="BR20" s="24"/>
      <c r="BU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>
        <f t="shared" si="4"/>
        <v>4.37</v>
      </c>
      <c r="FL20" s="24">
        <f t="shared" si="5"/>
        <v>5.47</v>
      </c>
      <c r="FM20" s="45">
        <v>4.37</v>
      </c>
      <c r="FN20" s="19">
        <v>0.08</v>
      </c>
      <c r="FO20" s="19">
        <f>FN20*SQRT(AR20)</f>
        <v>0.16</v>
      </c>
      <c r="FP20" s="19">
        <v>5.47</v>
      </c>
      <c r="FQ20" s="19">
        <v>0.13</v>
      </c>
      <c r="FR20" s="19">
        <f>FQ20*SQRT(AR20)</f>
        <v>0.26</v>
      </c>
      <c r="FS20" s="19">
        <f t="shared" si="6"/>
        <v>1.251716247139588</v>
      </c>
      <c r="FT20" s="19">
        <f t="shared" si="7"/>
        <v>1.0999999999999996</v>
      </c>
      <c r="FU20" s="19">
        <f t="shared" si="8"/>
        <v>0.22451560732639098</v>
      </c>
      <c r="FV20" s="19">
        <f>((FR20*FR20)/(AR20*FP20*FP20)+(FO20*FO20)/(AR20*FM20*FM20))</f>
        <v>8.9995550954217877E-4</v>
      </c>
      <c r="FX20" s="19">
        <f>3.75*1.724</f>
        <v>6.4649999999999999</v>
      </c>
      <c r="FY20" s="19">
        <v>0.1</v>
      </c>
      <c r="FZ20" s="19">
        <f>FY20*SQRT(AR20)</f>
        <v>0.2</v>
      </c>
      <c r="GA20" s="19">
        <f>6.361</f>
        <v>6.3609999999999998</v>
      </c>
      <c r="GB20" s="19">
        <v>0.06</v>
      </c>
      <c r="GC20" s="19">
        <f>GB20*SQRT(AR20)</f>
        <v>0.12</v>
      </c>
      <c r="GD20" s="19">
        <f>GA20/FX20</f>
        <v>0.98391337973704562</v>
      </c>
      <c r="GE20" s="19">
        <f>GA20-FX20</f>
        <v>-0.10400000000000009</v>
      </c>
      <c r="GF20" s="19">
        <f>LN(GA20)-LN(FX20)</f>
        <v>-1.621741452715364E-2</v>
      </c>
      <c r="GG20" s="19">
        <f>((GC20*GC20)/(AR20*GA20*GA20)+(FZ20*FZ20)/(AR20*FX20*FX20))</f>
        <v>3.2822772050708016E-4</v>
      </c>
      <c r="HE20" s="19">
        <v>0.22</v>
      </c>
      <c r="HF20" s="19">
        <v>0.03</v>
      </c>
      <c r="HG20" s="19">
        <f>HF20*SQRT(AR20)</f>
        <v>0.06</v>
      </c>
      <c r="HH20" s="19">
        <v>30.16</v>
      </c>
      <c r="HI20" s="19">
        <v>7.53</v>
      </c>
      <c r="HJ20" s="19">
        <f>HI20*SQRT(AR20)</f>
        <v>15.06</v>
      </c>
      <c r="HK20" s="19">
        <f t="shared" si="21"/>
        <v>137.09090909090909</v>
      </c>
      <c r="HL20" s="19">
        <f t="shared" si="22"/>
        <v>29.94</v>
      </c>
      <c r="HM20" s="19">
        <f t="shared" si="23"/>
        <v>4.920644275769531</v>
      </c>
      <c r="HN20" s="19">
        <f>((HJ20*HJ20)/(AR20*HH20*HH20)+(HG20*HG20)/(AR20*HE20*HE20))</f>
        <v>8.0929368764285789E-2</v>
      </c>
      <c r="HP20" s="19" t="s">
        <v>598</v>
      </c>
      <c r="HV20" s="19">
        <f t="shared" si="24"/>
        <v>11.111349842790553</v>
      </c>
      <c r="HW20" s="19">
        <f t="shared" si="25"/>
        <v>4.920644275769531</v>
      </c>
      <c r="HX20" s="19">
        <f>BB20</f>
        <v>5467.5000000000009</v>
      </c>
      <c r="HY20" s="19">
        <f>AZ20</f>
        <v>9112.5000000000018</v>
      </c>
      <c r="HZ20" s="19">
        <f>BA20</f>
        <v>3.1100682593856659</v>
      </c>
      <c r="IA20" s="19">
        <f>BB20</f>
        <v>5467.5000000000009</v>
      </c>
    </row>
    <row r="21" spans="1:235" x14ac:dyDescent="0.25">
      <c r="A21" s="31">
        <v>19</v>
      </c>
      <c r="B21" s="58">
        <v>6</v>
      </c>
      <c r="C21" s="1">
        <v>6</v>
      </c>
      <c r="D21" s="17" t="s">
        <v>18</v>
      </c>
      <c r="E21" s="58">
        <v>1</v>
      </c>
      <c r="F21" s="15" t="s">
        <v>761</v>
      </c>
      <c r="G21" s="15" t="s">
        <v>1189</v>
      </c>
      <c r="H21" s="15" t="s">
        <v>591</v>
      </c>
      <c r="I21" s="1">
        <v>2020</v>
      </c>
      <c r="J21" s="15" t="s">
        <v>592</v>
      </c>
      <c r="K21" s="1" t="s">
        <v>593</v>
      </c>
      <c r="L21" s="15" t="s">
        <v>595</v>
      </c>
      <c r="M21" s="15" t="s">
        <v>480</v>
      </c>
      <c r="N21" s="15" t="s">
        <v>520</v>
      </c>
      <c r="O21" s="31">
        <v>2</v>
      </c>
      <c r="P21" s="15">
        <v>39.909999999999997</v>
      </c>
      <c r="Q21" s="15">
        <v>116.41</v>
      </c>
      <c r="U21" s="15" t="s">
        <v>807</v>
      </c>
      <c r="V21" s="31">
        <v>2</v>
      </c>
      <c r="W21" s="16" t="s">
        <v>1153</v>
      </c>
      <c r="X21" s="15" t="s">
        <v>1124</v>
      </c>
      <c r="Y21" s="1">
        <v>2</v>
      </c>
      <c r="Z21" s="15">
        <v>4.83</v>
      </c>
      <c r="AA21" s="15" t="s">
        <v>574</v>
      </c>
      <c r="AB21" s="15">
        <f t="shared" si="0"/>
        <v>4.83</v>
      </c>
      <c r="AC21" s="1">
        <v>2</v>
      </c>
      <c r="AD21" s="15">
        <f t="shared" ref="AD21:AD26" si="26">10.01*1.724</f>
        <v>17.257239999999999</v>
      </c>
      <c r="AP21" s="15" t="s">
        <v>596</v>
      </c>
      <c r="AQ21" s="54">
        <v>2</v>
      </c>
      <c r="AR21" s="1">
        <v>4</v>
      </c>
      <c r="AS21" s="15">
        <v>12.3</v>
      </c>
      <c r="AT21" s="15" t="s">
        <v>545</v>
      </c>
      <c r="AU21" s="15">
        <v>98</v>
      </c>
      <c r="AV21" s="15"/>
      <c r="AW21" s="15">
        <v>1.2</v>
      </c>
      <c r="AX21" s="15">
        <f>AW21*1.78*2250</f>
        <v>4806</v>
      </c>
      <c r="AY21" s="15" t="s">
        <v>766</v>
      </c>
      <c r="AZ21" s="15">
        <f>AX21</f>
        <v>4806</v>
      </c>
      <c r="BA21" s="15">
        <f>AZ21/2.93/1000</f>
        <v>1.640273037542662</v>
      </c>
      <c r="BB21" s="15">
        <f>AZ21*0.6</f>
        <v>2883.6</v>
      </c>
      <c r="EW21" s="18"/>
      <c r="EX21" s="18"/>
      <c r="EY21" s="18"/>
      <c r="FK21" s="16">
        <f t="shared" si="4"/>
        <v>4.8600000000000003</v>
      </c>
      <c r="FL21" s="16">
        <f t="shared" si="5"/>
        <v>7.75</v>
      </c>
      <c r="FM21" s="15">
        <v>4.8600000000000003</v>
      </c>
      <c r="FN21" s="15">
        <v>0.4</v>
      </c>
      <c r="FO21" s="15">
        <f>FN21*SQRT(AR21)</f>
        <v>0.8</v>
      </c>
      <c r="FP21" s="15">
        <v>7.75</v>
      </c>
      <c r="FQ21" s="15">
        <v>0.7</v>
      </c>
      <c r="FR21" s="15">
        <f>FQ21*SQRT(AR21)</f>
        <v>1.4</v>
      </c>
      <c r="FS21" s="15">
        <f t="shared" si="6"/>
        <v>1.5946502057613168</v>
      </c>
      <c r="FT21" s="15">
        <f t="shared" si="7"/>
        <v>2.8899999999999997</v>
      </c>
      <c r="FU21" s="15">
        <f t="shared" si="8"/>
        <v>0.46665440545285297</v>
      </c>
      <c r="FV21" s="15">
        <f>((FR21*FR21)/(AR21*FP21*FP21)+(FO21*FO21)/(AR21*FM21*FM21))</f>
        <v>1.493220369777378E-2</v>
      </c>
      <c r="GK21" s="15"/>
      <c r="GN21" s="15"/>
      <c r="GQ21" s="15"/>
      <c r="GR21" s="15"/>
      <c r="HE21" s="15">
        <v>1.67</v>
      </c>
      <c r="HF21" s="15">
        <v>0.09</v>
      </c>
      <c r="HG21" s="15">
        <f>HF21*SQRT(AR21)</f>
        <v>0.18</v>
      </c>
      <c r="HH21" s="15">
        <v>1.36</v>
      </c>
      <c r="HI21" s="15">
        <v>0.05</v>
      </c>
      <c r="HJ21" s="15">
        <f>HI21*SQRT(AR21)</f>
        <v>0.1</v>
      </c>
      <c r="HK21" s="15">
        <f t="shared" si="21"/>
        <v>0.81437125748503003</v>
      </c>
      <c r="HL21" s="15">
        <f t="shared" si="22"/>
        <v>-0.30999999999999983</v>
      </c>
      <c r="HM21" s="15">
        <f t="shared" si="23"/>
        <v>-0.20533892668070303</v>
      </c>
      <c r="HN21" s="15">
        <f>((HJ21*HJ21)/(AR21*HH21*HH21)+(HG21*HG21)/(AR21*HE21*HE21))</f>
        <v>4.2560144975366384E-3</v>
      </c>
      <c r="HP21" s="15" t="s">
        <v>599</v>
      </c>
      <c r="HQ21" s="15">
        <v>7.37</v>
      </c>
      <c r="HR21" s="15">
        <v>0.22</v>
      </c>
      <c r="HS21" s="15">
        <v>7.23</v>
      </c>
      <c r="HT21" s="15">
        <v>0.03</v>
      </c>
      <c r="HU21" s="15" t="s">
        <v>600</v>
      </c>
      <c r="HV21" s="15">
        <f t="shared" si="24"/>
        <v>-140.43123954202443</v>
      </c>
      <c r="HW21" s="15">
        <f t="shared" si="25"/>
        <v>-0.20533892668070303</v>
      </c>
      <c r="HX21" s="15">
        <f>BB21</f>
        <v>2883.6</v>
      </c>
      <c r="HY21" s="15">
        <f>AZ21</f>
        <v>4806</v>
      </c>
      <c r="HZ21" s="15">
        <f>BA21</f>
        <v>1.640273037542662</v>
      </c>
      <c r="IA21" s="15">
        <f>BB21</f>
        <v>2883.6</v>
      </c>
    </row>
    <row r="22" spans="1:235" x14ac:dyDescent="0.25">
      <c r="A22" s="31">
        <v>20</v>
      </c>
      <c r="B22" s="58">
        <v>6</v>
      </c>
      <c r="C22" s="1">
        <v>6</v>
      </c>
      <c r="D22" s="17" t="s">
        <v>19</v>
      </c>
      <c r="E22" s="58">
        <v>1</v>
      </c>
      <c r="F22" s="15" t="s">
        <v>761</v>
      </c>
      <c r="G22" s="15" t="s">
        <v>1189</v>
      </c>
      <c r="H22" s="15" t="s">
        <v>591</v>
      </c>
      <c r="I22" s="1">
        <v>2020</v>
      </c>
      <c r="J22" s="15" t="s">
        <v>592</v>
      </c>
      <c r="K22" s="1" t="s">
        <v>593</v>
      </c>
      <c r="L22" s="15" t="s">
        <v>595</v>
      </c>
      <c r="M22" s="15" t="s">
        <v>480</v>
      </c>
      <c r="N22" s="15" t="s">
        <v>520</v>
      </c>
      <c r="O22" s="31">
        <v>2</v>
      </c>
      <c r="P22" s="15">
        <v>39.909999999999997</v>
      </c>
      <c r="Q22" s="15">
        <v>116.41</v>
      </c>
      <c r="U22" s="15" t="s">
        <v>807</v>
      </c>
      <c r="V22" s="31">
        <v>2</v>
      </c>
      <c r="W22" s="16" t="s">
        <v>1153</v>
      </c>
      <c r="X22" s="15" t="s">
        <v>1124</v>
      </c>
      <c r="Y22" s="1">
        <v>2</v>
      </c>
      <c r="Z22" s="15">
        <v>4.83</v>
      </c>
      <c r="AA22" s="15" t="s">
        <v>574</v>
      </c>
      <c r="AB22" s="15">
        <f t="shared" si="0"/>
        <v>4.83</v>
      </c>
      <c r="AC22" s="1">
        <v>2</v>
      </c>
      <c r="AD22" s="15">
        <f t="shared" si="26"/>
        <v>17.257239999999999</v>
      </c>
      <c r="AP22" s="15" t="s">
        <v>596</v>
      </c>
      <c r="AQ22" s="54">
        <v>2</v>
      </c>
      <c r="AR22" s="1">
        <v>4</v>
      </c>
      <c r="AS22" s="15">
        <v>12.3</v>
      </c>
      <c r="AT22" s="15" t="s">
        <v>545</v>
      </c>
      <c r="AU22" s="15">
        <v>98</v>
      </c>
      <c r="AV22" s="15"/>
      <c r="AW22" s="15">
        <v>2.4</v>
      </c>
      <c r="AX22" s="15">
        <f>AW22*1.78*2250</f>
        <v>9612</v>
      </c>
      <c r="AY22" s="15" t="s">
        <v>766</v>
      </c>
      <c r="AZ22" s="15">
        <f>AX22</f>
        <v>9612</v>
      </c>
      <c r="BA22" s="15">
        <f>AZ22/2.93/1000</f>
        <v>3.2805460750853239</v>
      </c>
      <c r="BB22" s="15">
        <f>AZ22*0.6</f>
        <v>5767.2</v>
      </c>
      <c r="EW22" s="18"/>
      <c r="EX22" s="18"/>
      <c r="EY22" s="18"/>
      <c r="FK22" s="16">
        <f t="shared" si="4"/>
        <v>4.8600000000000003</v>
      </c>
      <c r="FL22" s="16">
        <f t="shared" si="5"/>
        <v>6.63</v>
      </c>
      <c r="FM22" s="15">
        <v>4.8600000000000003</v>
      </c>
      <c r="FN22" s="15">
        <v>0.4</v>
      </c>
      <c r="FO22" s="15">
        <f>FN22*SQRT(AR22)</f>
        <v>0.8</v>
      </c>
      <c r="FP22" s="15">
        <v>6.63</v>
      </c>
      <c r="FQ22" s="15">
        <v>0.6</v>
      </c>
      <c r="FR22" s="15">
        <f>FQ22*SQRT(AR22)</f>
        <v>1.2</v>
      </c>
      <c r="FS22" s="15">
        <f t="shared" si="6"/>
        <v>1.3641975308641974</v>
      </c>
      <c r="FT22" s="15">
        <f t="shared" si="7"/>
        <v>1.7699999999999996</v>
      </c>
      <c r="FU22" s="15">
        <f t="shared" si="8"/>
        <v>0.3105663662853686</v>
      </c>
      <c r="FV22" s="15">
        <f>((FR22*FR22)/(AR22*FP22*FP22)+(FO22*FO22)/(AR22*FM22*FM22))</f>
        <v>1.4963875626228322E-2</v>
      </c>
      <c r="GK22" s="15"/>
      <c r="GN22" s="15"/>
      <c r="GQ22" s="15"/>
      <c r="GR22" s="15"/>
      <c r="HE22" s="15">
        <v>1.67</v>
      </c>
      <c r="HF22" s="15">
        <v>0.09</v>
      </c>
      <c r="HG22" s="15">
        <f>HF22*SQRT(AR22)</f>
        <v>0.18</v>
      </c>
      <c r="HH22" s="15">
        <v>1.69</v>
      </c>
      <c r="HI22" s="15">
        <v>0.27</v>
      </c>
      <c r="HJ22" s="15">
        <f>HI22*SQRT(AR22)</f>
        <v>0.54</v>
      </c>
      <c r="HK22" s="15">
        <f t="shared" si="21"/>
        <v>1.0119760479041917</v>
      </c>
      <c r="HL22" s="15">
        <f t="shared" si="22"/>
        <v>2.0000000000000018E-2</v>
      </c>
      <c r="HM22" s="15">
        <f t="shared" si="23"/>
        <v>1.1904902506318371E-2</v>
      </c>
      <c r="HN22" s="15">
        <f>((HJ22*HJ22)/(AR22*HH22*HH22)+(HG22*HG22)/(AR22*HE22*HE22))</f>
        <v>2.8428687274397776E-2</v>
      </c>
      <c r="HP22" s="15" t="s">
        <v>599</v>
      </c>
      <c r="HQ22" s="15">
        <v>7.37</v>
      </c>
      <c r="HR22" s="15">
        <v>0.22</v>
      </c>
      <c r="HS22" s="15">
        <v>7.53</v>
      </c>
      <c r="HT22" s="15">
        <v>0.25</v>
      </c>
      <c r="HU22" s="15" t="s">
        <v>600</v>
      </c>
      <c r="HV22" s="15">
        <f t="shared" si="24"/>
        <v>4844.3907851736994</v>
      </c>
      <c r="HW22" s="15">
        <f t="shared" si="25"/>
        <v>1.1904902506318371E-2</v>
      </c>
      <c r="HX22" s="15">
        <f>BB22</f>
        <v>5767.2</v>
      </c>
      <c r="HY22" s="15">
        <f>AZ22</f>
        <v>9612</v>
      </c>
      <c r="HZ22" s="15">
        <f>BA22</f>
        <v>3.2805460750853239</v>
      </c>
      <c r="IA22" s="15">
        <f>BB22</f>
        <v>5767.2</v>
      </c>
    </row>
    <row r="23" spans="1:235" x14ac:dyDescent="0.25">
      <c r="A23" s="31">
        <v>21</v>
      </c>
      <c r="B23" s="58">
        <v>6</v>
      </c>
      <c r="C23" s="1">
        <v>6</v>
      </c>
      <c r="D23" s="17" t="s">
        <v>20</v>
      </c>
      <c r="E23" s="58">
        <v>1</v>
      </c>
      <c r="F23" s="15" t="s">
        <v>761</v>
      </c>
      <c r="G23" s="15" t="s">
        <v>1189</v>
      </c>
      <c r="H23" s="15" t="s">
        <v>591</v>
      </c>
      <c r="I23" s="1">
        <v>2020</v>
      </c>
      <c r="J23" s="15" t="s">
        <v>592</v>
      </c>
      <c r="K23" s="1" t="s">
        <v>593</v>
      </c>
      <c r="L23" s="15" t="s">
        <v>595</v>
      </c>
      <c r="M23" s="15" t="s">
        <v>480</v>
      </c>
      <c r="N23" s="15" t="s">
        <v>520</v>
      </c>
      <c r="O23" s="31">
        <v>2</v>
      </c>
      <c r="P23" s="15">
        <v>39.909999999999997</v>
      </c>
      <c r="Q23" s="15">
        <v>116.41</v>
      </c>
      <c r="U23" s="15" t="s">
        <v>807</v>
      </c>
      <c r="V23" s="31">
        <v>2</v>
      </c>
      <c r="W23" s="16" t="s">
        <v>1153</v>
      </c>
      <c r="X23" s="15" t="s">
        <v>1124</v>
      </c>
      <c r="Y23" s="1">
        <v>2</v>
      </c>
      <c r="Z23" s="15">
        <v>4.83</v>
      </c>
      <c r="AA23" s="15" t="s">
        <v>574</v>
      </c>
      <c r="AB23" s="15">
        <f t="shared" si="0"/>
        <v>4.83</v>
      </c>
      <c r="AC23" s="1">
        <v>2</v>
      </c>
      <c r="AD23" s="15">
        <f t="shared" si="26"/>
        <v>17.257239999999999</v>
      </c>
      <c r="AP23" s="15" t="s">
        <v>596</v>
      </c>
      <c r="AQ23" s="54">
        <v>2</v>
      </c>
      <c r="AR23" s="1">
        <v>4</v>
      </c>
      <c r="AS23" s="15">
        <v>12.3</v>
      </c>
      <c r="AT23" s="15" t="s">
        <v>545</v>
      </c>
      <c r="AU23" s="15">
        <v>98</v>
      </c>
      <c r="AV23" s="15"/>
      <c r="AW23" s="15">
        <v>3.6</v>
      </c>
      <c r="AX23" s="15">
        <f>AW23*1.78*2250</f>
        <v>14418</v>
      </c>
      <c r="AY23" s="15" t="s">
        <v>766</v>
      </c>
      <c r="AZ23" s="15">
        <f>AX23</f>
        <v>14418</v>
      </c>
      <c r="BA23" s="15">
        <f>AZ23/2.93/1000</f>
        <v>4.9208191126279859</v>
      </c>
      <c r="BB23" s="15">
        <f>AZ23*0.6</f>
        <v>8650.7999999999993</v>
      </c>
      <c r="EW23" s="18"/>
      <c r="EX23" s="18"/>
      <c r="EY23" s="18"/>
      <c r="FK23" s="16">
        <f t="shared" si="4"/>
        <v>4.8600000000000003</v>
      </c>
      <c r="FL23" s="16">
        <f t="shared" si="5"/>
        <v>7.02</v>
      </c>
      <c r="FM23" s="15">
        <v>4.8600000000000003</v>
      </c>
      <c r="FN23" s="15">
        <v>0.4</v>
      </c>
      <c r="FO23" s="15">
        <f>FN23*SQRT(AR23)</f>
        <v>0.8</v>
      </c>
      <c r="FP23" s="15">
        <v>7.02</v>
      </c>
      <c r="FQ23" s="15">
        <v>0.7</v>
      </c>
      <c r="FR23" s="15">
        <f>FQ23*SQRT(AR23)</f>
        <v>1.4</v>
      </c>
      <c r="FS23" s="15">
        <f t="shared" si="6"/>
        <v>1.4444444444444442</v>
      </c>
      <c r="FT23" s="15">
        <f t="shared" si="7"/>
        <v>2.1599999999999993</v>
      </c>
      <c r="FU23" s="15">
        <f t="shared" si="8"/>
        <v>0.36772478012531717</v>
      </c>
      <c r="FV23" s="15">
        <f>((FR23*FR23)/(AR23*FP23*FP23)+(FO23*FO23)/(AR23*FM23*FM23))</f>
        <v>1.6717136234564396E-2</v>
      </c>
      <c r="GK23" s="15"/>
      <c r="GN23" s="15"/>
      <c r="GQ23" s="15"/>
      <c r="GR23" s="15"/>
      <c r="HE23" s="15">
        <v>1.67</v>
      </c>
      <c r="HF23" s="15">
        <v>0.09</v>
      </c>
      <c r="HG23" s="15">
        <f>HF23*SQRT(AR23)</f>
        <v>0.18</v>
      </c>
      <c r="HH23" s="15">
        <v>1.81</v>
      </c>
      <c r="HI23" s="15">
        <v>0.13</v>
      </c>
      <c r="HJ23" s="15">
        <f>HI23*SQRT(AR23)</f>
        <v>0.26</v>
      </c>
      <c r="HK23" s="15">
        <f t="shared" si="21"/>
        <v>1.0838323353293413</v>
      </c>
      <c r="HL23" s="15">
        <f t="shared" si="22"/>
        <v>0.14000000000000012</v>
      </c>
      <c r="HM23" s="15">
        <f t="shared" si="23"/>
        <v>8.0503218849070635E-2</v>
      </c>
      <c r="HN23" s="15">
        <f>((HJ23*HJ23)/(AR23*HH23*HH23)+(HG23*HG23)/(AR23*HE23*HE23))</f>
        <v>8.0629435920619563E-3</v>
      </c>
      <c r="HP23" s="15" t="s">
        <v>599</v>
      </c>
      <c r="HQ23" s="15">
        <v>7.37</v>
      </c>
      <c r="HR23" s="15">
        <v>0.22</v>
      </c>
      <c r="HS23" s="15">
        <v>7.6</v>
      </c>
      <c r="HT23" s="15">
        <v>0.06</v>
      </c>
      <c r="HU23" s="15" t="s">
        <v>600</v>
      </c>
      <c r="HV23" s="15">
        <f t="shared" si="24"/>
        <v>1074.5905721134861</v>
      </c>
      <c r="HW23" s="15">
        <f t="shared" si="25"/>
        <v>8.0503218849070635E-2</v>
      </c>
      <c r="HX23" s="15">
        <f>BB23</f>
        <v>8650.7999999999993</v>
      </c>
      <c r="HY23" s="15">
        <f>AZ23</f>
        <v>14418</v>
      </c>
      <c r="HZ23" s="15">
        <f>BA23</f>
        <v>4.9208191126279859</v>
      </c>
      <c r="IA23" s="15">
        <f>BB23</f>
        <v>8650.7999999999993</v>
      </c>
    </row>
    <row r="24" spans="1:235" x14ac:dyDescent="0.25">
      <c r="A24" s="31">
        <v>22</v>
      </c>
      <c r="B24" s="58">
        <v>6</v>
      </c>
      <c r="C24" s="1">
        <v>6</v>
      </c>
      <c r="D24" s="15" t="s">
        <v>590</v>
      </c>
      <c r="E24" s="1">
        <v>2</v>
      </c>
      <c r="F24" s="17" t="s">
        <v>777</v>
      </c>
      <c r="G24" s="15" t="s">
        <v>1189</v>
      </c>
      <c r="H24" s="15" t="s">
        <v>591</v>
      </c>
      <c r="I24" s="1">
        <v>2020</v>
      </c>
      <c r="J24" s="15" t="s">
        <v>592</v>
      </c>
      <c r="K24" s="1" t="s">
        <v>593</v>
      </c>
      <c r="L24" s="15" t="s">
        <v>595</v>
      </c>
      <c r="M24" s="15" t="s">
        <v>480</v>
      </c>
      <c r="N24" s="15" t="s">
        <v>520</v>
      </c>
      <c r="O24" s="31">
        <v>2</v>
      </c>
      <c r="P24" s="15">
        <v>39.909999999999997</v>
      </c>
      <c r="Q24" s="15">
        <v>116.41</v>
      </c>
      <c r="U24" s="15" t="s">
        <v>807</v>
      </c>
      <c r="V24" s="31">
        <v>2</v>
      </c>
      <c r="W24" s="16" t="s">
        <v>1153</v>
      </c>
      <c r="X24" s="15" t="s">
        <v>1124</v>
      </c>
      <c r="Y24" s="1">
        <v>2</v>
      </c>
      <c r="Z24" s="15">
        <v>4.83</v>
      </c>
      <c r="AA24" s="15" t="s">
        <v>574</v>
      </c>
      <c r="AB24" s="15">
        <f t="shared" si="0"/>
        <v>4.83</v>
      </c>
      <c r="AC24" s="1">
        <v>2</v>
      </c>
      <c r="AD24" s="15">
        <f t="shared" si="26"/>
        <v>17.257239999999999</v>
      </c>
      <c r="AP24" s="15" t="s">
        <v>596</v>
      </c>
      <c r="AQ24" s="54">
        <v>2</v>
      </c>
      <c r="AR24" s="1">
        <v>4</v>
      </c>
      <c r="AY24" s="15"/>
      <c r="AZ24" s="15"/>
      <c r="BA24" s="15"/>
      <c r="BB24" s="15"/>
      <c r="CC24" s="15" t="s">
        <v>597</v>
      </c>
      <c r="CE24" s="15">
        <v>1</v>
      </c>
      <c r="CF24" s="15">
        <f>CE24*22500</f>
        <v>22500</v>
      </c>
      <c r="CG24" s="15" t="s">
        <v>766</v>
      </c>
      <c r="CH24" s="15">
        <v>10.42</v>
      </c>
      <c r="CI24" s="15">
        <v>350</v>
      </c>
      <c r="CK24" s="15">
        <v>691.9</v>
      </c>
      <c r="CL24" s="15">
        <v>27.9</v>
      </c>
      <c r="CM24" s="15">
        <v>0.72</v>
      </c>
      <c r="CN24" s="15"/>
      <c r="CO24" s="15">
        <v>3.28</v>
      </c>
      <c r="CP24" s="15">
        <v>2.9</v>
      </c>
      <c r="CQ24" s="15">
        <v>0.1</v>
      </c>
      <c r="CR24" s="15"/>
      <c r="CS24" s="15"/>
      <c r="CY24" s="25">
        <f>CF24</f>
        <v>22500</v>
      </c>
      <c r="CZ24" s="25">
        <f>CY24/0.78/1000</f>
        <v>28.846153846153843</v>
      </c>
      <c r="DA24" s="25">
        <f>CY24*3</f>
        <v>67500</v>
      </c>
      <c r="EW24" s="18"/>
      <c r="EX24" s="18"/>
      <c r="EY24" s="18"/>
      <c r="FK24" s="16">
        <f t="shared" si="4"/>
        <v>4.8600000000000003</v>
      </c>
      <c r="FL24" s="16">
        <f t="shared" si="5"/>
        <v>6.3</v>
      </c>
      <c r="FM24" s="15">
        <v>4.8600000000000003</v>
      </c>
      <c r="FN24" s="15">
        <v>0.4</v>
      </c>
      <c r="FO24" s="15">
        <f>FN24*SQRT(AR24)</f>
        <v>0.8</v>
      </c>
      <c r="FP24" s="15">
        <v>6.3</v>
      </c>
      <c r="FQ24" s="15">
        <v>0.6</v>
      </c>
      <c r="FR24" s="15">
        <f>FQ24*SQRT(AR24)</f>
        <v>1.2</v>
      </c>
      <c r="FS24" s="15">
        <f t="shared" si="6"/>
        <v>1.2962962962962963</v>
      </c>
      <c r="FT24" s="15">
        <f t="shared" si="7"/>
        <v>1.4399999999999995</v>
      </c>
      <c r="FU24" s="15">
        <f t="shared" si="8"/>
        <v>0.25951119548508439</v>
      </c>
      <c r="FV24" s="15">
        <f>((FR24*FR24)/(AR24*FP24*FP24)+(FO24*FO24)/(AR24*FM24*FM24))</f>
        <v>1.5844329907952613E-2</v>
      </c>
      <c r="GK24" s="15"/>
      <c r="GN24" s="15"/>
      <c r="GQ24" s="15"/>
      <c r="GR24" s="15"/>
      <c r="HE24" s="15">
        <v>1.67</v>
      </c>
      <c r="HF24" s="15">
        <v>0.09</v>
      </c>
      <c r="HG24" s="15">
        <f>HF24*SQRT(AR24)</f>
        <v>0.18</v>
      </c>
      <c r="HH24" s="15">
        <v>1.69</v>
      </c>
      <c r="HI24" s="15">
        <v>0.3</v>
      </c>
      <c r="HJ24" s="15">
        <f>HI24*SQRT(AR24)</f>
        <v>0.6</v>
      </c>
      <c r="HK24" s="15">
        <f t="shared" si="21"/>
        <v>1.0119760479041917</v>
      </c>
      <c r="HL24" s="15">
        <f t="shared" si="22"/>
        <v>2.0000000000000018E-2</v>
      </c>
      <c r="HM24" s="15">
        <f t="shared" si="23"/>
        <v>1.1904902506318371E-2</v>
      </c>
      <c r="HN24" s="15">
        <f>((HJ24*HJ24)/(AR24*HH24*HH24)+(HG24*HG24)/(AR24*HE24*HE24))</f>
        <v>3.4415872597040535E-2</v>
      </c>
      <c r="HP24" s="15" t="s">
        <v>599</v>
      </c>
      <c r="HQ24" s="15">
        <v>7.37</v>
      </c>
      <c r="HR24" s="15">
        <v>0.22</v>
      </c>
      <c r="HS24" s="15">
        <v>7.03</v>
      </c>
      <c r="HT24" s="15">
        <v>0.38</v>
      </c>
      <c r="HU24" s="15" t="s">
        <v>600</v>
      </c>
      <c r="HV24" s="15">
        <f t="shared" si="24"/>
        <v>56699.330350815777</v>
      </c>
      <c r="HW24" s="15">
        <f t="shared" si="25"/>
        <v>1.1904902506318371E-2</v>
      </c>
      <c r="HX24" s="25">
        <f>DA24</f>
        <v>67500</v>
      </c>
      <c r="HY24" s="25">
        <f>CY24</f>
        <v>22500</v>
      </c>
      <c r="HZ24" s="25">
        <f>CZ24</f>
        <v>28.846153846153843</v>
      </c>
      <c r="IA24" s="25">
        <f>DA24</f>
        <v>67500</v>
      </c>
    </row>
    <row r="25" spans="1:235" x14ac:dyDescent="0.25">
      <c r="A25" s="31">
        <v>23</v>
      </c>
      <c r="B25" s="58">
        <v>6</v>
      </c>
      <c r="C25" s="1">
        <v>6</v>
      </c>
      <c r="D25" s="17" t="s">
        <v>21</v>
      </c>
      <c r="E25" s="1">
        <v>2</v>
      </c>
      <c r="F25" s="17" t="s">
        <v>777</v>
      </c>
      <c r="G25" s="15" t="s">
        <v>1189</v>
      </c>
      <c r="H25" s="15" t="s">
        <v>591</v>
      </c>
      <c r="I25" s="1">
        <v>2020</v>
      </c>
      <c r="J25" s="15" t="s">
        <v>592</v>
      </c>
      <c r="K25" s="1" t="s">
        <v>593</v>
      </c>
      <c r="L25" s="15" t="s">
        <v>595</v>
      </c>
      <c r="M25" s="15" t="s">
        <v>480</v>
      </c>
      <c r="N25" s="15" t="s">
        <v>520</v>
      </c>
      <c r="O25" s="31">
        <v>2</v>
      </c>
      <c r="P25" s="15">
        <v>39.909999999999997</v>
      </c>
      <c r="Q25" s="15">
        <v>116.41</v>
      </c>
      <c r="U25" s="15" t="s">
        <v>807</v>
      </c>
      <c r="V25" s="31">
        <v>2</v>
      </c>
      <c r="W25" s="16" t="s">
        <v>1153</v>
      </c>
      <c r="X25" s="15" t="s">
        <v>1124</v>
      </c>
      <c r="Y25" s="1">
        <v>2</v>
      </c>
      <c r="Z25" s="15">
        <v>4.83</v>
      </c>
      <c r="AA25" s="15" t="s">
        <v>574</v>
      </c>
      <c r="AB25" s="15">
        <f t="shared" si="0"/>
        <v>4.83</v>
      </c>
      <c r="AC25" s="1">
        <v>2</v>
      </c>
      <c r="AD25" s="15">
        <f t="shared" si="26"/>
        <v>17.257239999999999</v>
      </c>
      <c r="AP25" s="15" t="s">
        <v>596</v>
      </c>
      <c r="AQ25" s="54">
        <v>2</v>
      </c>
      <c r="AR25" s="1">
        <v>4</v>
      </c>
      <c r="CC25" s="15" t="s">
        <v>597</v>
      </c>
      <c r="CE25" s="15">
        <v>2</v>
      </c>
      <c r="CF25" s="15">
        <f>CE25*22500</f>
        <v>45000</v>
      </c>
      <c r="CG25" s="15" t="s">
        <v>766</v>
      </c>
      <c r="CH25" s="15">
        <v>10.42</v>
      </c>
      <c r="CI25" s="15">
        <v>350</v>
      </c>
      <c r="CK25" s="15">
        <v>691.9</v>
      </c>
      <c r="CL25" s="15">
        <v>27.9</v>
      </c>
      <c r="CM25" s="15">
        <v>0.72</v>
      </c>
      <c r="CN25" s="15"/>
      <c r="CO25" s="15">
        <v>3.28</v>
      </c>
      <c r="CP25" s="15">
        <v>2.9</v>
      </c>
      <c r="CQ25" s="15">
        <v>0.1</v>
      </c>
      <c r="CR25" s="15"/>
      <c r="CS25" s="15"/>
      <c r="CY25" s="25">
        <f>CF25</f>
        <v>45000</v>
      </c>
      <c r="CZ25" s="25">
        <f>CY25/0.78/1000</f>
        <v>57.692307692307686</v>
      </c>
      <c r="DA25" s="25">
        <f>CY25*3</f>
        <v>135000</v>
      </c>
      <c r="EW25" s="18"/>
      <c r="EX25" s="18"/>
      <c r="EY25" s="18"/>
      <c r="FK25" s="16">
        <f t="shared" si="4"/>
        <v>4.8600000000000003</v>
      </c>
      <c r="FL25" s="16">
        <f t="shared" si="5"/>
        <v>7.23</v>
      </c>
      <c r="FM25" s="15">
        <v>4.8600000000000003</v>
      </c>
      <c r="FN25" s="15">
        <v>0.4</v>
      </c>
      <c r="FO25" s="15">
        <f>FN25*SQRT(AR25)</f>
        <v>0.8</v>
      </c>
      <c r="FP25" s="15">
        <v>7.23</v>
      </c>
      <c r="FQ25" s="15">
        <v>0.6</v>
      </c>
      <c r="FR25" s="15">
        <f>FQ25*SQRT(AR25)</f>
        <v>1.2</v>
      </c>
      <c r="FS25" s="15">
        <f t="shared" si="6"/>
        <v>1.4876543209876543</v>
      </c>
      <c r="FT25" s="15">
        <f t="shared" si="7"/>
        <v>2.37</v>
      </c>
      <c r="FU25" s="15">
        <f t="shared" si="8"/>
        <v>0.39720059825827092</v>
      </c>
      <c r="FV25" s="15">
        <f>((FR25*FR25)/(AR25*FP25*FP25)+(FO25*FO25)/(AR25*FM25*FM25))</f>
        <v>1.3660968888286631E-2</v>
      </c>
      <c r="GK25" s="15"/>
      <c r="GN25" s="15"/>
      <c r="GQ25" s="15"/>
      <c r="GR25" s="15"/>
      <c r="HE25" s="15">
        <v>1.67</v>
      </c>
      <c r="HF25" s="15">
        <v>0.09</v>
      </c>
      <c r="HG25" s="15">
        <f>HF25*SQRT(AR25)</f>
        <v>0.18</v>
      </c>
      <c r="HH25" s="15">
        <v>1.81</v>
      </c>
      <c r="HI25" s="15">
        <v>0.15</v>
      </c>
      <c r="HJ25" s="15">
        <f>HI25*SQRT(AR25)</f>
        <v>0.3</v>
      </c>
      <c r="HK25" s="15">
        <f t="shared" si="21"/>
        <v>1.0838323353293413</v>
      </c>
      <c r="HL25" s="15">
        <f t="shared" si="22"/>
        <v>0.14000000000000012</v>
      </c>
      <c r="HM25" s="15">
        <f t="shared" si="23"/>
        <v>8.0503218849070635E-2</v>
      </c>
      <c r="HN25" s="15">
        <f>((HJ25*HJ25)/(AR25*HH25*HH25)+(HG25*HG25)/(AR25*HE25*HE25))</f>
        <v>9.77229312351704E-3</v>
      </c>
      <c r="HP25" s="15" t="s">
        <v>599</v>
      </c>
      <c r="HQ25" s="15">
        <v>7.37</v>
      </c>
      <c r="HR25" s="15">
        <v>0.22</v>
      </c>
      <c r="HS25" s="15">
        <v>7.3</v>
      </c>
      <c r="HT25" s="15">
        <v>0.06</v>
      </c>
      <c r="HU25" s="15" t="s">
        <v>600</v>
      </c>
      <c r="HV25" s="15">
        <f t="shared" si="24"/>
        <v>16769.51579453006</v>
      </c>
      <c r="HW25" s="15">
        <f t="shared" si="25"/>
        <v>8.0503218849070635E-2</v>
      </c>
      <c r="HX25" s="25">
        <f>DA25</f>
        <v>135000</v>
      </c>
      <c r="HY25" s="25">
        <f>CY25</f>
        <v>45000</v>
      </c>
      <c r="HZ25" s="25">
        <f>CZ25</f>
        <v>57.692307692307686</v>
      </c>
      <c r="IA25" s="25">
        <f>DA25</f>
        <v>135000</v>
      </c>
    </row>
    <row r="26" spans="1:235" s="15" customFormat="1" x14ac:dyDescent="0.25">
      <c r="A26" s="31">
        <v>24</v>
      </c>
      <c r="B26" s="1">
        <v>6</v>
      </c>
      <c r="C26" s="1">
        <v>6</v>
      </c>
      <c r="D26" s="15" t="s">
        <v>632</v>
      </c>
      <c r="E26" s="1">
        <v>2</v>
      </c>
      <c r="F26" s="17" t="s">
        <v>777</v>
      </c>
      <c r="G26" s="15" t="s">
        <v>1189</v>
      </c>
      <c r="H26" s="15" t="s">
        <v>591</v>
      </c>
      <c r="I26" s="1">
        <v>2020</v>
      </c>
      <c r="J26" s="15" t="s">
        <v>592</v>
      </c>
      <c r="K26" s="1" t="s">
        <v>593</v>
      </c>
      <c r="L26" s="15" t="s">
        <v>595</v>
      </c>
      <c r="M26" s="15" t="s">
        <v>480</v>
      </c>
      <c r="N26" s="15" t="s">
        <v>520</v>
      </c>
      <c r="O26" s="31">
        <v>2</v>
      </c>
      <c r="P26" s="15">
        <v>39.909999999999997</v>
      </c>
      <c r="Q26" s="15">
        <v>116.41</v>
      </c>
      <c r="U26" s="15" t="s">
        <v>807</v>
      </c>
      <c r="V26" s="31">
        <v>2</v>
      </c>
      <c r="W26" s="16" t="s">
        <v>1153</v>
      </c>
      <c r="X26" s="15" t="s">
        <v>1124</v>
      </c>
      <c r="Y26" s="1">
        <v>2</v>
      </c>
      <c r="Z26" s="15">
        <v>4.83</v>
      </c>
      <c r="AA26" s="15" t="s">
        <v>574</v>
      </c>
      <c r="AB26" s="15">
        <f t="shared" si="0"/>
        <v>4.83</v>
      </c>
      <c r="AC26" s="1">
        <v>2</v>
      </c>
      <c r="AD26" s="15">
        <f t="shared" si="26"/>
        <v>17.257239999999999</v>
      </c>
      <c r="AM26" s="1"/>
      <c r="AP26" s="15" t="s">
        <v>596</v>
      </c>
      <c r="AQ26" s="54">
        <v>2</v>
      </c>
      <c r="AR26" s="1">
        <v>4</v>
      </c>
      <c r="BP26" s="16"/>
      <c r="BQ26" s="16"/>
      <c r="BR26" s="16"/>
      <c r="BU26" s="16"/>
      <c r="CC26" s="15" t="s">
        <v>597</v>
      </c>
      <c r="CE26" s="15">
        <v>4</v>
      </c>
      <c r="CF26" s="15">
        <f>CE26*22500</f>
        <v>90000</v>
      </c>
      <c r="CG26" s="15" t="s">
        <v>766</v>
      </c>
      <c r="CH26" s="15">
        <v>10.42</v>
      </c>
      <c r="CI26" s="15">
        <v>350</v>
      </c>
      <c r="CK26" s="15">
        <v>691.9</v>
      </c>
      <c r="CL26" s="15">
        <v>27.9</v>
      </c>
      <c r="CM26" s="15">
        <v>0.72</v>
      </c>
      <c r="CO26" s="15">
        <v>3.28</v>
      </c>
      <c r="CP26" s="15">
        <v>2.9</v>
      </c>
      <c r="CQ26" s="15">
        <v>0.1</v>
      </c>
      <c r="CY26" s="25">
        <f>CF26</f>
        <v>90000</v>
      </c>
      <c r="CZ26" s="25">
        <f>CY26/0.78/1000</f>
        <v>115.38461538461537</v>
      </c>
      <c r="DA26" s="25">
        <f>CY26*3</f>
        <v>270000</v>
      </c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>
        <f t="shared" si="4"/>
        <v>4.8600000000000003</v>
      </c>
      <c r="FL26" s="16">
        <f t="shared" si="5"/>
        <v>7.89</v>
      </c>
      <c r="FM26" s="15">
        <v>4.8600000000000003</v>
      </c>
      <c r="FN26" s="15">
        <v>0.4</v>
      </c>
      <c r="FO26" s="15">
        <f>FN26*SQRT(AR26)</f>
        <v>0.8</v>
      </c>
      <c r="FP26" s="15">
        <v>7.89</v>
      </c>
      <c r="FQ26" s="15">
        <v>0.7</v>
      </c>
      <c r="FR26" s="15">
        <f>FQ26*SQRT(AR26)</f>
        <v>1.4</v>
      </c>
      <c r="FS26" s="15">
        <f t="shared" si="6"/>
        <v>1.6234567901234567</v>
      </c>
      <c r="FT26" s="15">
        <f t="shared" si="7"/>
        <v>3.0299999999999994</v>
      </c>
      <c r="FU26" s="15">
        <f t="shared" si="8"/>
        <v>0.48455769694538042</v>
      </c>
      <c r="FV26" s="15">
        <f>((FR26*FR26)/(AR26*FP26*FP26)+(FO26*FO26)/(AR26*FM26*FM26))</f>
        <v>1.4645255532000901E-2</v>
      </c>
      <c r="HE26" s="15">
        <v>1.67</v>
      </c>
      <c r="HF26" s="15">
        <v>0.09</v>
      </c>
      <c r="HG26" s="15">
        <f>HF26*SQRT(AR26)</f>
        <v>0.18</v>
      </c>
      <c r="HH26" s="15">
        <v>1.59</v>
      </c>
      <c r="HI26" s="15">
        <v>0.28000000000000003</v>
      </c>
      <c r="HJ26" s="15">
        <f>HI26*SQRT(AR26)</f>
        <v>0.56000000000000005</v>
      </c>
      <c r="HK26" s="15">
        <f t="shared" si="21"/>
        <v>0.9520958083832336</v>
      </c>
      <c r="HL26" s="15">
        <f t="shared" si="22"/>
        <v>-7.9999999999999849E-2</v>
      </c>
      <c r="HM26" s="15">
        <f t="shared" si="23"/>
        <v>-4.9089610196523525E-2</v>
      </c>
      <c r="HN26" s="15">
        <f>((HJ26*HJ26)/(AR26*HH26*HH26)+(HG26*HG26)/(AR26*HE26*HE26))</f>
        <v>3.3915802408750237E-2</v>
      </c>
      <c r="HP26" s="15" t="s">
        <v>599</v>
      </c>
      <c r="HQ26" s="15">
        <v>7.37</v>
      </c>
      <c r="HR26" s="15">
        <v>0.22</v>
      </c>
      <c r="HS26" s="15">
        <v>8.07</v>
      </c>
      <c r="HT26" s="15">
        <v>0.17</v>
      </c>
      <c r="HU26" s="15" t="s">
        <v>600</v>
      </c>
      <c r="HV26" s="15">
        <f t="shared" si="24"/>
        <v>-55001.455281289062</v>
      </c>
      <c r="HW26" s="15">
        <f t="shared" si="25"/>
        <v>-4.9089610196523525E-2</v>
      </c>
      <c r="HX26" s="25">
        <f>DA26</f>
        <v>270000</v>
      </c>
      <c r="HY26" s="25">
        <f>CY26</f>
        <v>90000</v>
      </c>
      <c r="HZ26" s="25">
        <f>CZ26</f>
        <v>115.38461538461537</v>
      </c>
      <c r="IA26" s="25">
        <f>DA26</f>
        <v>270000</v>
      </c>
    </row>
    <row r="27" spans="1:235" s="15" customFormat="1" x14ac:dyDescent="0.25">
      <c r="A27" s="31">
        <v>25</v>
      </c>
      <c r="B27" s="1">
        <v>7</v>
      </c>
      <c r="C27" s="1">
        <v>7</v>
      </c>
      <c r="D27" s="15" t="s">
        <v>620</v>
      </c>
      <c r="E27" s="1">
        <v>2</v>
      </c>
      <c r="F27" s="17" t="s">
        <v>777</v>
      </c>
      <c r="G27" s="15" t="s">
        <v>1190</v>
      </c>
      <c r="H27" s="15" t="s">
        <v>621</v>
      </c>
      <c r="I27" s="1">
        <v>2017</v>
      </c>
      <c r="J27" s="15" t="s">
        <v>622</v>
      </c>
      <c r="K27" s="1">
        <v>2014</v>
      </c>
      <c r="L27" s="15" t="s">
        <v>623</v>
      </c>
      <c r="M27" s="15" t="s">
        <v>480</v>
      </c>
      <c r="N27" s="15" t="s">
        <v>520</v>
      </c>
      <c r="O27" s="31">
        <v>2</v>
      </c>
      <c r="P27" s="15">
        <v>29.28</v>
      </c>
      <c r="Q27" s="15">
        <v>119.48</v>
      </c>
      <c r="S27" s="15" t="s">
        <v>624</v>
      </c>
      <c r="T27" s="15">
        <v>16.3</v>
      </c>
      <c r="U27" s="15" t="s">
        <v>549</v>
      </c>
      <c r="V27" s="31">
        <v>1</v>
      </c>
      <c r="W27" s="16" t="s">
        <v>1149</v>
      </c>
      <c r="X27" s="15" t="s">
        <v>625</v>
      </c>
      <c r="Y27" s="1">
        <v>5</v>
      </c>
      <c r="Z27" s="15">
        <v>4.63</v>
      </c>
      <c r="AA27" s="15" t="s">
        <v>574</v>
      </c>
      <c r="AB27" s="15">
        <f t="shared" si="0"/>
        <v>4.63</v>
      </c>
      <c r="AC27" s="1">
        <v>2</v>
      </c>
      <c r="AF27" s="15">
        <v>11.82</v>
      </c>
      <c r="AH27" s="15">
        <v>18.25</v>
      </c>
      <c r="AM27" s="1"/>
      <c r="AP27" s="15" t="s">
        <v>626</v>
      </c>
      <c r="AQ27" s="1">
        <v>1</v>
      </c>
      <c r="AR27" s="1">
        <v>3</v>
      </c>
      <c r="BP27" s="16"/>
      <c r="BQ27" s="16"/>
      <c r="BR27" s="16"/>
      <c r="BU27" s="16"/>
      <c r="CC27" s="15" t="s">
        <v>627</v>
      </c>
      <c r="CE27" s="15">
        <v>10</v>
      </c>
      <c r="CF27" s="15">
        <f>CE27*1000</f>
        <v>10000</v>
      </c>
      <c r="CG27" s="15" t="s">
        <v>766</v>
      </c>
      <c r="CH27" s="15">
        <v>9.92</v>
      </c>
      <c r="CI27" s="15" t="s">
        <v>630</v>
      </c>
      <c r="CK27" s="15">
        <v>457.5</v>
      </c>
      <c r="CL27" s="15">
        <v>6.81</v>
      </c>
      <c r="CU27" s="15">
        <v>3.01</v>
      </c>
      <c r="CY27" s="25">
        <f>CF27</f>
        <v>10000</v>
      </c>
      <c r="CZ27" s="25">
        <f>CY27/0.78/1000</f>
        <v>12.820512820512821</v>
      </c>
      <c r="DA27" s="25">
        <f>CY27*3</f>
        <v>30000</v>
      </c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>
        <f t="shared" si="4"/>
        <v>4.63</v>
      </c>
      <c r="FL27" s="16">
        <f t="shared" si="5"/>
        <v>6.32</v>
      </c>
      <c r="FM27" s="15">
        <v>4.63</v>
      </c>
      <c r="FN27" s="15">
        <v>0.02</v>
      </c>
      <c r="FO27" s="15">
        <f>FN27*SQRT(AR27)</f>
        <v>3.4641016151377546E-2</v>
      </c>
      <c r="FP27" s="15">
        <v>6.32</v>
      </c>
      <c r="FQ27" s="15">
        <v>0.18</v>
      </c>
      <c r="FR27" s="15">
        <f>FQ27*SQRT(AR27)</f>
        <v>0.31176914536239786</v>
      </c>
      <c r="FS27" s="15">
        <f t="shared" si="6"/>
        <v>1.3650107991360692</v>
      </c>
      <c r="FT27" s="15">
        <f t="shared" si="7"/>
        <v>1.6900000000000004</v>
      </c>
      <c r="FU27" s="15">
        <f t="shared" si="8"/>
        <v>0.31116234006062338</v>
      </c>
      <c r="FV27" s="15">
        <f>((FR27*FR27)/(AR27*FP27*FP27)+(FO27*FO27)/(AR27*FM27*FM27))</f>
        <v>8.2982749641241443E-4</v>
      </c>
      <c r="GI27" s="15">
        <v>11.82</v>
      </c>
      <c r="GJ27" s="15">
        <v>0.9</v>
      </c>
      <c r="GK27" s="15">
        <f>GJ27*SQRT(AR27)</f>
        <v>1.5588457268119895</v>
      </c>
      <c r="GL27" s="15">
        <v>14.09</v>
      </c>
      <c r="GM27" s="15">
        <v>0.26</v>
      </c>
      <c r="GN27" s="15">
        <f>GM27*SQRT(AR27)</f>
        <v>0.4503332099679081</v>
      </c>
      <c r="GO27" s="15">
        <f t="shared" ref="GO27:GO34" si="27">GL27/GI27</f>
        <v>1.1920473773265652</v>
      </c>
      <c r="GP27" s="15">
        <f t="shared" ref="GP27:GP34" si="28">GL27-GI27</f>
        <v>2.2699999999999996</v>
      </c>
      <c r="GQ27" s="15">
        <f t="shared" ref="GQ27:GQ34" si="29">LN(GL27)-LN(GI27)</f>
        <v>0.17567231393263683</v>
      </c>
      <c r="GR27" s="15">
        <f>((GN27*GN27)/(AR27*GL27*GL27)+(GK27*GK27)/(AR27*GI27*GI27))</f>
        <v>6.1381302159786207E-3</v>
      </c>
      <c r="GT27" s="15">
        <v>18.25</v>
      </c>
      <c r="GU27" s="15">
        <v>1.26</v>
      </c>
      <c r="GV27" s="15">
        <f>GU27*SQRT(AR27)</f>
        <v>2.1823840175367852</v>
      </c>
      <c r="GW27" s="15">
        <v>51.54</v>
      </c>
      <c r="GX27" s="15">
        <v>9.7899999999999991</v>
      </c>
      <c r="GY27" s="15">
        <f>GX27*SQRT(AR27)</f>
        <v>16.956777406099306</v>
      </c>
      <c r="GZ27" s="15">
        <f t="shared" ref="GZ27:GZ40" si="30">GW27/GT27</f>
        <v>2.8241095890410959</v>
      </c>
      <c r="HA27" s="15">
        <f t="shared" ref="HA27:HA40" si="31">GW27-GT27</f>
        <v>33.29</v>
      </c>
      <c r="HB27" s="15">
        <f t="shared" ref="HB27:HB40" si="32">LN(GW27)-LN(GT27)</f>
        <v>1.0381931251957184</v>
      </c>
      <c r="HC27" s="15">
        <f>((GY27*GY27)/(AR27*GW27*GW27)+(GV27*GV27)/(AR27*GT27*GT27))</f>
        <v>4.0847505889546033E-2</v>
      </c>
      <c r="HY27" s="25">
        <f>CY27</f>
        <v>10000</v>
      </c>
      <c r="HZ27" s="25">
        <f>CZ27</f>
        <v>12.820512820512821</v>
      </c>
      <c r="IA27" s="25">
        <f>DA27</f>
        <v>30000</v>
      </c>
    </row>
    <row r="28" spans="1:235" s="15" customFormat="1" x14ac:dyDescent="0.25">
      <c r="A28" s="31">
        <v>26</v>
      </c>
      <c r="B28" s="1">
        <v>7</v>
      </c>
      <c r="C28" s="1">
        <v>7</v>
      </c>
      <c r="D28" s="15" t="s">
        <v>633</v>
      </c>
      <c r="E28" s="1">
        <v>2</v>
      </c>
      <c r="F28" s="17" t="s">
        <v>777</v>
      </c>
      <c r="G28" s="15" t="s">
        <v>1190</v>
      </c>
      <c r="H28" s="15" t="s">
        <v>621</v>
      </c>
      <c r="I28" s="1">
        <v>2017</v>
      </c>
      <c r="J28" s="15" t="s">
        <v>622</v>
      </c>
      <c r="K28" s="1">
        <v>2014</v>
      </c>
      <c r="L28" s="15" t="s">
        <v>623</v>
      </c>
      <c r="M28" s="15" t="s">
        <v>480</v>
      </c>
      <c r="N28" s="15" t="s">
        <v>520</v>
      </c>
      <c r="O28" s="31">
        <v>2</v>
      </c>
      <c r="P28" s="15">
        <v>29.28</v>
      </c>
      <c r="Q28" s="15">
        <v>119.48</v>
      </c>
      <c r="S28" s="15" t="s">
        <v>624</v>
      </c>
      <c r="T28" s="15">
        <v>16.3</v>
      </c>
      <c r="U28" s="15" t="s">
        <v>549</v>
      </c>
      <c r="V28" s="31">
        <v>1</v>
      </c>
      <c r="W28" s="16" t="s">
        <v>1149</v>
      </c>
      <c r="X28" s="15" t="s">
        <v>625</v>
      </c>
      <c r="Y28" s="1">
        <v>5</v>
      </c>
      <c r="Z28" s="15">
        <v>4.63</v>
      </c>
      <c r="AA28" s="15" t="s">
        <v>574</v>
      </c>
      <c r="AB28" s="15">
        <f t="shared" si="0"/>
        <v>4.63</v>
      </c>
      <c r="AC28" s="1">
        <v>2</v>
      </c>
      <c r="AF28" s="15">
        <v>11.82</v>
      </c>
      <c r="AH28" s="15">
        <v>18.25</v>
      </c>
      <c r="AM28" s="1"/>
      <c r="AP28" s="15" t="s">
        <v>626</v>
      </c>
      <c r="AQ28" s="1">
        <v>1</v>
      </c>
      <c r="AR28" s="1">
        <v>3</v>
      </c>
      <c r="BP28" s="16"/>
      <c r="BQ28" s="16"/>
      <c r="BR28" s="16"/>
      <c r="BU28" s="16"/>
      <c r="CC28" s="15" t="s">
        <v>628</v>
      </c>
      <c r="CE28" s="15">
        <v>10</v>
      </c>
      <c r="CF28" s="15">
        <f>CE28*1000</f>
        <v>10000</v>
      </c>
      <c r="CG28" s="15" t="s">
        <v>766</v>
      </c>
      <c r="CH28" s="15">
        <v>7.9</v>
      </c>
      <c r="CI28" s="15" t="s">
        <v>630</v>
      </c>
      <c r="CK28" s="15">
        <v>349.1</v>
      </c>
      <c r="CL28" s="15">
        <v>7.11</v>
      </c>
      <c r="CU28" s="15">
        <v>1.37</v>
      </c>
      <c r="CY28" s="25">
        <f>CF28</f>
        <v>10000</v>
      </c>
      <c r="CZ28" s="25">
        <f>CY28/0.78/1000</f>
        <v>12.820512820512821</v>
      </c>
      <c r="DA28" s="25">
        <f>CY28*3</f>
        <v>30000</v>
      </c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>
        <f t="shared" si="4"/>
        <v>4.63</v>
      </c>
      <c r="FL28" s="16">
        <f t="shared" si="5"/>
        <v>4.91</v>
      </c>
      <c r="FM28" s="15">
        <v>4.63</v>
      </c>
      <c r="FN28" s="15">
        <v>0.02</v>
      </c>
      <c r="FO28" s="15">
        <f>FN28*SQRT(AR28)</f>
        <v>3.4641016151377546E-2</v>
      </c>
      <c r="FP28" s="15">
        <v>4.91</v>
      </c>
      <c r="FQ28" s="15">
        <v>0.02</v>
      </c>
      <c r="FR28" s="15">
        <f>FQ28*SQRT(AR28)</f>
        <v>3.4641016151377546E-2</v>
      </c>
      <c r="FS28" s="15">
        <f t="shared" si="6"/>
        <v>1.0604751619870412</v>
      </c>
      <c r="FT28" s="15">
        <f t="shared" si="7"/>
        <v>0.28000000000000025</v>
      </c>
      <c r="FU28" s="15">
        <f t="shared" si="8"/>
        <v>5.8717073708286494E-2</v>
      </c>
      <c r="FV28" s="15">
        <f>((FR28*FR28)/(AR28*FP28*FP28)+(FO28*FO28)/(AR28*FM28*FM28))</f>
        <v>3.5251348205647745E-5</v>
      </c>
      <c r="GI28" s="15">
        <v>11.82</v>
      </c>
      <c r="GJ28" s="15">
        <v>0.9</v>
      </c>
      <c r="GK28" s="15">
        <f>GJ28*SQRT(AR28)</f>
        <v>1.5588457268119895</v>
      </c>
      <c r="GL28" s="15">
        <v>12.26</v>
      </c>
      <c r="GM28" s="15">
        <v>0.12</v>
      </c>
      <c r="GN28" s="15">
        <f>GM28*SQRT(AR28)</f>
        <v>0.20784609690826525</v>
      </c>
      <c r="GO28" s="15">
        <f t="shared" si="27"/>
        <v>1.0372250423011844</v>
      </c>
      <c r="GP28" s="15">
        <f t="shared" si="28"/>
        <v>0.4399999999999995</v>
      </c>
      <c r="GQ28" s="15">
        <f t="shared" si="29"/>
        <v>3.6548918530113106E-2</v>
      </c>
      <c r="GR28" s="15">
        <f>((GN28*GN28)/(AR28*GL28*GL28)+(GK28*GK28)/(AR28*GI28*GI28))</f>
        <v>5.893427801289635E-3</v>
      </c>
      <c r="GT28" s="15">
        <v>18.25</v>
      </c>
      <c r="GU28" s="15">
        <v>1.26</v>
      </c>
      <c r="GV28" s="15">
        <f>GU28*SQRT(AR28)</f>
        <v>2.1823840175367852</v>
      </c>
      <c r="GW28" s="15">
        <v>24.48</v>
      </c>
      <c r="GX28" s="15">
        <v>0.76</v>
      </c>
      <c r="GY28" s="15">
        <f>GX28*SQRT(AR28)</f>
        <v>1.3163586137523466</v>
      </c>
      <c r="GZ28" s="15">
        <f t="shared" si="30"/>
        <v>1.3413698630136988</v>
      </c>
      <c r="HA28" s="15">
        <f t="shared" si="31"/>
        <v>6.23</v>
      </c>
      <c r="HB28" s="15">
        <f t="shared" si="32"/>
        <v>0.29369137761562492</v>
      </c>
      <c r="HC28" s="15">
        <f>((GY28*GY28)/(AR28*GW28*GW28)+(GV28*GV28)/(AR28*GT28*GT28))</f>
        <v>5.7305116162681222E-3</v>
      </c>
      <c r="HY28" s="25">
        <f>CY28</f>
        <v>10000</v>
      </c>
      <c r="HZ28" s="25">
        <f>CZ28</f>
        <v>12.820512820512821</v>
      </c>
      <c r="IA28" s="25">
        <f>DA28</f>
        <v>30000</v>
      </c>
    </row>
    <row r="29" spans="1:235" s="15" customFormat="1" x14ac:dyDescent="0.25">
      <c r="A29" s="31">
        <v>27</v>
      </c>
      <c r="B29" s="1">
        <v>7</v>
      </c>
      <c r="C29" s="1">
        <v>7</v>
      </c>
      <c r="D29" s="15" t="s">
        <v>634</v>
      </c>
      <c r="E29" s="1">
        <v>4</v>
      </c>
      <c r="F29" s="15" t="s">
        <v>879</v>
      </c>
      <c r="G29" s="15" t="s">
        <v>1190</v>
      </c>
      <c r="H29" s="15" t="s">
        <v>621</v>
      </c>
      <c r="I29" s="1">
        <v>2017</v>
      </c>
      <c r="J29" s="15" t="s">
        <v>622</v>
      </c>
      <c r="K29" s="1">
        <v>2014</v>
      </c>
      <c r="L29" s="15" t="s">
        <v>623</v>
      </c>
      <c r="M29" s="15" t="s">
        <v>480</v>
      </c>
      <c r="N29" s="15" t="s">
        <v>520</v>
      </c>
      <c r="O29" s="31">
        <v>2</v>
      </c>
      <c r="P29" s="15">
        <v>29.28</v>
      </c>
      <c r="Q29" s="15">
        <v>119.48</v>
      </c>
      <c r="S29" s="15" t="s">
        <v>624</v>
      </c>
      <c r="T29" s="15">
        <v>16.3</v>
      </c>
      <c r="U29" s="15" t="s">
        <v>549</v>
      </c>
      <c r="V29" s="31">
        <v>1</v>
      </c>
      <c r="W29" s="16" t="s">
        <v>1149</v>
      </c>
      <c r="X29" s="15" t="s">
        <v>625</v>
      </c>
      <c r="Y29" s="1">
        <v>5</v>
      </c>
      <c r="Z29" s="15">
        <v>4.63</v>
      </c>
      <c r="AA29" s="15" t="s">
        <v>574</v>
      </c>
      <c r="AB29" s="15">
        <f t="shared" si="0"/>
        <v>4.63</v>
      </c>
      <c r="AC29" s="1">
        <v>2</v>
      </c>
      <c r="AF29" s="15">
        <v>11.82</v>
      </c>
      <c r="AH29" s="15">
        <v>18.25</v>
      </c>
      <c r="AM29" s="1"/>
      <c r="AP29" s="15" t="s">
        <v>626</v>
      </c>
      <c r="AQ29" s="1">
        <v>1</v>
      </c>
      <c r="AR29" s="1">
        <v>3</v>
      </c>
      <c r="BF29" s="15">
        <v>7.53</v>
      </c>
      <c r="BG29" s="15" t="s">
        <v>635</v>
      </c>
      <c r="BP29" s="16"/>
      <c r="BQ29" s="16"/>
      <c r="BR29" s="16"/>
      <c r="BS29" s="15">
        <v>10000</v>
      </c>
      <c r="BT29" s="15">
        <f>BS29</f>
        <v>10000</v>
      </c>
      <c r="BU29" s="15" t="s">
        <v>766</v>
      </c>
      <c r="BW29" s="15">
        <f>130.1*BS29</f>
        <v>1301000</v>
      </c>
      <c r="BX29" s="15">
        <f>BS29*65.1</f>
        <v>651000</v>
      </c>
      <c r="BY29" s="15">
        <f>BT29</f>
        <v>10000</v>
      </c>
      <c r="BZ29" s="15">
        <f>BY29/1.1/1000</f>
        <v>9.0909090909090899</v>
      </c>
      <c r="CA29" s="15">
        <f>BY29*2</f>
        <v>20000</v>
      </c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>
        <f t="shared" si="4"/>
        <v>4.63</v>
      </c>
      <c r="FL29" s="16">
        <f t="shared" si="5"/>
        <v>4.8600000000000003</v>
      </c>
      <c r="FM29" s="15">
        <v>4.63</v>
      </c>
      <c r="FN29" s="15">
        <v>0.02</v>
      </c>
      <c r="FO29" s="15">
        <f>FN29*SQRT(AR29)</f>
        <v>3.4641016151377546E-2</v>
      </c>
      <c r="FP29" s="15">
        <v>4.8600000000000003</v>
      </c>
      <c r="FQ29" s="15">
        <v>0.02</v>
      </c>
      <c r="FR29" s="15">
        <f>FQ29*SQRT(AR29)</f>
        <v>3.4641016151377546E-2</v>
      </c>
      <c r="FS29" s="15">
        <f t="shared" si="6"/>
        <v>1.0496760259179267</v>
      </c>
      <c r="FT29" s="15">
        <f t="shared" si="7"/>
        <v>0.23000000000000043</v>
      </c>
      <c r="FU29" s="15">
        <f t="shared" si="8"/>
        <v>4.8481569814259773E-2</v>
      </c>
      <c r="FV29" s="15">
        <f>((FR29*FR29)/(AR29*FP29*FP29)+(FO29*FO29)/(AR29*FM29*FM29))</f>
        <v>3.5594502182710155E-5</v>
      </c>
      <c r="GI29" s="15">
        <v>11.82</v>
      </c>
      <c r="GJ29" s="15">
        <v>0.9</v>
      </c>
      <c r="GK29" s="15">
        <f>GJ29*SQRT(AR29)</f>
        <v>1.5588457268119895</v>
      </c>
      <c r="GL29" s="15">
        <v>10.93</v>
      </c>
      <c r="GM29" s="15">
        <v>0.79</v>
      </c>
      <c r="GN29" s="15">
        <f>GM29*SQRT(AR29)</f>
        <v>1.368320137979413</v>
      </c>
      <c r="GO29" s="15">
        <f t="shared" si="27"/>
        <v>0.92470389170896783</v>
      </c>
      <c r="GP29" s="15">
        <f t="shared" si="28"/>
        <v>-0.89000000000000057</v>
      </c>
      <c r="GQ29" s="15">
        <f t="shared" si="29"/>
        <v>-7.8281709789504994E-2</v>
      </c>
      <c r="GR29" s="15">
        <f>((GN29*GN29)/(AR29*GL29*GL29)+(GK29*GK29)/(AR29*GI29*GI29))</f>
        <v>1.1021752855832847E-2</v>
      </c>
      <c r="GT29" s="15">
        <v>18.25</v>
      </c>
      <c r="GU29" s="15">
        <v>1.26</v>
      </c>
      <c r="GV29" s="15">
        <f>GU29*SQRT(AR29)</f>
        <v>2.1823840175367852</v>
      </c>
      <c r="GW29" s="15">
        <v>36.82</v>
      </c>
      <c r="GX29" s="15">
        <v>2.97</v>
      </c>
      <c r="GY29" s="15">
        <f>GX29*SQRT(AR29)</f>
        <v>5.1441908984795655</v>
      </c>
      <c r="GZ29" s="15">
        <f t="shared" si="30"/>
        <v>2.0175342465753423</v>
      </c>
      <c r="HA29" s="15">
        <f t="shared" si="31"/>
        <v>18.57</v>
      </c>
      <c r="HB29" s="15">
        <f t="shared" si="32"/>
        <v>0.70187609577643117</v>
      </c>
      <c r="HC29" s="15">
        <f>((GY29*GY29)/(AR29*GW29*GW29)+(GV29*GV29)/(AR29*GT29*GT29))</f>
        <v>1.1273141402822043E-2</v>
      </c>
      <c r="HY29" s="15">
        <f>BY29</f>
        <v>10000</v>
      </c>
      <c r="HZ29" s="15">
        <f>BZ29</f>
        <v>9.0909090909090899</v>
      </c>
      <c r="IA29" s="15">
        <f>CA29</f>
        <v>20000</v>
      </c>
    </row>
    <row r="30" spans="1:235" s="15" customFormat="1" x14ac:dyDescent="0.25">
      <c r="A30" s="31">
        <v>28</v>
      </c>
      <c r="B30" s="1">
        <v>7</v>
      </c>
      <c r="C30" s="1">
        <v>7</v>
      </c>
      <c r="D30" s="15" t="s">
        <v>636</v>
      </c>
      <c r="E30" s="1">
        <v>1</v>
      </c>
      <c r="F30" s="15" t="s">
        <v>761</v>
      </c>
      <c r="G30" s="15" t="s">
        <v>1190</v>
      </c>
      <c r="H30" s="15" t="s">
        <v>621</v>
      </c>
      <c r="I30" s="1">
        <v>2017</v>
      </c>
      <c r="J30" s="15" t="s">
        <v>622</v>
      </c>
      <c r="K30" s="1">
        <v>2014</v>
      </c>
      <c r="L30" s="15" t="s">
        <v>623</v>
      </c>
      <c r="M30" s="15" t="s">
        <v>480</v>
      </c>
      <c r="N30" s="15" t="s">
        <v>520</v>
      </c>
      <c r="O30" s="31">
        <v>2</v>
      </c>
      <c r="P30" s="15">
        <v>29.28</v>
      </c>
      <c r="Q30" s="15">
        <v>119.48</v>
      </c>
      <c r="S30" s="15" t="s">
        <v>624</v>
      </c>
      <c r="T30" s="15">
        <v>16.3</v>
      </c>
      <c r="U30" s="15" t="s">
        <v>549</v>
      </c>
      <c r="V30" s="31">
        <v>1</v>
      </c>
      <c r="W30" s="16" t="s">
        <v>1149</v>
      </c>
      <c r="X30" s="15" t="s">
        <v>625</v>
      </c>
      <c r="Y30" s="1">
        <v>5</v>
      </c>
      <c r="Z30" s="15">
        <v>4.63</v>
      </c>
      <c r="AA30" s="15" t="s">
        <v>574</v>
      </c>
      <c r="AB30" s="15">
        <f t="shared" si="0"/>
        <v>4.63</v>
      </c>
      <c r="AC30" s="1">
        <v>2</v>
      </c>
      <c r="AF30" s="15">
        <v>11.82</v>
      </c>
      <c r="AH30" s="15">
        <v>18.25</v>
      </c>
      <c r="AM30" s="1"/>
      <c r="AP30" s="15" t="s">
        <v>626</v>
      </c>
      <c r="AQ30" s="1">
        <v>1</v>
      </c>
      <c r="AR30" s="1">
        <v>3</v>
      </c>
      <c r="AS30" s="15">
        <v>12.3</v>
      </c>
      <c r="AT30" s="15" t="s">
        <v>545</v>
      </c>
      <c r="AU30" s="15">
        <v>98</v>
      </c>
      <c r="AW30" s="15">
        <v>2000</v>
      </c>
      <c r="AX30" s="15">
        <f>AW30*1.78</f>
        <v>3560</v>
      </c>
      <c r="AY30" s="15" t="s">
        <v>766</v>
      </c>
      <c r="AZ30" s="15">
        <f>AX30</f>
        <v>3560</v>
      </c>
      <c r="BA30" s="15">
        <f>AZ30/2.93/1000</f>
        <v>1.2150170648464163</v>
      </c>
      <c r="BB30" s="15">
        <f>AZ30*0.6</f>
        <v>2136</v>
      </c>
      <c r="BP30" s="16"/>
      <c r="BQ30" s="16"/>
      <c r="BR30" s="16"/>
      <c r="BU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>
        <f t="shared" si="4"/>
        <v>4.63</v>
      </c>
      <c r="FL30" s="16">
        <f t="shared" si="5"/>
        <v>5.1100000000000003</v>
      </c>
      <c r="FM30" s="15">
        <v>4.63</v>
      </c>
      <c r="FN30" s="15">
        <v>0.02</v>
      </c>
      <c r="FO30" s="15">
        <f>FN30*SQRT(AR30)</f>
        <v>3.4641016151377546E-2</v>
      </c>
      <c r="FP30" s="15">
        <v>5.1100000000000003</v>
      </c>
      <c r="FQ30" s="15">
        <v>0.02</v>
      </c>
      <c r="FR30" s="15">
        <f>FQ30*SQRT(AR30)</f>
        <v>3.4641016151377546E-2</v>
      </c>
      <c r="FS30" s="15">
        <f t="shared" si="6"/>
        <v>1.1036717062634991</v>
      </c>
      <c r="FT30" s="15">
        <f t="shared" si="7"/>
        <v>0.48000000000000043</v>
      </c>
      <c r="FU30" s="15">
        <f t="shared" si="8"/>
        <v>9.8642536117470314E-2</v>
      </c>
      <c r="FV30" s="15">
        <f>((FR30*FR30)/(AR30*FP30*FP30)+(FO30*FO30)/(AR30*FM30*FM30))</f>
        <v>3.3977983160398176E-5</v>
      </c>
      <c r="GI30" s="15">
        <v>11.82</v>
      </c>
      <c r="GJ30" s="15">
        <v>0.9</v>
      </c>
      <c r="GK30" s="15">
        <f>GJ30*SQRT(AR30)</f>
        <v>1.5588457268119895</v>
      </c>
      <c r="GL30" s="15">
        <v>10.73</v>
      </c>
      <c r="GM30" s="15">
        <v>0.22</v>
      </c>
      <c r="GN30" s="15">
        <f>GM30*SQRT(AR30)</f>
        <v>0.38105117766515301</v>
      </c>
      <c r="GO30" s="15">
        <f t="shared" si="27"/>
        <v>0.90778341793570216</v>
      </c>
      <c r="GP30" s="15">
        <f t="shared" si="28"/>
        <v>-1.0899999999999999</v>
      </c>
      <c r="GQ30" s="15">
        <f t="shared" si="29"/>
        <v>-9.6749455335344958E-2</v>
      </c>
      <c r="GR30" s="15">
        <f>((GN30*GN30)/(AR30*GL30*GL30)+(GK30*GK30)/(AR30*GI30*GI30))</f>
        <v>6.2180080102386959E-3</v>
      </c>
      <c r="GT30" s="15">
        <v>18.25</v>
      </c>
      <c r="GU30" s="15">
        <v>1.26</v>
      </c>
      <c r="GV30" s="15">
        <f>GU30*SQRT(AR30)</f>
        <v>2.1823840175367852</v>
      </c>
      <c r="GW30" s="15">
        <v>44.53</v>
      </c>
      <c r="GX30" s="15">
        <v>2.2599999999999998</v>
      </c>
      <c r="GY30" s="15">
        <f>GX30*SQRT(AR30)</f>
        <v>3.914434825105662</v>
      </c>
      <c r="GZ30" s="15">
        <f t="shared" si="30"/>
        <v>2.44</v>
      </c>
      <c r="HA30" s="15">
        <f t="shared" si="31"/>
        <v>26.28</v>
      </c>
      <c r="HB30" s="15">
        <f t="shared" si="32"/>
        <v>0.89199803930511035</v>
      </c>
      <c r="HC30" s="15">
        <f>((GY30*GY30)/(AR30*GW30*GW30)+(GV30*GV30)/(AR30*GT30*GT30))</f>
        <v>7.3424690616756307E-3</v>
      </c>
      <c r="HY30" s="15">
        <f>AZ30</f>
        <v>3560</v>
      </c>
      <c r="HZ30" s="15">
        <f>BA30</f>
        <v>1.2150170648464163</v>
      </c>
      <c r="IA30" s="15">
        <f>BB30</f>
        <v>2136</v>
      </c>
    </row>
    <row r="31" spans="1:235" s="15" customFormat="1" x14ac:dyDescent="0.25">
      <c r="A31" s="31">
        <v>29</v>
      </c>
      <c r="B31" s="1">
        <v>7</v>
      </c>
      <c r="C31" s="1">
        <v>7</v>
      </c>
      <c r="D31" s="15" t="s">
        <v>637</v>
      </c>
      <c r="E31" s="1">
        <v>6</v>
      </c>
      <c r="F31" s="15" t="s">
        <v>1155</v>
      </c>
      <c r="G31" s="15" t="s">
        <v>1190</v>
      </c>
      <c r="H31" s="15" t="s">
        <v>621</v>
      </c>
      <c r="I31" s="1">
        <v>2017</v>
      </c>
      <c r="J31" s="15" t="s">
        <v>622</v>
      </c>
      <c r="K31" s="1">
        <v>2014</v>
      </c>
      <c r="L31" s="15" t="s">
        <v>623</v>
      </c>
      <c r="M31" s="15" t="s">
        <v>480</v>
      </c>
      <c r="N31" s="15" t="s">
        <v>520</v>
      </c>
      <c r="O31" s="31">
        <v>2</v>
      </c>
      <c r="P31" s="15">
        <v>29.28</v>
      </c>
      <c r="Q31" s="15">
        <v>119.48</v>
      </c>
      <c r="S31" s="15" t="s">
        <v>624</v>
      </c>
      <c r="T31" s="15">
        <v>16.3</v>
      </c>
      <c r="U31" s="15" t="s">
        <v>549</v>
      </c>
      <c r="V31" s="31">
        <v>1</v>
      </c>
      <c r="W31" s="16" t="s">
        <v>1149</v>
      </c>
      <c r="X31" s="15" t="s">
        <v>625</v>
      </c>
      <c r="Y31" s="1">
        <v>5</v>
      </c>
      <c r="Z31" s="15">
        <v>4.63</v>
      </c>
      <c r="AA31" s="15" t="s">
        <v>574</v>
      </c>
      <c r="AB31" s="15">
        <f t="shared" si="0"/>
        <v>4.63</v>
      </c>
      <c r="AC31" s="1">
        <v>2</v>
      </c>
      <c r="AF31" s="15">
        <v>11.82</v>
      </c>
      <c r="AH31" s="15">
        <v>18.25</v>
      </c>
      <c r="AM31" s="1"/>
      <c r="AP31" s="15" t="s">
        <v>626</v>
      </c>
      <c r="AQ31" s="1">
        <v>1</v>
      </c>
      <c r="AR31" s="1">
        <v>3</v>
      </c>
      <c r="BF31" s="15">
        <v>7.53</v>
      </c>
      <c r="BG31" s="15" t="s">
        <v>635</v>
      </c>
      <c r="BP31" s="16"/>
      <c r="BQ31" s="16"/>
      <c r="BR31" s="16"/>
      <c r="BS31" s="15">
        <v>5000</v>
      </c>
      <c r="BT31" s="15">
        <f>BS31</f>
        <v>5000</v>
      </c>
      <c r="BU31" s="15" t="s">
        <v>766</v>
      </c>
      <c r="BW31" s="15">
        <f>130.1*BS31</f>
        <v>650500</v>
      </c>
      <c r="BX31" s="15">
        <f>BS31*65.1</f>
        <v>325500</v>
      </c>
      <c r="BY31" s="15">
        <f>BT31</f>
        <v>5000</v>
      </c>
      <c r="BZ31" s="15">
        <f>BY31/1.1/1000</f>
        <v>4.545454545454545</v>
      </c>
      <c r="CA31" s="15">
        <f>BY31*2</f>
        <v>10000</v>
      </c>
      <c r="CC31" s="15" t="s">
        <v>628</v>
      </c>
      <c r="CE31" s="15">
        <v>5</v>
      </c>
      <c r="CF31" s="15">
        <f>CE31*1000</f>
        <v>5000</v>
      </c>
      <c r="CG31" s="15" t="s">
        <v>766</v>
      </c>
      <c r="CH31" s="15">
        <v>7.9</v>
      </c>
      <c r="CI31" s="15" t="s">
        <v>630</v>
      </c>
      <c r="CK31" s="15">
        <v>349.1</v>
      </c>
      <c r="CL31" s="15">
        <v>7.11</v>
      </c>
      <c r="CU31" s="15">
        <v>1.37</v>
      </c>
      <c r="CY31" s="25">
        <f>CF31</f>
        <v>5000</v>
      </c>
      <c r="CZ31" s="25">
        <f>CY31/0.78/1000</f>
        <v>6.4102564102564106</v>
      </c>
      <c r="DA31" s="25">
        <f>CY31*3</f>
        <v>15000</v>
      </c>
      <c r="EW31" s="46">
        <f>AX31+BT31+CF31+DE31+DY31</f>
        <v>10000</v>
      </c>
      <c r="EX31" s="46">
        <f>BA31+BZ31+CZ31+DT31+ET31</f>
        <v>10.955710955710956</v>
      </c>
      <c r="EY31" s="46">
        <f>BB31+CA31+DA31+DU31+EU31</f>
        <v>25000</v>
      </c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>
        <f t="shared" si="4"/>
        <v>4.63</v>
      </c>
      <c r="FL31" s="16">
        <f t="shared" si="5"/>
        <v>5.01</v>
      </c>
      <c r="FM31" s="15">
        <v>4.63</v>
      </c>
      <c r="FN31" s="15">
        <v>0.02</v>
      </c>
      <c r="FO31" s="15">
        <f>FN31*SQRT(AR31)</f>
        <v>3.4641016151377546E-2</v>
      </c>
      <c r="FP31" s="15">
        <v>5.01</v>
      </c>
      <c r="FQ31" s="15">
        <v>0.01</v>
      </c>
      <c r="FR31" s="15">
        <f>FQ31*SQRT(AR31)</f>
        <v>1.7320508075688773E-2</v>
      </c>
      <c r="FS31" s="15">
        <f t="shared" si="6"/>
        <v>1.08207343412527</v>
      </c>
      <c r="FT31" s="15">
        <f t="shared" si="7"/>
        <v>0.37999999999999989</v>
      </c>
      <c r="FU31" s="15">
        <f t="shared" si="8"/>
        <v>7.8879046998630686E-2</v>
      </c>
      <c r="FV31" s="15">
        <f>((FR31*FR31)/(AR31*FP31*FP31)+(FO31*FO31)/(AR31*FM31*FM31))</f>
        <v>2.2643462246599101E-5</v>
      </c>
      <c r="GI31" s="15">
        <v>11.82</v>
      </c>
      <c r="GJ31" s="15">
        <v>0.9</v>
      </c>
      <c r="GK31" s="15">
        <f>GJ31*SQRT(AR31)</f>
        <v>1.5588457268119895</v>
      </c>
      <c r="GL31" s="15">
        <v>11.43</v>
      </c>
      <c r="GM31" s="15">
        <v>0.24</v>
      </c>
      <c r="GN31" s="15">
        <f>GM31*SQRT(AR31)</f>
        <v>0.4156921938165305</v>
      </c>
      <c r="GO31" s="15">
        <f t="shared" si="27"/>
        <v>0.96700507614213194</v>
      </c>
      <c r="GP31" s="15">
        <f t="shared" si="28"/>
        <v>-0.39000000000000057</v>
      </c>
      <c r="GQ31" s="15">
        <f t="shared" si="29"/>
        <v>-3.3551534171232689E-2</v>
      </c>
      <c r="GR31" s="15">
        <f>((GN31*GN31)/(AR31*GL31*GL31)+(GK31*GK31)/(AR31*GI31*GI31))</f>
        <v>6.238514033081787E-3</v>
      </c>
      <c r="GT31" s="15">
        <v>18.25</v>
      </c>
      <c r="GU31" s="15">
        <v>1.26</v>
      </c>
      <c r="GV31" s="15">
        <f>GU31*SQRT(AR31)</f>
        <v>2.1823840175367852</v>
      </c>
      <c r="GW31" s="15">
        <v>37.270000000000003</v>
      </c>
      <c r="GX31" s="15">
        <v>6.74</v>
      </c>
      <c r="GY31" s="15">
        <f>GX31*SQRT(AR31)</f>
        <v>11.674022443014232</v>
      </c>
      <c r="GZ31" s="15">
        <f t="shared" si="30"/>
        <v>2.0421917808219181</v>
      </c>
      <c r="HA31" s="15">
        <f t="shared" si="31"/>
        <v>19.020000000000003</v>
      </c>
      <c r="HB31" s="15">
        <f t="shared" si="32"/>
        <v>0.7140236334626664</v>
      </c>
      <c r="HC31" s="15">
        <f>((GY31*GY31)/(AR31*GW31*GW31)+(GV31*GV31)/(AR31*GT31*GT31))</f>
        <v>3.7470682970610257E-2</v>
      </c>
      <c r="HY31" s="15">
        <f t="shared" ref="HY31:IA34" si="33">EW31</f>
        <v>10000</v>
      </c>
      <c r="HZ31" s="15">
        <f t="shared" si="33"/>
        <v>10.955710955710956</v>
      </c>
      <c r="IA31" s="15">
        <f t="shared" si="33"/>
        <v>25000</v>
      </c>
    </row>
    <row r="32" spans="1:235" s="15" customFormat="1" x14ac:dyDescent="0.25">
      <c r="A32" s="31">
        <v>30</v>
      </c>
      <c r="B32" s="1">
        <v>7</v>
      </c>
      <c r="C32" s="1">
        <v>7</v>
      </c>
      <c r="D32" s="15" t="s">
        <v>638</v>
      </c>
      <c r="E32" s="1">
        <v>6</v>
      </c>
      <c r="F32" s="15" t="s">
        <v>976</v>
      </c>
      <c r="G32" s="15" t="s">
        <v>1190</v>
      </c>
      <c r="H32" s="15" t="s">
        <v>621</v>
      </c>
      <c r="I32" s="1">
        <v>2017</v>
      </c>
      <c r="J32" s="15" t="s">
        <v>622</v>
      </c>
      <c r="K32" s="1">
        <v>2014</v>
      </c>
      <c r="L32" s="15" t="s">
        <v>623</v>
      </c>
      <c r="M32" s="15" t="s">
        <v>480</v>
      </c>
      <c r="N32" s="15" t="s">
        <v>520</v>
      </c>
      <c r="O32" s="31">
        <v>2</v>
      </c>
      <c r="P32" s="15">
        <v>29.28</v>
      </c>
      <c r="Q32" s="15">
        <v>119.48</v>
      </c>
      <c r="S32" s="15" t="s">
        <v>624</v>
      </c>
      <c r="T32" s="15">
        <v>16.3</v>
      </c>
      <c r="U32" s="15" t="s">
        <v>549</v>
      </c>
      <c r="V32" s="31">
        <v>1</v>
      </c>
      <c r="W32" s="16" t="s">
        <v>1149</v>
      </c>
      <c r="X32" s="15" t="s">
        <v>625</v>
      </c>
      <c r="Y32" s="1">
        <v>5</v>
      </c>
      <c r="Z32" s="15">
        <v>4.63</v>
      </c>
      <c r="AA32" s="15" t="s">
        <v>574</v>
      </c>
      <c r="AB32" s="15">
        <f t="shared" si="0"/>
        <v>4.63</v>
      </c>
      <c r="AC32" s="1">
        <v>2</v>
      </c>
      <c r="AF32" s="15">
        <v>11.82</v>
      </c>
      <c r="AH32" s="15">
        <v>18.25</v>
      </c>
      <c r="AM32" s="1"/>
      <c r="AP32" s="15" t="s">
        <v>626</v>
      </c>
      <c r="AQ32" s="1">
        <v>1</v>
      </c>
      <c r="AR32" s="1">
        <v>3</v>
      </c>
      <c r="AS32" s="15">
        <v>12.3</v>
      </c>
      <c r="AT32" s="15" t="s">
        <v>545</v>
      </c>
      <c r="AU32" s="15">
        <v>98</v>
      </c>
      <c r="AW32" s="15">
        <v>1000</v>
      </c>
      <c r="AX32" s="15">
        <f>AW32*1.78</f>
        <v>1780</v>
      </c>
      <c r="AY32" s="15" t="s">
        <v>766</v>
      </c>
      <c r="AZ32" s="15">
        <f t="shared" ref="AZ32:AZ63" si="34">AX32</f>
        <v>1780</v>
      </c>
      <c r="BA32" s="15">
        <f t="shared" ref="BA32:BA63" si="35">AZ32/2.93/1000</f>
        <v>0.60750853242320813</v>
      </c>
      <c r="BB32" s="15">
        <f t="shared" ref="BB32:BB63" si="36">AZ32*0.6</f>
        <v>1068</v>
      </c>
      <c r="BF32" s="15">
        <v>7.53</v>
      </c>
      <c r="BG32" s="15" t="s">
        <v>635</v>
      </c>
      <c r="BP32" s="16"/>
      <c r="BQ32" s="16"/>
      <c r="BR32" s="16"/>
      <c r="BS32" s="15">
        <v>5000</v>
      </c>
      <c r="BT32" s="15">
        <f>BS32</f>
        <v>5000</v>
      </c>
      <c r="BU32" s="15" t="s">
        <v>766</v>
      </c>
      <c r="BW32" s="15">
        <f>130.1*BS32</f>
        <v>650500</v>
      </c>
      <c r="BX32" s="15">
        <f>BS32*65.1</f>
        <v>325500</v>
      </c>
      <c r="BY32" s="15">
        <f>BT32</f>
        <v>5000</v>
      </c>
      <c r="BZ32" s="15">
        <f>BY32/1.1/1000</f>
        <v>4.545454545454545</v>
      </c>
      <c r="CA32" s="15">
        <f>BY32*2</f>
        <v>10000</v>
      </c>
      <c r="EW32" s="46">
        <f>AX32+BT32+CF32+DE32+DY32</f>
        <v>6780</v>
      </c>
      <c r="EX32" s="46">
        <f>BA32+BZ32+CZ32+DT32+ET32</f>
        <v>5.1529630778777529</v>
      </c>
      <c r="EY32" s="46">
        <f>BB32+CA32+DA32+DU32+EU32</f>
        <v>11068</v>
      </c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>
        <f t="shared" si="4"/>
        <v>4.63</v>
      </c>
      <c r="FL32" s="16">
        <f t="shared" si="5"/>
        <v>5.0199999999999996</v>
      </c>
      <c r="FM32" s="15">
        <v>4.63</v>
      </c>
      <c r="FN32" s="15">
        <v>0.02</v>
      </c>
      <c r="FO32" s="15">
        <f>FN32*SQRT(AR32)</f>
        <v>3.4641016151377546E-2</v>
      </c>
      <c r="FP32" s="15">
        <v>5.0199999999999996</v>
      </c>
      <c r="FQ32" s="15">
        <v>0.01</v>
      </c>
      <c r="FR32" s="15">
        <f>FQ32*SQRT(AR32)</f>
        <v>1.7320508075688773E-2</v>
      </c>
      <c r="FS32" s="15">
        <f t="shared" si="6"/>
        <v>1.0842332613390928</v>
      </c>
      <c r="FT32" s="15">
        <f t="shared" si="7"/>
        <v>0.38999999999999968</v>
      </c>
      <c r="FU32" s="15">
        <f t="shared" si="8"/>
        <v>8.0873065605495009E-2</v>
      </c>
      <c r="FV32" s="15">
        <f>((FR32*FR32)/(AR32*FP32*FP32)+(FO32*FO32)/(AR32*FM32*FM32))</f>
        <v>2.2627605355375404E-5</v>
      </c>
      <c r="GI32" s="15">
        <v>11.82</v>
      </c>
      <c r="GJ32" s="15">
        <v>0.9</v>
      </c>
      <c r="GK32" s="15">
        <f>GJ32*SQRT(AR32)</f>
        <v>1.5588457268119895</v>
      </c>
      <c r="GL32" s="15">
        <v>9.89</v>
      </c>
      <c r="GM32" s="15">
        <v>0.04</v>
      </c>
      <c r="GN32" s="15">
        <f>GM32*SQRT(AR32)</f>
        <v>6.9282032302755092E-2</v>
      </c>
      <c r="GO32" s="15">
        <f t="shared" si="27"/>
        <v>0.83671742808798644</v>
      </c>
      <c r="GP32" s="15">
        <f t="shared" si="28"/>
        <v>-1.9299999999999997</v>
      </c>
      <c r="GQ32" s="15">
        <f t="shared" si="29"/>
        <v>-0.17826886634333139</v>
      </c>
      <c r="GR32" s="15">
        <f>((GN32*GN32)/(AR32*GL32*GL32)+(GK32*GK32)/(AR32*GI32*GI32))</f>
        <v>5.8139821567842987E-3</v>
      </c>
      <c r="GT32" s="15">
        <v>18.25</v>
      </c>
      <c r="GU32" s="15">
        <v>1.26</v>
      </c>
      <c r="GV32" s="15">
        <f>GU32*SQRT(AR32)</f>
        <v>2.1823840175367852</v>
      </c>
      <c r="GW32" s="15">
        <v>53.85</v>
      </c>
      <c r="GX32" s="15">
        <v>2.34</v>
      </c>
      <c r="GY32" s="15">
        <f>GX32*SQRT(AR32)</f>
        <v>4.0529988897111719</v>
      </c>
      <c r="GZ32" s="15">
        <f t="shared" si="30"/>
        <v>2.9506849315068493</v>
      </c>
      <c r="HA32" s="15">
        <f t="shared" si="31"/>
        <v>35.6</v>
      </c>
      <c r="HB32" s="15">
        <f t="shared" si="32"/>
        <v>1.0820373235738971</v>
      </c>
      <c r="HC32" s="15">
        <f>((GY32*GY32)/(AR32*GW32*GW32)+(GV32*GV32)/(AR32*GT32*GT32))</f>
        <v>6.6549264269203569E-3</v>
      </c>
      <c r="HY32" s="15">
        <f t="shared" si="33"/>
        <v>6780</v>
      </c>
      <c r="HZ32" s="15">
        <f t="shared" si="33"/>
        <v>5.1529630778777529</v>
      </c>
      <c r="IA32" s="15">
        <f t="shared" si="33"/>
        <v>11068</v>
      </c>
    </row>
    <row r="33" spans="1:235" s="15" customFormat="1" x14ac:dyDescent="0.25">
      <c r="A33" s="31">
        <v>31</v>
      </c>
      <c r="B33" s="1">
        <v>7</v>
      </c>
      <c r="C33" s="1">
        <v>7</v>
      </c>
      <c r="D33" s="15" t="s">
        <v>639</v>
      </c>
      <c r="E33" s="1">
        <v>6</v>
      </c>
      <c r="F33" s="15" t="s">
        <v>1156</v>
      </c>
      <c r="G33" s="15" t="s">
        <v>1190</v>
      </c>
      <c r="H33" s="15" t="s">
        <v>621</v>
      </c>
      <c r="I33" s="1">
        <v>2017</v>
      </c>
      <c r="J33" s="15" t="s">
        <v>622</v>
      </c>
      <c r="K33" s="1">
        <v>2014</v>
      </c>
      <c r="L33" s="15" t="s">
        <v>623</v>
      </c>
      <c r="M33" s="15" t="s">
        <v>480</v>
      </c>
      <c r="N33" s="15" t="s">
        <v>520</v>
      </c>
      <c r="O33" s="31">
        <v>2</v>
      </c>
      <c r="P33" s="15">
        <v>29.28</v>
      </c>
      <c r="Q33" s="15">
        <v>119.48</v>
      </c>
      <c r="S33" s="15" t="s">
        <v>624</v>
      </c>
      <c r="T33" s="15">
        <v>16.3</v>
      </c>
      <c r="U33" s="15" t="s">
        <v>549</v>
      </c>
      <c r="V33" s="31">
        <v>1</v>
      </c>
      <c r="W33" s="16" t="s">
        <v>1149</v>
      </c>
      <c r="X33" s="15" t="s">
        <v>625</v>
      </c>
      <c r="Y33" s="1">
        <v>5</v>
      </c>
      <c r="Z33" s="15">
        <v>4.63</v>
      </c>
      <c r="AA33" s="15" t="s">
        <v>574</v>
      </c>
      <c r="AB33" s="15">
        <f t="shared" si="0"/>
        <v>4.63</v>
      </c>
      <c r="AC33" s="1">
        <v>2</v>
      </c>
      <c r="AF33" s="15">
        <v>11.82</v>
      </c>
      <c r="AH33" s="15">
        <v>18.25</v>
      </c>
      <c r="AM33" s="1"/>
      <c r="AP33" s="15" t="s">
        <v>626</v>
      </c>
      <c r="AQ33" s="1">
        <v>1</v>
      </c>
      <c r="AR33" s="1">
        <v>3</v>
      </c>
      <c r="AS33" s="15">
        <v>12.3</v>
      </c>
      <c r="AT33" s="15" t="s">
        <v>545</v>
      </c>
      <c r="AU33" s="15">
        <v>98</v>
      </c>
      <c r="AW33" s="15">
        <v>1000</v>
      </c>
      <c r="AX33" s="15">
        <f>AW33*1.78</f>
        <v>1780</v>
      </c>
      <c r="AY33" s="15" t="s">
        <v>766</v>
      </c>
      <c r="AZ33" s="15">
        <f t="shared" si="34"/>
        <v>1780</v>
      </c>
      <c r="BA33" s="15">
        <f t="shared" si="35"/>
        <v>0.60750853242320813</v>
      </c>
      <c r="BB33" s="15">
        <f t="shared" si="36"/>
        <v>1068</v>
      </c>
      <c r="BP33" s="16"/>
      <c r="BQ33" s="16"/>
      <c r="BR33" s="16"/>
      <c r="BU33" s="16"/>
      <c r="CC33" s="15" t="s">
        <v>628</v>
      </c>
      <c r="CE33" s="15">
        <v>5</v>
      </c>
      <c r="CF33" s="15">
        <f>CE33*1000</f>
        <v>5000</v>
      </c>
      <c r="CG33" s="15" t="s">
        <v>766</v>
      </c>
      <c r="CH33" s="15">
        <v>7.9</v>
      </c>
      <c r="CI33" s="15" t="s">
        <v>630</v>
      </c>
      <c r="CK33" s="15">
        <v>349.1</v>
      </c>
      <c r="CL33" s="15">
        <v>7.11</v>
      </c>
      <c r="CU33" s="15">
        <v>1.37</v>
      </c>
      <c r="CY33" s="25">
        <f>CF33</f>
        <v>5000</v>
      </c>
      <c r="CZ33" s="25">
        <f>CY33/0.78/1000</f>
        <v>6.4102564102564106</v>
      </c>
      <c r="DA33" s="25">
        <f>CY33*3</f>
        <v>15000</v>
      </c>
      <c r="EW33" s="46">
        <f>AX33+BT33+CF33+DE33+DY33</f>
        <v>6780</v>
      </c>
      <c r="EX33" s="46">
        <f>BA33+BZ33+CZ33+DT33+ET33</f>
        <v>7.0177649426796185</v>
      </c>
      <c r="EY33" s="46">
        <f>BB33+CA33+DA33+DU33+EU33</f>
        <v>16068</v>
      </c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>
        <f t="shared" si="4"/>
        <v>4.63</v>
      </c>
      <c r="FL33" s="16">
        <f t="shared" si="5"/>
        <v>5.01</v>
      </c>
      <c r="FM33" s="15">
        <v>4.63</v>
      </c>
      <c r="FN33" s="15">
        <v>0.02</v>
      </c>
      <c r="FO33" s="15">
        <f>FN33*SQRT(AR33)</f>
        <v>3.4641016151377546E-2</v>
      </c>
      <c r="FP33" s="15">
        <v>5.01</v>
      </c>
      <c r="FQ33" s="15">
        <v>0.01</v>
      </c>
      <c r="FR33" s="15">
        <f>FQ33*SQRT(AR33)</f>
        <v>1.7320508075688773E-2</v>
      </c>
      <c r="FS33" s="15">
        <f t="shared" si="6"/>
        <v>1.08207343412527</v>
      </c>
      <c r="FT33" s="15">
        <f t="shared" si="7"/>
        <v>0.37999999999999989</v>
      </c>
      <c r="FU33" s="15">
        <f t="shared" si="8"/>
        <v>7.8879046998630686E-2</v>
      </c>
      <c r="FV33" s="15">
        <f>((FR33*FR33)/(AR33*FP33*FP33)+(FO33*FO33)/(AR33*FM33*FM33))</f>
        <v>2.2643462246599101E-5</v>
      </c>
      <c r="GI33" s="15">
        <v>11.82</v>
      </c>
      <c r="GJ33" s="15">
        <v>0.9</v>
      </c>
      <c r="GK33" s="15">
        <f>GJ33*SQRT(AR33)</f>
        <v>1.5588457268119895</v>
      </c>
      <c r="GL33" s="15">
        <v>11.23</v>
      </c>
      <c r="GM33" s="15">
        <v>0.51</v>
      </c>
      <c r="GN33" s="15">
        <f>GM33*SQRT(AR33)</f>
        <v>0.88334591186012734</v>
      </c>
      <c r="GO33" s="15">
        <f t="shared" si="27"/>
        <v>0.95008460236886638</v>
      </c>
      <c r="GP33" s="15">
        <f t="shared" si="28"/>
        <v>-0.58999999999999986</v>
      </c>
      <c r="GQ33" s="15">
        <f t="shared" si="29"/>
        <v>-5.1204243227600088E-2</v>
      </c>
      <c r="GR33" s="15">
        <f>((GN33*GN33)/(AR33*GL33*GL33)+(GK33*GK33)/(AR33*GI33*GI33))</f>
        <v>7.8600619670415109E-3</v>
      </c>
      <c r="GT33" s="15">
        <v>18.25</v>
      </c>
      <c r="GU33" s="15">
        <v>1.26</v>
      </c>
      <c r="GV33" s="15">
        <f>GU33*SQRT(AR33)</f>
        <v>2.1823840175367852</v>
      </c>
      <c r="GW33" s="15">
        <v>38.6</v>
      </c>
      <c r="GX33" s="15">
        <v>3.26</v>
      </c>
      <c r="GY33" s="15">
        <f>GX33*SQRT(AR33)</f>
        <v>5.6464856326745396</v>
      </c>
      <c r="GZ33" s="15">
        <f t="shared" si="30"/>
        <v>2.1150684931506851</v>
      </c>
      <c r="HA33" s="15">
        <f t="shared" si="31"/>
        <v>20.350000000000001</v>
      </c>
      <c r="HB33" s="15">
        <f t="shared" si="32"/>
        <v>0.7490871964422845</v>
      </c>
      <c r="HC33" s="15">
        <f>((GY33*GY33)/(AR33*GW33*GW33)+(GV33*GV33)/(AR33*GT33*GT33))</f>
        <v>1.1899481856216958E-2</v>
      </c>
      <c r="HY33" s="15">
        <f t="shared" si="33"/>
        <v>6780</v>
      </c>
      <c r="HZ33" s="15">
        <f t="shared" si="33"/>
        <v>7.0177649426796185</v>
      </c>
      <c r="IA33" s="15">
        <f t="shared" si="33"/>
        <v>16068</v>
      </c>
    </row>
    <row r="34" spans="1:235" s="15" customFormat="1" x14ac:dyDescent="0.25">
      <c r="A34" s="31">
        <v>32</v>
      </c>
      <c r="B34" s="1">
        <v>7</v>
      </c>
      <c r="C34" s="1">
        <v>7</v>
      </c>
      <c r="D34" s="15" t="s">
        <v>640</v>
      </c>
      <c r="E34" s="1">
        <v>6</v>
      </c>
      <c r="F34" s="15" t="s">
        <v>1157</v>
      </c>
      <c r="G34" s="15" t="s">
        <v>1190</v>
      </c>
      <c r="H34" s="15" t="s">
        <v>621</v>
      </c>
      <c r="I34" s="1">
        <v>2017</v>
      </c>
      <c r="J34" s="15" t="s">
        <v>622</v>
      </c>
      <c r="K34" s="1">
        <v>2014</v>
      </c>
      <c r="L34" s="15" t="s">
        <v>623</v>
      </c>
      <c r="M34" s="15" t="s">
        <v>480</v>
      </c>
      <c r="N34" s="15" t="s">
        <v>520</v>
      </c>
      <c r="O34" s="31">
        <v>2</v>
      </c>
      <c r="P34" s="15">
        <v>29.28</v>
      </c>
      <c r="Q34" s="15">
        <v>119.48</v>
      </c>
      <c r="S34" s="15" t="s">
        <v>624</v>
      </c>
      <c r="T34" s="15">
        <v>16.3</v>
      </c>
      <c r="U34" s="15" t="s">
        <v>549</v>
      </c>
      <c r="V34" s="31">
        <v>1</v>
      </c>
      <c r="W34" s="16" t="s">
        <v>1149</v>
      </c>
      <c r="X34" s="15" t="s">
        <v>625</v>
      </c>
      <c r="Y34" s="1">
        <v>5</v>
      </c>
      <c r="Z34" s="15">
        <v>4.63</v>
      </c>
      <c r="AA34" s="15" t="s">
        <v>574</v>
      </c>
      <c r="AB34" s="15">
        <f t="shared" si="0"/>
        <v>4.63</v>
      </c>
      <c r="AC34" s="1">
        <v>2</v>
      </c>
      <c r="AF34" s="15">
        <v>11.82</v>
      </c>
      <c r="AH34" s="15">
        <v>18.25</v>
      </c>
      <c r="AM34" s="1"/>
      <c r="AP34" s="15" t="s">
        <v>626</v>
      </c>
      <c r="AQ34" s="1">
        <v>1</v>
      </c>
      <c r="AR34" s="1">
        <v>3</v>
      </c>
      <c r="AS34" s="15">
        <v>12.3</v>
      </c>
      <c r="AT34" s="15" t="s">
        <v>545</v>
      </c>
      <c r="AU34" s="15">
        <v>98</v>
      </c>
      <c r="AW34" s="15">
        <v>670</v>
      </c>
      <c r="AX34" s="15">
        <f>AW34*1.78</f>
        <v>1192.5999999999999</v>
      </c>
      <c r="AY34" s="15" t="s">
        <v>766</v>
      </c>
      <c r="AZ34" s="15">
        <f t="shared" si="34"/>
        <v>1192.5999999999999</v>
      </c>
      <c r="BA34" s="15">
        <f t="shared" si="35"/>
        <v>0.40703071672354946</v>
      </c>
      <c r="BB34" s="15">
        <f t="shared" si="36"/>
        <v>715.56</v>
      </c>
      <c r="BF34" s="15">
        <v>7.53</v>
      </c>
      <c r="BG34" s="15" t="s">
        <v>635</v>
      </c>
      <c r="BP34" s="16"/>
      <c r="BQ34" s="16"/>
      <c r="BR34" s="16"/>
      <c r="BS34" s="15">
        <v>3330</v>
      </c>
      <c r="BT34" s="15">
        <f>BS34</f>
        <v>3330</v>
      </c>
      <c r="BU34" s="15" t="s">
        <v>766</v>
      </c>
      <c r="BW34" s="15">
        <f>130.1*BS34</f>
        <v>433233</v>
      </c>
      <c r="BX34" s="15">
        <f>BS34*65.1</f>
        <v>216782.99999999997</v>
      </c>
      <c r="BY34" s="15">
        <f>BT34</f>
        <v>3330</v>
      </c>
      <c r="BZ34" s="15">
        <f>BY34/1.1/1000</f>
        <v>3.0272727272727269</v>
      </c>
      <c r="CA34" s="15">
        <f>BY34*2</f>
        <v>6660</v>
      </c>
      <c r="CC34" s="15" t="s">
        <v>628</v>
      </c>
      <c r="CE34" s="15">
        <v>3.3</v>
      </c>
      <c r="CF34" s="15">
        <f>CE34*1000</f>
        <v>3300</v>
      </c>
      <c r="CG34" s="15" t="s">
        <v>766</v>
      </c>
      <c r="CH34" s="15">
        <v>7.9</v>
      </c>
      <c r="CI34" s="15" t="s">
        <v>630</v>
      </c>
      <c r="CK34" s="15">
        <v>349.1</v>
      </c>
      <c r="CL34" s="15">
        <v>7.11</v>
      </c>
      <c r="CU34" s="15">
        <v>1.37</v>
      </c>
      <c r="CY34" s="25">
        <f>CF34</f>
        <v>3300</v>
      </c>
      <c r="CZ34" s="25">
        <f>CY34/0.78/1000</f>
        <v>4.2307692307692308</v>
      </c>
      <c r="DA34" s="25">
        <f>CY34*3</f>
        <v>9900</v>
      </c>
      <c r="EW34" s="46">
        <f>AX34+BT34+CF34+DE34+DY34</f>
        <v>7822.6</v>
      </c>
      <c r="EX34" s="46">
        <f>BA34+BZ34+CZ34+DT34+ET34</f>
        <v>7.6650726747655078</v>
      </c>
      <c r="EY34" s="46">
        <f>BB34+CA34+DA34+DU34+EU34</f>
        <v>17275.559999999998</v>
      </c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>
        <f t="shared" si="4"/>
        <v>4.63</v>
      </c>
      <c r="FL34" s="16">
        <f t="shared" si="5"/>
        <v>5.41</v>
      </c>
      <c r="FM34" s="15">
        <v>4.63</v>
      </c>
      <c r="FN34" s="15">
        <v>0.02</v>
      </c>
      <c r="FO34" s="15">
        <f>FN34*SQRT(AR34)</f>
        <v>3.4641016151377546E-2</v>
      </c>
      <c r="FP34" s="15">
        <v>5.41</v>
      </c>
      <c r="FQ34" s="15">
        <v>0.01</v>
      </c>
      <c r="FR34" s="15">
        <f>FQ34*SQRT(AR34)</f>
        <v>1.7320508075688773E-2</v>
      </c>
      <c r="FS34" s="15">
        <f t="shared" si="6"/>
        <v>1.1684665226781858</v>
      </c>
      <c r="FT34" s="15">
        <f t="shared" si="7"/>
        <v>0.78000000000000025</v>
      </c>
      <c r="FU34" s="15">
        <f t="shared" si="8"/>
        <v>0.15569222476024747</v>
      </c>
      <c r="FV34" s="15">
        <f>((FR34*FR34)/(AR34*FP34*FP34)+(FO34*FO34)/(AR34*FM34*FM34))</f>
        <v>2.2076103534150169E-5</v>
      </c>
      <c r="GI34" s="15">
        <v>11.82</v>
      </c>
      <c r="GJ34" s="15">
        <v>0.9</v>
      </c>
      <c r="GK34" s="15">
        <f>GJ34*SQRT(AR34)</f>
        <v>1.5588457268119895</v>
      </c>
      <c r="GL34" s="15">
        <v>11.08</v>
      </c>
      <c r="GM34" s="15">
        <v>0.14000000000000001</v>
      </c>
      <c r="GN34" s="15">
        <f>GM34*SQRT(AR34)</f>
        <v>0.24248711305964282</v>
      </c>
      <c r="GO34" s="15">
        <f t="shared" si="27"/>
        <v>0.93739424703891705</v>
      </c>
      <c r="GP34" s="15">
        <f t="shared" si="28"/>
        <v>-0.74000000000000021</v>
      </c>
      <c r="GQ34" s="15">
        <f t="shared" si="29"/>
        <v>-6.4651330658814121E-2</v>
      </c>
      <c r="GR34" s="15">
        <f>((GN34*GN34)/(AR34*GL34*GL34)+(GK34*GK34)/(AR34*GI34*GI34))</f>
        <v>5.9572770664379111E-3</v>
      </c>
      <c r="GT34" s="15">
        <v>18.25</v>
      </c>
      <c r="GU34" s="15">
        <v>1.26</v>
      </c>
      <c r="GV34" s="15">
        <f>GU34*SQRT(AR34)</f>
        <v>2.1823840175367852</v>
      </c>
      <c r="GW34" s="15">
        <v>57.96</v>
      </c>
      <c r="GX34" s="15">
        <v>4.16</v>
      </c>
      <c r="GY34" s="15">
        <f>GX34*SQRT(AR34)</f>
        <v>7.2053313594865296</v>
      </c>
      <c r="GZ34" s="15">
        <f t="shared" si="30"/>
        <v>3.1758904109589041</v>
      </c>
      <c r="HA34" s="15">
        <f t="shared" si="31"/>
        <v>39.71</v>
      </c>
      <c r="HB34" s="15">
        <f t="shared" si="32"/>
        <v>1.1555880374239806</v>
      </c>
      <c r="HC34" s="15">
        <f>((GY34*GY34)/(AR34*GW34*GW34)+(GV34*GV34)/(AR34*GT34*GT34))</f>
        <v>9.9181278886688248E-3</v>
      </c>
      <c r="HY34" s="15">
        <f t="shared" si="33"/>
        <v>7822.6</v>
      </c>
      <c r="HZ34" s="15">
        <f t="shared" si="33"/>
        <v>7.6650726747655078</v>
      </c>
      <c r="IA34" s="15">
        <f t="shared" si="33"/>
        <v>17275.559999999998</v>
      </c>
    </row>
    <row r="35" spans="1:235" s="15" customFormat="1" ht="14.4" x14ac:dyDescent="0.25">
      <c r="A35" s="31">
        <v>33</v>
      </c>
      <c r="B35" s="1">
        <v>8</v>
      </c>
      <c r="C35" s="1">
        <v>8</v>
      </c>
      <c r="D35" s="15" t="s">
        <v>652</v>
      </c>
      <c r="E35" s="1">
        <v>1</v>
      </c>
      <c r="F35" s="15" t="s">
        <v>761</v>
      </c>
      <c r="G35" s="15" t="s">
        <v>644</v>
      </c>
      <c r="H35" s="15" t="s">
        <v>645</v>
      </c>
      <c r="I35" s="1">
        <v>2010</v>
      </c>
      <c r="J35" s="15" t="s">
        <v>646</v>
      </c>
      <c r="K35" s="1" t="s">
        <v>650</v>
      </c>
      <c r="L35" s="15" t="s">
        <v>647</v>
      </c>
      <c r="M35" s="15" t="s">
        <v>648</v>
      </c>
      <c r="N35" s="15" t="s">
        <v>649</v>
      </c>
      <c r="O35" s="31">
        <v>1</v>
      </c>
      <c r="P35" s="15">
        <v>-16.920000000000002</v>
      </c>
      <c r="Q35" s="15">
        <v>-54.78</v>
      </c>
      <c r="S35" s="15">
        <v>1551</v>
      </c>
      <c r="T35" s="15">
        <v>23</v>
      </c>
      <c r="U35" s="15" t="s">
        <v>549</v>
      </c>
      <c r="V35" s="31">
        <v>1</v>
      </c>
      <c r="W35" s="16" t="s">
        <v>1158</v>
      </c>
      <c r="X35" s="15" t="s">
        <v>661</v>
      </c>
      <c r="Y35" s="1"/>
      <c r="Z35" s="15">
        <v>4.4000000000000004</v>
      </c>
      <c r="AA35" s="15" t="s">
        <v>663</v>
      </c>
      <c r="AB35" s="15">
        <f t="shared" ref="AB35:AB40" si="37">Z35+0.77</f>
        <v>5.17</v>
      </c>
      <c r="AC35" s="1">
        <v>3</v>
      </c>
      <c r="AD35" s="15">
        <f>1.724*14.3</f>
        <v>24.653200000000002</v>
      </c>
      <c r="AF35" s="15">
        <v>8.09</v>
      </c>
      <c r="AH35" s="15">
        <v>36</v>
      </c>
      <c r="AM35" s="1"/>
      <c r="AP35" s="15" t="s">
        <v>1614</v>
      </c>
      <c r="AQ35" s="1">
        <v>1</v>
      </c>
      <c r="AR35" s="1">
        <v>4</v>
      </c>
      <c r="AT35" s="15" t="s">
        <v>993</v>
      </c>
      <c r="AW35" s="15">
        <v>2900</v>
      </c>
      <c r="AX35" s="15">
        <f t="shared" ref="AX35:AX40" si="38">AW35*1.09</f>
        <v>3161.0000000000005</v>
      </c>
      <c r="AY35" s="15" t="s">
        <v>766</v>
      </c>
      <c r="AZ35" s="15">
        <f t="shared" si="34"/>
        <v>3161.0000000000005</v>
      </c>
      <c r="BA35" s="15">
        <f t="shared" si="35"/>
        <v>1.078839590443686</v>
      </c>
      <c r="BB35" s="15">
        <f t="shared" si="36"/>
        <v>1896.6000000000001</v>
      </c>
      <c r="BP35" s="16"/>
      <c r="BQ35" s="16"/>
      <c r="BR35" s="16"/>
      <c r="BU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>
        <f t="shared" ref="FK35:FK40" si="39">FM35+0.77</f>
        <v>5.57</v>
      </c>
      <c r="FL35" s="16">
        <f t="shared" ref="FL35:FL40" si="40">FP35+0.77</f>
        <v>5.57</v>
      </c>
      <c r="FM35" s="15">
        <v>4.8</v>
      </c>
      <c r="FN35" s="15">
        <v>0.1</v>
      </c>
      <c r="FO35" s="15">
        <f>FN35*SQRT(AR35)</f>
        <v>0.2</v>
      </c>
      <c r="FP35" s="15">
        <v>4.8</v>
      </c>
      <c r="FQ35" s="15">
        <v>0.2</v>
      </c>
      <c r="FR35" s="15">
        <f>FQ35*SQRT(AR35)</f>
        <v>0.4</v>
      </c>
      <c r="FS35" s="15">
        <f t="shared" si="6"/>
        <v>1</v>
      </c>
      <c r="FT35" s="15">
        <f t="shared" si="7"/>
        <v>0</v>
      </c>
      <c r="FU35" s="15">
        <f t="shared" si="8"/>
        <v>0</v>
      </c>
      <c r="FV35" s="15">
        <f>((FR35*FR35)/(AR35*FP35*FP35)+(FO35*FO35)/(AR35*FM35*FM35))</f>
        <v>2.1701388888888894E-3</v>
      </c>
      <c r="FX35" s="15">
        <f>24.4*1.724</f>
        <v>42.065599999999996</v>
      </c>
      <c r="FY35" s="15">
        <v>1.3</v>
      </c>
      <c r="FZ35" s="15">
        <f>FY35*SQRT(AR35)</f>
        <v>2.6</v>
      </c>
      <c r="GA35" s="15">
        <f>24.1*1.724</f>
        <v>41.548400000000001</v>
      </c>
      <c r="GB35" s="15">
        <v>1.4</v>
      </c>
      <c r="GC35" s="15">
        <f>GB35*SQRT(AR35)</f>
        <v>2.8</v>
      </c>
      <c r="GD35" s="15">
        <f t="shared" ref="GD35:GD40" si="41">GA35/FX35</f>
        <v>0.98770491803278704</v>
      </c>
      <c r="GE35" s="15">
        <f t="shared" ref="GE35:GE40" si="42">GA35-FX35</f>
        <v>-0.51719999999999544</v>
      </c>
      <c r="GF35" s="15">
        <f t="shared" ref="GF35:GF40" si="43">LN(GA35)-LN(FX35)</f>
        <v>-1.2371291802546924E-2</v>
      </c>
      <c r="GG35" s="15">
        <f>((GC35*GC35)/(AR35*GA35*GA35)+(FZ35*FZ35)/(AR35*FX35*FX35))</f>
        <v>2.0904603885195253E-3</v>
      </c>
      <c r="GT35" s="15">
        <v>35</v>
      </c>
      <c r="GU35" s="15">
        <v>3</v>
      </c>
      <c r="GV35" s="15">
        <f>GU35*SQRT(AR35)</f>
        <v>6</v>
      </c>
      <c r="GW35" s="15">
        <v>32</v>
      </c>
      <c r="GX35" s="15">
        <v>6.3</v>
      </c>
      <c r="GY35" s="15">
        <f>GX35*SQRT(AR35)</f>
        <v>12.6</v>
      </c>
      <c r="GZ35" s="15">
        <f t="shared" si="30"/>
        <v>0.91428571428571426</v>
      </c>
      <c r="HA35" s="15">
        <f t="shared" si="31"/>
        <v>-3</v>
      </c>
      <c r="HB35" s="15">
        <f t="shared" si="32"/>
        <v>-8.9612158689686972E-2</v>
      </c>
      <c r="HC35" s="15">
        <f>((GY35*GY35)/(AR35*GW35*GW35)+(GV35*GV35)/(AR35*GT35*GT35))</f>
        <v>4.61067044005102E-2</v>
      </c>
      <c r="HY35" s="15">
        <f>AZ35</f>
        <v>3161.0000000000005</v>
      </c>
      <c r="HZ35" s="15">
        <f>BA35</f>
        <v>1.078839590443686</v>
      </c>
      <c r="IA35" s="15">
        <f>BB35</f>
        <v>1896.6000000000001</v>
      </c>
    </row>
    <row r="36" spans="1:235" s="15" customFormat="1" ht="14.4" x14ac:dyDescent="0.25">
      <c r="A36" s="31">
        <v>34</v>
      </c>
      <c r="B36" s="1">
        <v>8</v>
      </c>
      <c r="C36" s="1">
        <v>8</v>
      </c>
      <c r="D36" s="15" t="s">
        <v>653</v>
      </c>
      <c r="E36" s="1">
        <v>1</v>
      </c>
      <c r="F36" s="15" t="s">
        <v>761</v>
      </c>
      <c r="G36" s="15" t="s">
        <v>644</v>
      </c>
      <c r="H36" s="15" t="s">
        <v>645</v>
      </c>
      <c r="I36" s="1">
        <v>2010</v>
      </c>
      <c r="J36" s="15" t="s">
        <v>646</v>
      </c>
      <c r="K36" s="1" t="s">
        <v>650</v>
      </c>
      <c r="L36" s="15" t="s">
        <v>647</v>
      </c>
      <c r="M36" s="15" t="s">
        <v>648</v>
      </c>
      <c r="N36" s="15" t="s">
        <v>649</v>
      </c>
      <c r="O36" s="31">
        <v>1</v>
      </c>
      <c r="P36" s="15">
        <v>-16.920000000000002</v>
      </c>
      <c r="Q36" s="15">
        <v>-54.78</v>
      </c>
      <c r="S36" s="15">
        <v>1551</v>
      </c>
      <c r="T36" s="15">
        <v>23</v>
      </c>
      <c r="U36" s="15" t="s">
        <v>549</v>
      </c>
      <c r="V36" s="31">
        <v>1</v>
      </c>
      <c r="W36" s="16" t="s">
        <v>1158</v>
      </c>
      <c r="X36" s="15" t="s">
        <v>661</v>
      </c>
      <c r="Y36" s="1"/>
      <c r="Z36" s="15">
        <v>4.4000000000000004</v>
      </c>
      <c r="AA36" s="15" t="s">
        <v>663</v>
      </c>
      <c r="AB36" s="15">
        <f t="shared" si="37"/>
        <v>5.17</v>
      </c>
      <c r="AC36" s="1">
        <v>3</v>
      </c>
      <c r="AD36" s="15">
        <f>1.724*14.3</f>
        <v>24.653200000000002</v>
      </c>
      <c r="AF36" s="15">
        <v>8.09</v>
      </c>
      <c r="AH36" s="15">
        <v>36</v>
      </c>
      <c r="AM36" s="1"/>
      <c r="AP36" s="15" t="s">
        <v>662</v>
      </c>
      <c r="AQ36" s="1">
        <v>1</v>
      </c>
      <c r="AR36" s="1">
        <v>4</v>
      </c>
      <c r="AT36" s="15" t="s">
        <v>993</v>
      </c>
      <c r="AW36" s="15">
        <v>4900</v>
      </c>
      <c r="AX36" s="15">
        <f t="shared" si="38"/>
        <v>5341</v>
      </c>
      <c r="AY36" s="15" t="s">
        <v>766</v>
      </c>
      <c r="AZ36" s="15">
        <f t="shared" si="34"/>
        <v>5341</v>
      </c>
      <c r="BA36" s="15">
        <f t="shared" si="35"/>
        <v>1.8228668941979522</v>
      </c>
      <c r="BB36" s="15">
        <f t="shared" si="36"/>
        <v>3204.6</v>
      </c>
      <c r="BP36" s="16"/>
      <c r="BQ36" s="16"/>
      <c r="BR36" s="16"/>
      <c r="BU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>
        <f t="shared" si="39"/>
        <v>5.57</v>
      </c>
      <c r="FL36" s="16">
        <f t="shared" si="40"/>
        <v>5.8699999999999992</v>
      </c>
      <c r="FM36" s="15">
        <v>4.8</v>
      </c>
      <c r="FN36" s="15">
        <v>0.1</v>
      </c>
      <c r="FO36" s="15">
        <f>FN36*SQRT(AR36)</f>
        <v>0.2</v>
      </c>
      <c r="FP36" s="15">
        <v>5.0999999999999996</v>
      </c>
      <c r="FQ36" s="15">
        <v>0.3</v>
      </c>
      <c r="FR36" s="15">
        <f>FQ36*SQRT(AR36)</f>
        <v>0.6</v>
      </c>
      <c r="FS36" s="15">
        <f t="shared" si="6"/>
        <v>1.0625</v>
      </c>
      <c r="FT36" s="15">
        <f t="shared" si="7"/>
        <v>0.29999999999999982</v>
      </c>
      <c r="FU36" s="15">
        <f t="shared" si="8"/>
        <v>6.0624621816434798E-2</v>
      </c>
      <c r="FV36" s="15">
        <f>((FR36*FR36)/(AR36*FP36*FP36)+(FO36*FO36)/(AR36*FM36*FM36))</f>
        <v>3.8942353902345255E-3</v>
      </c>
      <c r="FX36" s="15">
        <f>24.4*1.724</f>
        <v>42.065599999999996</v>
      </c>
      <c r="FY36" s="15">
        <v>1.3</v>
      </c>
      <c r="FZ36" s="15">
        <f>FY36*SQRT(AR36)</f>
        <v>2.6</v>
      </c>
      <c r="GA36" s="15">
        <f>26.2*1.724</f>
        <v>45.168799999999997</v>
      </c>
      <c r="GB36" s="15">
        <v>2.7</v>
      </c>
      <c r="GC36" s="15">
        <f>GB36*SQRT(AR36)</f>
        <v>5.4</v>
      </c>
      <c r="GD36" s="15">
        <f t="shared" si="41"/>
        <v>1.0737704918032787</v>
      </c>
      <c r="GE36" s="15">
        <f t="shared" si="42"/>
        <v>3.1032000000000011</v>
      </c>
      <c r="GF36" s="15">
        <f t="shared" si="43"/>
        <v>7.1176278467894871E-2</v>
      </c>
      <c r="GG36" s="15">
        <f>((GC36*GC36)/(AR36*GA36*GA36)+(FZ36*FZ36)/(AR36*FX36*FX36))</f>
        <v>4.5282073268203323E-3</v>
      </c>
      <c r="GT36" s="15">
        <v>35</v>
      </c>
      <c r="GU36" s="15">
        <v>3</v>
      </c>
      <c r="GV36" s="15">
        <f>GU36*SQRT(AR36)</f>
        <v>6</v>
      </c>
      <c r="GW36" s="15">
        <v>46</v>
      </c>
      <c r="GX36" s="15">
        <v>9.8000000000000007</v>
      </c>
      <c r="GY36" s="15">
        <f>GX36*SQRT(AR36)</f>
        <v>19.600000000000001</v>
      </c>
      <c r="GZ36" s="15">
        <f t="shared" si="30"/>
        <v>1.3142857142857143</v>
      </c>
      <c r="HA36" s="15">
        <f t="shared" si="31"/>
        <v>11</v>
      </c>
      <c r="HB36" s="15">
        <f t="shared" si="32"/>
        <v>0.27329333499968156</v>
      </c>
      <c r="HC36" s="15">
        <f>((GY36*GY36)/(AR36*GW36*GW36)+(GV36*GV36)/(AR36*GT36*GT36))</f>
        <v>5.2734462404999814E-2</v>
      </c>
      <c r="HY36" s="15">
        <f>AZ36</f>
        <v>5341</v>
      </c>
      <c r="HZ36" s="15">
        <f>BA36</f>
        <v>1.8228668941979522</v>
      </c>
      <c r="IA36" s="15">
        <f>BB36</f>
        <v>3204.6</v>
      </c>
    </row>
    <row r="37" spans="1:235" s="15" customFormat="1" ht="14.4" x14ac:dyDescent="0.25">
      <c r="A37" s="31">
        <v>35</v>
      </c>
      <c r="B37" s="1">
        <v>8</v>
      </c>
      <c r="C37" s="1">
        <v>8</v>
      </c>
      <c r="D37" s="15" t="s">
        <v>654</v>
      </c>
      <c r="E37" s="1">
        <v>1</v>
      </c>
      <c r="F37" s="15" t="s">
        <v>761</v>
      </c>
      <c r="G37" s="15" t="s">
        <v>644</v>
      </c>
      <c r="H37" s="15" t="s">
        <v>645</v>
      </c>
      <c r="I37" s="1">
        <v>2010</v>
      </c>
      <c r="J37" s="15" t="s">
        <v>646</v>
      </c>
      <c r="K37" s="1" t="s">
        <v>650</v>
      </c>
      <c r="L37" s="15" t="s">
        <v>647</v>
      </c>
      <c r="M37" s="15" t="s">
        <v>648</v>
      </c>
      <c r="N37" s="15" t="s">
        <v>649</v>
      </c>
      <c r="O37" s="31">
        <v>1</v>
      </c>
      <c r="P37" s="15">
        <v>-16.920000000000002</v>
      </c>
      <c r="Q37" s="15">
        <v>-54.78</v>
      </c>
      <c r="S37" s="15">
        <v>1551</v>
      </c>
      <c r="T37" s="15">
        <v>23</v>
      </c>
      <c r="U37" s="15" t="s">
        <v>549</v>
      </c>
      <c r="V37" s="31">
        <v>1</v>
      </c>
      <c r="W37" s="16" t="s">
        <v>1158</v>
      </c>
      <c r="X37" s="15" t="s">
        <v>661</v>
      </c>
      <c r="Y37" s="1"/>
      <c r="Z37" s="15">
        <v>4.4000000000000004</v>
      </c>
      <c r="AA37" s="15" t="s">
        <v>663</v>
      </c>
      <c r="AB37" s="15">
        <f t="shared" si="37"/>
        <v>5.17</v>
      </c>
      <c r="AC37" s="1">
        <v>3</v>
      </c>
      <c r="AD37" s="15">
        <f>1.724*14.3</f>
        <v>24.653200000000002</v>
      </c>
      <c r="AF37" s="15">
        <v>8.09</v>
      </c>
      <c r="AH37" s="15">
        <v>36</v>
      </c>
      <c r="AM37" s="1"/>
      <c r="AP37" s="15" t="s">
        <v>662</v>
      </c>
      <c r="AQ37" s="1">
        <v>1</v>
      </c>
      <c r="AR37" s="1">
        <v>4</v>
      </c>
      <c r="AT37" s="15" t="s">
        <v>993</v>
      </c>
      <c r="AW37" s="15">
        <v>7800</v>
      </c>
      <c r="AX37" s="15">
        <f t="shared" si="38"/>
        <v>8502</v>
      </c>
      <c r="AY37" s="15" t="s">
        <v>766</v>
      </c>
      <c r="AZ37" s="15">
        <f t="shared" si="34"/>
        <v>8502</v>
      </c>
      <c r="BA37" s="15">
        <f t="shared" si="35"/>
        <v>2.9017064846416378</v>
      </c>
      <c r="BB37" s="15">
        <f t="shared" si="36"/>
        <v>5101.2</v>
      </c>
      <c r="BP37" s="16"/>
      <c r="BQ37" s="16"/>
      <c r="BR37" s="16"/>
      <c r="BU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>
        <f t="shared" si="39"/>
        <v>5.57</v>
      </c>
      <c r="FL37" s="16">
        <f t="shared" si="40"/>
        <v>5.77</v>
      </c>
      <c r="FM37" s="15">
        <v>4.8</v>
      </c>
      <c r="FN37" s="15">
        <v>0.1</v>
      </c>
      <c r="FO37" s="15">
        <f>FN37*SQRT(AR37)</f>
        <v>0.2</v>
      </c>
      <c r="FP37" s="15">
        <v>5</v>
      </c>
      <c r="FQ37" s="15">
        <v>0.2</v>
      </c>
      <c r="FR37" s="15">
        <f>FQ37*SQRT(AR37)</f>
        <v>0.4</v>
      </c>
      <c r="FS37" s="15">
        <f t="shared" si="6"/>
        <v>1.0416666666666667</v>
      </c>
      <c r="FT37" s="15">
        <f t="shared" si="7"/>
        <v>0.20000000000000018</v>
      </c>
      <c r="FU37" s="15">
        <f t="shared" si="8"/>
        <v>4.0821994520255034E-2</v>
      </c>
      <c r="FV37" s="15">
        <f>((FR37*FR37)/(AR37*FP37*FP37)+(FO37*FO37)/(AR37*FM37*FM37))</f>
        <v>2.0340277777777783E-3</v>
      </c>
      <c r="FX37" s="15">
        <f>24.4*1.724</f>
        <v>42.065599999999996</v>
      </c>
      <c r="FY37" s="15">
        <v>1.3</v>
      </c>
      <c r="FZ37" s="15">
        <f>FY37*SQRT(AR37)</f>
        <v>2.6</v>
      </c>
      <c r="GA37" s="15">
        <f>1.724*23.8</f>
        <v>41.031199999999998</v>
      </c>
      <c r="GB37" s="15">
        <v>0.6</v>
      </c>
      <c r="GC37" s="15">
        <f>GB37*SQRT(AR37)</f>
        <v>1.2</v>
      </c>
      <c r="GD37" s="15">
        <f t="shared" si="41"/>
        <v>0.97540983606557385</v>
      </c>
      <c r="GE37" s="15">
        <f t="shared" si="42"/>
        <v>-1.034399999999998</v>
      </c>
      <c r="GF37" s="15">
        <f t="shared" si="43"/>
        <v>-2.4897551621727132E-2</v>
      </c>
      <c r="GG37" s="15">
        <f>((GC37*GC37)/(AR37*GA37*GA37)+(FZ37*FZ37)/(AR37*FX37*FX37))</f>
        <v>1.1688967907291317E-3</v>
      </c>
      <c r="GT37" s="15">
        <v>35</v>
      </c>
      <c r="GU37" s="15">
        <v>3</v>
      </c>
      <c r="GV37" s="15">
        <f>GU37*SQRT(AR37)</f>
        <v>6</v>
      </c>
      <c r="GW37" s="15">
        <v>40</v>
      </c>
      <c r="GX37" s="15">
        <v>5.7</v>
      </c>
      <c r="GY37" s="15">
        <f>GX37*SQRT(AR37)</f>
        <v>11.4</v>
      </c>
      <c r="GZ37" s="15">
        <f t="shared" si="30"/>
        <v>1.1428571428571428</v>
      </c>
      <c r="HA37" s="15">
        <f t="shared" si="31"/>
        <v>5</v>
      </c>
      <c r="HB37" s="15">
        <f t="shared" si="32"/>
        <v>0.13353139262452274</v>
      </c>
      <c r="HC37" s="15">
        <f>((GY37*GY37)/(AR37*GW37*GW37)+(GV37*GV37)/(AR37*GT37*GT37))</f>
        <v>2.7653188775510207E-2</v>
      </c>
      <c r="HY37" s="15">
        <f>AZ37</f>
        <v>8502</v>
      </c>
      <c r="HZ37" s="15">
        <f>BA37</f>
        <v>2.9017064846416378</v>
      </c>
      <c r="IA37" s="15">
        <f>BB37</f>
        <v>5101.2</v>
      </c>
    </row>
    <row r="38" spans="1:235" s="15" customFormat="1" ht="14.4" x14ac:dyDescent="0.25">
      <c r="A38" s="31">
        <v>36</v>
      </c>
      <c r="B38" s="1">
        <v>8</v>
      </c>
      <c r="C38" s="1">
        <v>9</v>
      </c>
      <c r="D38" s="15" t="s">
        <v>655</v>
      </c>
      <c r="E38" s="1">
        <v>1</v>
      </c>
      <c r="F38" s="15" t="s">
        <v>761</v>
      </c>
      <c r="G38" s="15" t="s">
        <v>644</v>
      </c>
      <c r="H38" s="15" t="s">
        <v>645</v>
      </c>
      <c r="I38" s="1">
        <v>2010</v>
      </c>
      <c r="J38" s="15" t="s">
        <v>646</v>
      </c>
      <c r="K38" s="1" t="s">
        <v>650</v>
      </c>
      <c r="L38" s="15" t="s">
        <v>651</v>
      </c>
      <c r="M38" s="15" t="s">
        <v>648</v>
      </c>
      <c r="N38" s="15" t="s">
        <v>649</v>
      </c>
      <c r="O38" s="31">
        <v>1</v>
      </c>
      <c r="P38" s="15">
        <v>-16.920000000000002</v>
      </c>
      <c r="Q38" s="15">
        <v>-54.78</v>
      </c>
      <c r="S38" s="15">
        <v>1590</v>
      </c>
      <c r="T38" s="15">
        <v>18</v>
      </c>
      <c r="U38" s="15" t="s">
        <v>549</v>
      </c>
      <c r="V38" s="31">
        <v>1</v>
      </c>
      <c r="W38" s="16" t="s">
        <v>1158</v>
      </c>
      <c r="X38" s="15" t="s">
        <v>661</v>
      </c>
      <c r="Y38" s="1"/>
      <c r="Z38" s="15">
        <v>4.5</v>
      </c>
      <c r="AA38" s="15" t="s">
        <v>663</v>
      </c>
      <c r="AB38" s="15">
        <f t="shared" si="37"/>
        <v>5.27</v>
      </c>
      <c r="AC38" s="1">
        <v>3</v>
      </c>
      <c r="AD38" s="15">
        <f>1.724*13.6</f>
        <v>23.446400000000001</v>
      </c>
      <c r="AF38" s="15">
        <v>6.1</v>
      </c>
      <c r="AH38" s="15">
        <v>32</v>
      </c>
      <c r="AM38" s="1"/>
      <c r="AP38" s="15" t="s">
        <v>660</v>
      </c>
      <c r="AQ38" s="1">
        <v>1</v>
      </c>
      <c r="AR38" s="1">
        <v>4</v>
      </c>
      <c r="AT38" s="15" t="s">
        <v>993</v>
      </c>
      <c r="AW38" s="15">
        <v>2000</v>
      </c>
      <c r="AX38" s="15">
        <f t="shared" si="38"/>
        <v>2180</v>
      </c>
      <c r="AY38" s="15" t="s">
        <v>766</v>
      </c>
      <c r="AZ38" s="15">
        <f t="shared" si="34"/>
        <v>2180</v>
      </c>
      <c r="BA38" s="15">
        <f t="shared" si="35"/>
        <v>0.74402730375426618</v>
      </c>
      <c r="BB38" s="15">
        <f t="shared" si="36"/>
        <v>1308</v>
      </c>
      <c r="BP38" s="16"/>
      <c r="BQ38" s="16"/>
      <c r="BR38" s="16"/>
      <c r="BU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>
        <f t="shared" si="39"/>
        <v>4.9700000000000006</v>
      </c>
      <c r="FL38" s="16">
        <f t="shared" si="40"/>
        <v>5.27</v>
      </c>
      <c r="FM38" s="15">
        <v>4.2</v>
      </c>
      <c r="FN38" s="15">
        <v>0.2</v>
      </c>
      <c r="FO38" s="15">
        <f>FN38*SQRT(AR38)</f>
        <v>0.4</v>
      </c>
      <c r="FP38" s="15">
        <v>4.5</v>
      </c>
      <c r="FQ38" s="15">
        <v>0.1</v>
      </c>
      <c r="FR38" s="15">
        <f>FQ38*SQRT(AR38)</f>
        <v>0.2</v>
      </c>
      <c r="FS38" s="15">
        <f t="shared" si="6"/>
        <v>1.0714285714285714</v>
      </c>
      <c r="FT38" s="15">
        <f t="shared" si="7"/>
        <v>0.29999999999999982</v>
      </c>
      <c r="FU38" s="15">
        <f t="shared" si="8"/>
        <v>6.8992871486951435E-2</v>
      </c>
      <c r="FV38" s="15">
        <f>((FR38*FR38)/(AR38*FP38*FP38)+(FO38*FO38)/(AR38*FM38*FM38))</f>
        <v>2.7614008566389523E-3</v>
      </c>
      <c r="FX38" s="15">
        <f>17.1*1.724</f>
        <v>29.480400000000003</v>
      </c>
      <c r="FY38" s="15">
        <v>1.4</v>
      </c>
      <c r="FZ38" s="15">
        <f>FY38*SQRT(AR38)</f>
        <v>2.8</v>
      </c>
      <c r="GA38" s="15">
        <f>1.724*19.7</f>
        <v>33.962800000000001</v>
      </c>
      <c r="GB38" s="15">
        <v>0.2</v>
      </c>
      <c r="GC38" s="15">
        <f>GB38*SQRT(AR38)</f>
        <v>0.4</v>
      </c>
      <c r="GD38" s="15">
        <f t="shared" si="41"/>
        <v>1.1520467836257309</v>
      </c>
      <c r="GE38" s="15">
        <f t="shared" si="42"/>
        <v>4.4823999999999984</v>
      </c>
      <c r="GF38" s="15">
        <f t="shared" si="43"/>
        <v>0.14154017223532867</v>
      </c>
      <c r="GG38" s="15">
        <f>((GC38*GC38)/(AR38*GA38*GA38)+(FZ38*FZ38)/(AR38*FX38*FX38))</f>
        <v>2.2899000640180995E-3</v>
      </c>
      <c r="GT38" s="15">
        <v>16</v>
      </c>
      <c r="GU38" s="15">
        <v>1.85</v>
      </c>
      <c r="GV38" s="15">
        <f>GU38*SQRT(AR38)</f>
        <v>3.7</v>
      </c>
      <c r="GW38" s="15">
        <v>24</v>
      </c>
      <c r="GX38" s="15">
        <v>3.1</v>
      </c>
      <c r="GY38" s="15">
        <f>GX38*SQRT(AR38)</f>
        <v>6.2</v>
      </c>
      <c r="GZ38" s="15">
        <f t="shared" si="30"/>
        <v>1.5</v>
      </c>
      <c r="HA38" s="15">
        <f t="shared" si="31"/>
        <v>8</v>
      </c>
      <c r="HB38" s="15">
        <f t="shared" si="32"/>
        <v>0.40546510810816461</v>
      </c>
      <c r="HC38" s="15">
        <f>((GY38*GY38)/(AR38*GW38*GW38)+(GV38*GV38)/(AR38*GT38*GT38))</f>
        <v>3.0053168402777782E-2</v>
      </c>
      <c r="HY38" s="15">
        <f>AZ38</f>
        <v>2180</v>
      </c>
      <c r="HZ38" s="15">
        <f>BA38</f>
        <v>0.74402730375426618</v>
      </c>
      <c r="IA38" s="15">
        <f>BB38</f>
        <v>1308</v>
      </c>
    </row>
    <row r="39" spans="1:235" s="15" customFormat="1" ht="14.4" x14ac:dyDescent="0.25">
      <c r="A39" s="31">
        <v>37</v>
      </c>
      <c r="B39" s="1">
        <v>8</v>
      </c>
      <c r="C39" s="1">
        <v>9</v>
      </c>
      <c r="D39" s="15" t="s">
        <v>657</v>
      </c>
      <c r="E39" s="1">
        <v>1</v>
      </c>
      <c r="F39" s="15" t="s">
        <v>761</v>
      </c>
      <c r="G39" s="15" t="s">
        <v>644</v>
      </c>
      <c r="H39" s="15" t="s">
        <v>645</v>
      </c>
      <c r="I39" s="1">
        <v>2010</v>
      </c>
      <c r="J39" s="15" t="s">
        <v>646</v>
      </c>
      <c r="K39" s="1" t="s">
        <v>650</v>
      </c>
      <c r="L39" s="15" t="s">
        <v>651</v>
      </c>
      <c r="M39" s="15" t="s">
        <v>648</v>
      </c>
      <c r="N39" s="15" t="s">
        <v>649</v>
      </c>
      <c r="O39" s="31">
        <v>1</v>
      </c>
      <c r="P39" s="15">
        <v>-16.920000000000002</v>
      </c>
      <c r="Q39" s="15">
        <v>-54.78</v>
      </c>
      <c r="S39" s="15">
        <v>1590</v>
      </c>
      <c r="T39" s="15">
        <v>18</v>
      </c>
      <c r="U39" s="15" t="s">
        <v>549</v>
      </c>
      <c r="V39" s="31">
        <v>1</v>
      </c>
      <c r="W39" s="16" t="s">
        <v>1158</v>
      </c>
      <c r="X39" s="15" t="s">
        <v>661</v>
      </c>
      <c r="Y39" s="1"/>
      <c r="Z39" s="15">
        <v>4.5</v>
      </c>
      <c r="AA39" s="15" t="s">
        <v>663</v>
      </c>
      <c r="AB39" s="15">
        <f t="shared" si="37"/>
        <v>5.27</v>
      </c>
      <c r="AC39" s="1">
        <v>3</v>
      </c>
      <c r="AD39" s="15">
        <f>1.724*13.6</f>
        <v>23.446400000000001</v>
      </c>
      <c r="AF39" s="15">
        <v>6.1</v>
      </c>
      <c r="AH39" s="15">
        <v>32</v>
      </c>
      <c r="AM39" s="1"/>
      <c r="AP39" s="15" t="s">
        <v>660</v>
      </c>
      <c r="AQ39" s="1">
        <v>1</v>
      </c>
      <c r="AR39" s="1">
        <v>4</v>
      </c>
      <c r="AT39" s="15" t="s">
        <v>993</v>
      </c>
      <c r="AW39" s="15">
        <v>4000</v>
      </c>
      <c r="AX39" s="15">
        <f t="shared" si="38"/>
        <v>4360</v>
      </c>
      <c r="AY39" s="15" t="s">
        <v>766</v>
      </c>
      <c r="AZ39" s="15">
        <f t="shared" si="34"/>
        <v>4360</v>
      </c>
      <c r="BA39" s="15">
        <f t="shared" si="35"/>
        <v>1.4880546075085324</v>
      </c>
      <c r="BB39" s="15">
        <f t="shared" si="36"/>
        <v>2616</v>
      </c>
      <c r="BP39" s="16"/>
      <c r="BQ39" s="16"/>
      <c r="BR39" s="16"/>
      <c r="BU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>
        <f t="shared" si="39"/>
        <v>4.9700000000000006</v>
      </c>
      <c r="FL39" s="16">
        <f t="shared" si="40"/>
        <v>5.57</v>
      </c>
      <c r="FM39" s="15">
        <v>4.2</v>
      </c>
      <c r="FN39" s="15">
        <v>0.2</v>
      </c>
      <c r="FO39" s="15">
        <f>FN39*SQRT(AR39)</f>
        <v>0.4</v>
      </c>
      <c r="FP39" s="15">
        <v>4.8</v>
      </c>
      <c r="FQ39" s="15">
        <v>0.3</v>
      </c>
      <c r="FR39" s="15">
        <f>FQ39*SQRT(AR39)</f>
        <v>0.6</v>
      </c>
      <c r="FS39" s="15">
        <f t="shared" si="6"/>
        <v>1.1428571428571428</v>
      </c>
      <c r="FT39" s="15">
        <f t="shared" si="7"/>
        <v>0.59999999999999964</v>
      </c>
      <c r="FU39" s="15">
        <f t="shared" si="8"/>
        <v>0.13353139262452252</v>
      </c>
      <c r="FV39" s="15">
        <f>((FR39*FR39)/(AR39*FP39*FP39)+(FO39*FO39)/(AR39*FM39*FM39))</f>
        <v>6.1738236961451252E-3</v>
      </c>
      <c r="FX39" s="15">
        <f>17.1*1.724</f>
        <v>29.480400000000003</v>
      </c>
      <c r="FY39" s="15">
        <v>1.4</v>
      </c>
      <c r="FZ39" s="15">
        <f>FY39*SQRT(AR39)</f>
        <v>2.8</v>
      </c>
      <c r="GA39" s="15">
        <f>1.724*18.3</f>
        <v>31.549200000000003</v>
      </c>
      <c r="GB39" s="15">
        <v>1.7</v>
      </c>
      <c r="GC39" s="15">
        <f>GB39*SQRT(AR39)</f>
        <v>3.4</v>
      </c>
      <c r="GD39" s="15">
        <f t="shared" si="41"/>
        <v>1.0701754385964912</v>
      </c>
      <c r="GE39" s="15">
        <f t="shared" si="42"/>
        <v>2.0687999999999995</v>
      </c>
      <c r="GF39" s="15">
        <f t="shared" si="43"/>
        <v>6.7822596338761088E-2</v>
      </c>
      <c r="GG39" s="15">
        <f>((GC39*GC39)/(AR39*GA39*GA39)+(FZ39*FZ39)/(AR39*FX39*FX39))</f>
        <v>5.1587175325909281E-3</v>
      </c>
      <c r="GT39" s="15">
        <v>16</v>
      </c>
      <c r="GU39" s="15">
        <v>1.85</v>
      </c>
      <c r="GV39" s="15">
        <f>GU39*SQRT(AR39)</f>
        <v>3.7</v>
      </c>
      <c r="GW39" s="15">
        <v>31</v>
      </c>
      <c r="GX39" s="15">
        <v>3.5</v>
      </c>
      <c r="GY39" s="15">
        <f>GX39*SQRT(AR39)</f>
        <v>7</v>
      </c>
      <c r="GZ39" s="15">
        <f t="shared" si="30"/>
        <v>1.9375</v>
      </c>
      <c r="HA39" s="15">
        <f t="shared" si="31"/>
        <v>15</v>
      </c>
      <c r="HB39" s="15">
        <f t="shared" si="32"/>
        <v>0.66139848224536513</v>
      </c>
      <c r="HC39" s="15">
        <f>((GY39*GY39)/(AR39*GW39*GW39)+(GV39*GV39)/(AR39*GT39*GT39))</f>
        <v>2.6116279022502603E-2</v>
      </c>
      <c r="HY39" s="15">
        <f>AZ39</f>
        <v>4360</v>
      </c>
      <c r="HZ39" s="15">
        <f>BA39</f>
        <v>1.4880546075085324</v>
      </c>
      <c r="IA39" s="15">
        <f>BB39</f>
        <v>2616</v>
      </c>
    </row>
    <row r="40" spans="1:235" s="15" customFormat="1" ht="14.4" x14ac:dyDescent="0.25">
      <c r="A40" s="31">
        <v>38</v>
      </c>
      <c r="B40" s="1">
        <v>8</v>
      </c>
      <c r="C40" s="1">
        <v>9</v>
      </c>
      <c r="D40" s="15" t="s">
        <v>659</v>
      </c>
      <c r="E40" s="1">
        <v>1</v>
      </c>
      <c r="F40" s="15" t="s">
        <v>761</v>
      </c>
      <c r="G40" s="15" t="s">
        <v>644</v>
      </c>
      <c r="H40" s="15" t="s">
        <v>645</v>
      </c>
      <c r="I40" s="1">
        <v>2010</v>
      </c>
      <c r="J40" s="15" t="s">
        <v>646</v>
      </c>
      <c r="K40" s="1" t="s">
        <v>650</v>
      </c>
      <c r="L40" s="15" t="s">
        <v>651</v>
      </c>
      <c r="M40" s="15" t="s">
        <v>648</v>
      </c>
      <c r="N40" s="15" t="s">
        <v>649</v>
      </c>
      <c r="O40" s="31">
        <v>1</v>
      </c>
      <c r="P40" s="15">
        <v>-16.920000000000002</v>
      </c>
      <c r="Q40" s="15">
        <v>-54.78</v>
      </c>
      <c r="S40" s="15">
        <v>1590</v>
      </c>
      <c r="T40" s="15">
        <v>18</v>
      </c>
      <c r="U40" s="15" t="s">
        <v>549</v>
      </c>
      <c r="V40" s="31">
        <v>1</v>
      </c>
      <c r="W40" s="16" t="s">
        <v>1158</v>
      </c>
      <c r="X40" s="15" t="s">
        <v>661</v>
      </c>
      <c r="Y40" s="1"/>
      <c r="Z40" s="15">
        <v>4.5</v>
      </c>
      <c r="AA40" s="15" t="s">
        <v>663</v>
      </c>
      <c r="AB40" s="15">
        <f t="shared" si="37"/>
        <v>5.27</v>
      </c>
      <c r="AC40" s="1">
        <v>3</v>
      </c>
      <c r="AD40" s="15">
        <f>1.724*13.6</f>
        <v>23.446400000000001</v>
      </c>
      <c r="AF40" s="15">
        <v>6.1</v>
      </c>
      <c r="AH40" s="15">
        <v>32</v>
      </c>
      <c r="AM40" s="1"/>
      <c r="AP40" s="15" t="s">
        <v>660</v>
      </c>
      <c r="AQ40" s="1">
        <v>1</v>
      </c>
      <c r="AR40" s="1">
        <v>4</v>
      </c>
      <c r="AT40" s="15" t="s">
        <v>993</v>
      </c>
      <c r="AW40" s="15">
        <v>6000</v>
      </c>
      <c r="AX40" s="15">
        <f t="shared" si="38"/>
        <v>6540.0000000000009</v>
      </c>
      <c r="AY40" s="15" t="s">
        <v>766</v>
      </c>
      <c r="AZ40" s="15">
        <f t="shared" si="34"/>
        <v>6540.0000000000009</v>
      </c>
      <c r="BA40" s="15">
        <f t="shared" si="35"/>
        <v>2.2320819112627985</v>
      </c>
      <c r="BB40" s="15">
        <f t="shared" si="36"/>
        <v>3924.0000000000005</v>
      </c>
      <c r="BP40" s="16"/>
      <c r="BQ40" s="16"/>
      <c r="BR40" s="16"/>
      <c r="BU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>
        <f t="shared" si="39"/>
        <v>4.9700000000000006</v>
      </c>
      <c r="FL40" s="16">
        <f t="shared" si="40"/>
        <v>5.57</v>
      </c>
      <c r="FM40" s="15">
        <v>4.2</v>
      </c>
      <c r="FN40" s="15">
        <v>0.2</v>
      </c>
      <c r="FO40" s="15">
        <f>FN40*SQRT(AR40)</f>
        <v>0.4</v>
      </c>
      <c r="FP40" s="15">
        <v>4.8</v>
      </c>
      <c r="FQ40" s="15">
        <v>0.2</v>
      </c>
      <c r="FR40" s="15">
        <f>FQ40*SQRT(AR40)</f>
        <v>0.4</v>
      </c>
      <c r="FS40" s="15">
        <f t="shared" si="6"/>
        <v>1.1428571428571428</v>
      </c>
      <c r="FT40" s="15">
        <f t="shared" si="7"/>
        <v>0.59999999999999964</v>
      </c>
      <c r="FU40" s="15">
        <f t="shared" si="8"/>
        <v>0.13353139262452252</v>
      </c>
      <c r="FV40" s="15">
        <f>((FR40*FR40)/(AR40*FP40*FP40)+(FO40*FO40)/(AR40*FM40*FM40))</f>
        <v>4.0036848072562362E-3</v>
      </c>
      <c r="FX40" s="15">
        <f>17.1*1.724</f>
        <v>29.480400000000003</v>
      </c>
      <c r="FY40" s="15">
        <v>1.4</v>
      </c>
      <c r="FZ40" s="15">
        <f>FY40*SQRT(AR40)</f>
        <v>2.8</v>
      </c>
      <c r="GA40" s="15">
        <f>1.724*18.4</f>
        <v>31.721599999999999</v>
      </c>
      <c r="GB40" s="15">
        <v>2</v>
      </c>
      <c r="GC40" s="15">
        <f>GB40*SQRT(AR40)</f>
        <v>4</v>
      </c>
      <c r="GD40" s="15">
        <f t="shared" si="41"/>
        <v>1.0760233918128654</v>
      </c>
      <c r="GE40" s="15">
        <f t="shared" si="42"/>
        <v>2.2411999999999956</v>
      </c>
      <c r="GF40" s="15">
        <f t="shared" si="43"/>
        <v>7.3272201106325596E-2</v>
      </c>
      <c r="GG40" s="15">
        <f>((GC40*GC40)/(AR40*GA40*GA40)+(FZ40*FZ40)/(AR40*FX40*FX40))</f>
        <v>6.2303382903331119E-3</v>
      </c>
      <c r="GT40" s="15">
        <v>16</v>
      </c>
      <c r="GU40" s="15">
        <v>1.85</v>
      </c>
      <c r="GV40" s="15">
        <f>GU40*SQRT(AR40)</f>
        <v>3.7</v>
      </c>
      <c r="GW40" s="15">
        <v>39</v>
      </c>
      <c r="GX40" s="15">
        <v>2.5</v>
      </c>
      <c r="GY40" s="15">
        <f>GX40*SQRT(AR40)</f>
        <v>5</v>
      </c>
      <c r="GZ40" s="15">
        <f t="shared" si="30"/>
        <v>2.4375</v>
      </c>
      <c r="HA40" s="15">
        <f t="shared" si="31"/>
        <v>23</v>
      </c>
      <c r="HB40" s="15">
        <f t="shared" si="32"/>
        <v>0.89097292388986515</v>
      </c>
      <c r="HC40" s="15">
        <f>((GY40*GY40)/(AR40*GW40*GW40)+(GV40*GV40)/(AR40*GT40*GT40))</f>
        <v>1.747827934952334E-2</v>
      </c>
      <c r="HY40" s="15">
        <f>AZ40</f>
        <v>6540.0000000000009</v>
      </c>
      <c r="HZ40" s="15">
        <f>BA40</f>
        <v>2.2320819112627985</v>
      </c>
      <c r="IA40" s="15">
        <f>BB40</f>
        <v>3924.0000000000005</v>
      </c>
    </row>
    <row r="41" spans="1:235" s="15" customFormat="1" x14ac:dyDescent="0.25">
      <c r="A41" s="31">
        <v>39</v>
      </c>
      <c r="B41" s="1">
        <v>9</v>
      </c>
      <c r="C41" s="1">
        <v>10</v>
      </c>
      <c r="D41" s="15" t="s">
        <v>673</v>
      </c>
      <c r="E41" s="1">
        <v>1</v>
      </c>
      <c r="F41" s="15" t="s">
        <v>761</v>
      </c>
      <c r="G41" s="15" t="s">
        <v>668</v>
      </c>
      <c r="H41" s="15" t="s">
        <v>669</v>
      </c>
      <c r="I41" s="1">
        <v>2016</v>
      </c>
      <c r="J41" s="15" t="s">
        <v>670</v>
      </c>
      <c r="K41" s="1">
        <v>2015</v>
      </c>
      <c r="L41" s="15" t="s">
        <v>671</v>
      </c>
      <c r="M41" s="15" t="s">
        <v>480</v>
      </c>
      <c r="N41" s="15" t="s">
        <v>520</v>
      </c>
      <c r="O41" s="31">
        <v>2</v>
      </c>
      <c r="P41" s="15">
        <v>35.270000000000003</v>
      </c>
      <c r="Q41" s="15">
        <v>117.98</v>
      </c>
      <c r="U41" s="15" t="s">
        <v>549</v>
      </c>
      <c r="V41" s="31">
        <v>1</v>
      </c>
      <c r="W41" s="16" t="s">
        <v>1167</v>
      </c>
      <c r="X41" s="15" t="s">
        <v>681</v>
      </c>
      <c r="Y41" s="1">
        <v>2</v>
      </c>
      <c r="Z41" s="15">
        <v>5.73</v>
      </c>
      <c r="AA41" s="15" t="s">
        <v>574</v>
      </c>
      <c r="AB41" s="15">
        <f t="shared" ref="AB41:AB48" si="44">Z41</f>
        <v>5.73</v>
      </c>
      <c r="AC41" s="1">
        <v>4</v>
      </c>
      <c r="AD41" s="15">
        <v>7.5</v>
      </c>
      <c r="AM41" s="1">
        <v>1</v>
      </c>
      <c r="AP41" s="15" t="s">
        <v>682</v>
      </c>
      <c r="AQ41" s="1">
        <v>2</v>
      </c>
      <c r="AR41" s="1">
        <v>3</v>
      </c>
      <c r="AT41" s="15" t="s">
        <v>545</v>
      </c>
      <c r="AW41" s="15">
        <v>450</v>
      </c>
      <c r="AX41" s="15">
        <f t="shared" ref="AX41:AX48" si="45">AW41*1.78</f>
        <v>801</v>
      </c>
      <c r="AY41" s="15" t="s">
        <v>766</v>
      </c>
      <c r="AZ41" s="15">
        <f t="shared" si="34"/>
        <v>801</v>
      </c>
      <c r="BA41" s="15">
        <f t="shared" si="35"/>
        <v>0.27337883959044362</v>
      </c>
      <c r="BB41" s="15">
        <f t="shared" si="36"/>
        <v>480.59999999999997</v>
      </c>
      <c r="BP41" s="16"/>
      <c r="BQ41" s="16"/>
      <c r="BR41" s="16"/>
      <c r="BU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>
        <f t="shared" ref="FK41:FK48" si="46">FM41</f>
        <v>5.8</v>
      </c>
      <c r="FL41" s="16">
        <f t="shared" ref="FL41:FL48" si="47">FP41</f>
        <v>6.15</v>
      </c>
      <c r="FM41" s="15">
        <v>5.8</v>
      </c>
      <c r="FN41" s="15">
        <v>0.5</v>
      </c>
      <c r="FO41" s="15">
        <f>FN41*SQRT(AR41)</f>
        <v>0.8660254037844386</v>
      </c>
      <c r="FP41" s="15">
        <v>6.15</v>
      </c>
      <c r="FQ41" s="15">
        <v>0.6</v>
      </c>
      <c r="FR41" s="15">
        <f>FQ41*SQRT(AR41)</f>
        <v>1.0392304845413263</v>
      </c>
      <c r="FS41" s="15">
        <f t="shared" si="6"/>
        <v>1.0603448275862071</v>
      </c>
      <c r="FT41" s="15">
        <f t="shared" si="7"/>
        <v>0.35000000000000053</v>
      </c>
      <c r="FU41" s="15">
        <f t="shared" si="8"/>
        <v>5.8594164266053017E-2</v>
      </c>
      <c r="FV41" s="15">
        <f>((FR41*FR41)/(AR41*FP41*FP41)+(FO41*FO41)/(AR41*FM41*FM41))</f>
        <v>1.6949772975007087E-2</v>
      </c>
      <c r="HE41" s="15">
        <v>46501</v>
      </c>
      <c r="HF41" s="15">
        <v>465</v>
      </c>
      <c r="HG41" s="15">
        <f>HF41*SQRT(AR41)</f>
        <v>805.40362551952785</v>
      </c>
      <c r="HH41" s="15">
        <v>50179</v>
      </c>
      <c r="HI41" s="15">
        <v>502</v>
      </c>
      <c r="HJ41" s="15">
        <f>HI41*SQRT(AR41)</f>
        <v>869.48950539957639</v>
      </c>
      <c r="HK41" s="15">
        <f t="shared" ref="HK41:HK48" si="48">HH41/HE41</f>
        <v>1.0790950732242317</v>
      </c>
      <c r="HL41" s="15">
        <f t="shared" ref="HL41:HL48" si="49">HH41-HE41</f>
        <v>3678</v>
      </c>
      <c r="HM41" s="15">
        <f t="shared" ref="HM41:HM48" si="50">LN(HH41)-LN(HE41)</f>
        <v>7.6122794743017863E-2</v>
      </c>
      <c r="HN41" s="15">
        <f>((HJ41*HJ41)/(AR41*HH41*HH41)+(HG41*HG41)/(AR41*HE41*HE41))</f>
        <v>2.0007941693058135E-4</v>
      </c>
      <c r="HP41" s="15" t="s">
        <v>666</v>
      </c>
      <c r="HQ41" s="18"/>
      <c r="HV41" s="15">
        <f t="shared" ref="HV41:HV48" si="51">HX41/HW41/100</f>
        <v>63.134833872357476</v>
      </c>
      <c r="HW41" s="15">
        <f t="shared" ref="HW41:HW48" si="52">HM41</f>
        <v>7.6122794743017863E-2</v>
      </c>
      <c r="HX41" s="15">
        <f>BB41</f>
        <v>480.59999999999997</v>
      </c>
      <c r="HY41" s="15">
        <f>AZ41</f>
        <v>801</v>
      </c>
      <c r="HZ41" s="15">
        <f>BA41</f>
        <v>0.27337883959044362</v>
      </c>
      <c r="IA41" s="15">
        <f>BB41</f>
        <v>480.59999999999997</v>
      </c>
    </row>
    <row r="42" spans="1:235" s="15" customFormat="1" x14ac:dyDescent="0.25">
      <c r="A42" s="31">
        <v>40</v>
      </c>
      <c r="B42" s="1">
        <v>9</v>
      </c>
      <c r="C42" s="1">
        <v>10</v>
      </c>
      <c r="D42" s="15" t="s">
        <v>674</v>
      </c>
      <c r="E42" s="1">
        <v>1</v>
      </c>
      <c r="F42" s="15" t="s">
        <v>761</v>
      </c>
      <c r="G42" s="15" t="s">
        <v>668</v>
      </c>
      <c r="H42" s="15" t="s">
        <v>669</v>
      </c>
      <c r="I42" s="1">
        <v>2016</v>
      </c>
      <c r="J42" s="15" t="s">
        <v>670</v>
      </c>
      <c r="K42" s="1">
        <v>2015</v>
      </c>
      <c r="L42" s="15" t="s">
        <v>671</v>
      </c>
      <c r="M42" s="15" t="s">
        <v>480</v>
      </c>
      <c r="N42" s="15" t="s">
        <v>520</v>
      </c>
      <c r="O42" s="31">
        <v>2</v>
      </c>
      <c r="P42" s="15">
        <v>35.270000000000003</v>
      </c>
      <c r="Q42" s="15">
        <v>117.98</v>
      </c>
      <c r="U42" s="15" t="s">
        <v>549</v>
      </c>
      <c r="V42" s="31">
        <v>1</v>
      </c>
      <c r="W42" s="16" t="s">
        <v>1167</v>
      </c>
      <c r="X42" s="15" t="s">
        <v>681</v>
      </c>
      <c r="Y42" s="1">
        <v>2</v>
      </c>
      <c r="Z42" s="15">
        <v>5.73</v>
      </c>
      <c r="AA42" s="15" t="s">
        <v>574</v>
      </c>
      <c r="AB42" s="15">
        <f t="shared" si="44"/>
        <v>5.73</v>
      </c>
      <c r="AC42" s="1">
        <v>4</v>
      </c>
      <c r="AD42" s="15">
        <v>7.5</v>
      </c>
      <c r="AM42" s="1">
        <v>1</v>
      </c>
      <c r="AP42" s="15" t="s">
        <v>682</v>
      </c>
      <c r="AQ42" s="1">
        <v>2</v>
      </c>
      <c r="AR42" s="1">
        <v>3</v>
      </c>
      <c r="AT42" s="15" t="s">
        <v>545</v>
      </c>
      <c r="AW42" s="15">
        <v>900</v>
      </c>
      <c r="AX42" s="15">
        <f t="shared" si="45"/>
        <v>1602</v>
      </c>
      <c r="AY42" s="15" t="s">
        <v>766</v>
      </c>
      <c r="AZ42" s="15">
        <f t="shared" si="34"/>
        <v>1602</v>
      </c>
      <c r="BA42" s="15">
        <f t="shared" si="35"/>
        <v>0.54675767918088725</v>
      </c>
      <c r="BB42" s="15">
        <f t="shared" si="36"/>
        <v>961.19999999999993</v>
      </c>
      <c r="BP42" s="16"/>
      <c r="BQ42" s="16"/>
      <c r="BR42" s="16"/>
      <c r="BU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>
        <f t="shared" si="46"/>
        <v>5.8</v>
      </c>
      <c r="FL42" s="16">
        <f t="shared" si="47"/>
        <v>6.33</v>
      </c>
      <c r="FM42" s="15">
        <v>5.8</v>
      </c>
      <c r="FN42" s="15">
        <v>0.5</v>
      </c>
      <c r="FO42" s="15">
        <f>FN42*SQRT(AR42)</f>
        <v>0.8660254037844386</v>
      </c>
      <c r="FP42" s="15">
        <v>6.33</v>
      </c>
      <c r="FQ42" s="15">
        <v>0.6</v>
      </c>
      <c r="FR42" s="15">
        <f>FQ42*SQRT(AR42)</f>
        <v>1.0392304845413263</v>
      </c>
      <c r="FS42" s="15">
        <f t="shared" si="6"/>
        <v>1.0913793103448277</v>
      </c>
      <c r="FT42" s="15">
        <f t="shared" si="7"/>
        <v>0.53000000000000025</v>
      </c>
      <c r="FU42" s="15">
        <f t="shared" si="8"/>
        <v>8.7442318603711211E-2</v>
      </c>
      <c r="FV42" s="15">
        <f>((FR42*FR42)/(AR42*FP42*FP42)+(FO42*FO42)/(AR42*FM42*FM42))</f>
        <v>1.6416153170218991E-2</v>
      </c>
      <c r="HE42" s="15">
        <v>46501</v>
      </c>
      <c r="HF42" s="15">
        <v>465</v>
      </c>
      <c r="HG42" s="15">
        <f>HF42*SQRT(AR42)</f>
        <v>805.40362551952785</v>
      </c>
      <c r="HH42" s="15">
        <v>49877</v>
      </c>
      <c r="HI42" s="15">
        <v>499</v>
      </c>
      <c r="HJ42" s="15">
        <f>HI42*SQRT(AR42)</f>
        <v>864.29335297686976</v>
      </c>
      <c r="HK42" s="15">
        <f t="shared" si="48"/>
        <v>1.0726005892346402</v>
      </c>
      <c r="HL42" s="15">
        <f t="shared" si="49"/>
        <v>3376</v>
      </c>
      <c r="HM42" s="15">
        <f t="shared" si="50"/>
        <v>7.0086156918243603E-2</v>
      </c>
      <c r="HN42" s="15">
        <f>((HJ42*HJ42)/(AR42*HH42*HH42)+(HG42*HG42)/(AR42*HE42*HE42))</f>
        <v>2.0008794720608434E-4</v>
      </c>
      <c r="HP42" s="15" t="s">
        <v>666</v>
      </c>
      <c r="HQ42" s="18"/>
      <c r="HV42" s="15">
        <f t="shared" si="51"/>
        <v>137.14548525199518</v>
      </c>
      <c r="HW42" s="15">
        <f t="shared" si="52"/>
        <v>7.0086156918243603E-2</v>
      </c>
      <c r="HX42" s="15">
        <f>BB42</f>
        <v>961.19999999999993</v>
      </c>
      <c r="HY42" s="15">
        <f>AZ42</f>
        <v>1602</v>
      </c>
      <c r="HZ42" s="15">
        <f>BA42</f>
        <v>0.54675767918088725</v>
      </c>
      <c r="IA42" s="15">
        <f>BB42</f>
        <v>961.19999999999993</v>
      </c>
    </row>
    <row r="43" spans="1:235" s="15" customFormat="1" x14ac:dyDescent="0.25">
      <c r="A43" s="31">
        <v>41</v>
      </c>
      <c r="B43" s="1">
        <v>9</v>
      </c>
      <c r="C43" s="1">
        <v>10</v>
      </c>
      <c r="D43" s="15" t="s">
        <v>675</v>
      </c>
      <c r="E43" s="1">
        <v>1</v>
      </c>
      <c r="F43" s="15" t="s">
        <v>761</v>
      </c>
      <c r="G43" s="15" t="s">
        <v>668</v>
      </c>
      <c r="H43" s="15" t="s">
        <v>669</v>
      </c>
      <c r="I43" s="1">
        <v>2016</v>
      </c>
      <c r="J43" s="15" t="s">
        <v>670</v>
      </c>
      <c r="K43" s="1">
        <v>2015</v>
      </c>
      <c r="L43" s="15" t="s">
        <v>671</v>
      </c>
      <c r="M43" s="15" t="s">
        <v>480</v>
      </c>
      <c r="N43" s="15" t="s">
        <v>520</v>
      </c>
      <c r="O43" s="31">
        <v>2</v>
      </c>
      <c r="P43" s="15">
        <v>35.270000000000003</v>
      </c>
      <c r="Q43" s="15">
        <v>117.98</v>
      </c>
      <c r="U43" s="15" t="s">
        <v>549</v>
      </c>
      <c r="V43" s="31">
        <v>1</v>
      </c>
      <c r="W43" s="16" t="s">
        <v>1167</v>
      </c>
      <c r="X43" s="15" t="s">
        <v>681</v>
      </c>
      <c r="Y43" s="1">
        <v>2</v>
      </c>
      <c r="Z43" s="15">
        <v>5.73</v>
      </c>
      <c r="AA43" s="15" t="s">
        <v>574</v>
      </c>
      <c r="AB43" s="15">
        <f t="shared" si="44"/>
        <v>5.73</v>
      </c>
      <c r="AC43" s="1">
        <v>4</v>
      </c>
      <c r="AD43" s="15">
        <v>7.5</v>
      </c>
      <c r="AM43" s="1">
        <v>1</v>
      </c>
      <c r="AP43" s="15" t="s">
        <v>682</v>
      </c>
      <c r="AQ43" s="1">
        <v>2</v>
      </c>
      <c r="AR43" s="1">
        <v>3</v>
      </c>
      <c r="AT43" s="15" t="s">
        <v>545</v>
      </c>
      <c r="AW43" s="15">
        <v>1350</v>
      </c>
      <c r="AX43" s="15">
        <f t="shared" si="45"/>
        <v>2403</v>
      </c>
      <c r="AY43" s="15" t="s">
        <v>766</v>
      </c>
      <c r="AZ43" s="15">
        <f t="shared" si="34"/>
        <v>2403</v>
      </c>
      <c r="BA43" s="15">
        <f t="shared" si="35"/>
        <v>0.82013651877133098</v>
      </c>
      <c r="BB43" s="15">
        <f t="shared" si="36"/>
        <v>1441.8</v>
      </c>
      <c r="BP43" s="16"/>
      <c r="BQ43" s="16"/>
      <c r="BR43" s="16"/>
      <c r="BU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>
        <f t="shared" si="46"/>
        <v>5.8</v>
      </c>
      <c r="FL43" s="16">
        <f t="shared" si="47"/>
        <v>6.55</v>
      </c>
      <c r="FM43" s="15">
        <v>5.8</v>
      </c>
      <c r="FN43" s="15">
        <v>0.5</v>
      </c>
      <c r="FO43" s="15">
        <f>FN43*SQRT(AR43)</f>
        <v>0.8660254037844386</v>
      </c>
      <c r="FP43" s="15">
        <v>6.55</v>
      </c>
      <c r="FQ43" s="15">
        <v>0.6</v>
      </c>
      <c r="FR43" s="15">
        <f>FQ43*SQRT(AR43)</f>
        <v>1.0392304845413263</v>
      </c>
      <c r="FS43" s="15">
        <f t="shared" si="6"/>
        <v>1.1293103448275863</v>
      </c>
      <c r="FT43" s="15">
        <f t="shared" si="7"/>
        <v>0.75</v>
      </c>
      <c r="FU43" s="15">
        <f t="shared" si="8"/>
        <v>0.12160713209478691</v>
      </c>
      <c r="FV43" s="15">
        <f>((FR43*FR43)/(AR43*FP43*FP43)+(FO43*FO43)/(AR43*FM43*FM43))</f>
        <v>1.582274841171611E-2</v>
      </c>
      <c r="HE43" s="15">
        <v>46501</v>
      </c>
      <c r="HF43" s="15">
        <v>465</v>
      </c>
      <c r="HG43" s="15">
        <f>HF43*SQRT(AR43)</f>
        <v>805.40362551952785</v>
      </c>
      <c r="HH43" s="15">
        <v>49490</v>
      </c>
      <c r="HI43" s="15">
        <v>495</v>
      </c>
      <c r="HJ43" s="15">
        <f>HI43*SQRT(AR43)</f>
        <v>857.36514974659417</v>
      </c>
      <c r="HK43" s="15">
        <f t="shared" si="48"/>
        <v>1.0642781875658589</v>
      </c>
      <c r="HL43" s="15">
        <f t="shared" si="49"/>
        <v>2989</v>
      </c>
      <c r="HM43" s="15">
        <f t="shared" si="50"/>
        <v>6.2296811225378335E-2</v>
      </c>
      <c r="HN43" s="15">
        <f>((HJ43*HJ43)/(AR43*HH43*HH43)+(HG43*HG43)/(AR43*HE43*HE43))</f>
        <v>2.0003611535082298E-4</v>
      </c>
      <c r="HP43" s="15" t="s">
        <v>666</v>
      </c>
      <c r="HQ43" s="18"/>
      <c r="HV43" s="15">
        <f t="shared" si="51"/>
        <v>231.44041751733235</v>
      </c>
      <c r="HW43" s="15">
        <f t="shared" si="52"/>
        <v>6.2296811225378335E-2</v>
      </c>
      <c r="HX43" s="15">
        <f>BB43</f>
        <v>1441.8</v>
      </c>
      <c r="HY43" s="15">
        <f>AZ43</f>
        <v>2403</v>
      </c>
      <c r="HZ43" s="15">
        <f>BA43</f>
        <v>0.82013651877133098</v>
      </c>
      <c r="IA43" s="15">
        <f>BB43</f>
        <v>1441.8</v>
      </c>
    </row>
    <row r="44" spans="1:235" s="15" customFormat="1" x14ac:dyDescent="0.25">
      <c r="A44" s="31">
        <v>42</v>
      </c>
      <c r="B44" s="1">
        <v>9</v>
      </c>
      <c r="C44" s="1">
        <v>10</v>
      </c>
      <c r="D44" s="15" t="s">
        <v>676</v>
      </c>
      <c r="E44" s="1">
        <v>1</v>
      </c>
      <c r="F44" s="15" t="s">
        <v>761</v>
      </c>
      <c r="G44" s="15" t="s">
        <v>668</v>
      </c>
      <c r="H44" s="15" t="s">
        <v>669</v>
      </c>
      <c r="I44" s="1">
        <v>2016</v>
      </c>
      <c r="J44" s="15" t="s">
        <v>670</v>
      </c>
      <c r="K44" s="1">
        <v>2015</v>
      </c>
      <c r="L44" s="15" t="s">
        <v>671</v>
      </c>
      <c r="M44" s="15" t="s">
        <v>480</v>
      </c>
      <c r="N44" s="15" t="s">
        <v>520</v>
      </c>
      <c r="O44" s="31">
        <v>2</v>
      </c>
      <c r="P44" s="15">
        <v>35.270000000000003</v>
      </c>
      <c r="Q44" s="15">
        <v>117.98</v>
      </c>
      <c r="U44" s="15" t="s">
        <v>549</v>
      </c>
      <c r="V44" s="31">
        <v>1</v>
      </c>
      <c r="W44" s="16" t="s">
        <v>1167</v>
      </c>
      <c r="X44" s="15" t="s">
        <v>681</v>
      </c>
      <c r="Y44" s="1">
        <v>2</v>
      </c>
      <c r="Z44" s="15">
        <v>5.73</v>
      </c>
      <c r="AA44" s="15" t="s">
        <v>574</v>
      </c>
      <c r="AB44" s="15">
        <f t="shared" si="44"/>
        <v>5.73</v>
      </c>
      <c r="AC44" s="1">
        <v>4</v>
      </c>
      <c r="AD44" s="15">
        <v>7.5</v>
      </c>
      <c r="AM44" s="1">
        <v>1</v>
      </c>
      <c r="AP44" s="15" t="s">
        <v>682</v>
      </c>
      <c r="AQ44" s="1">
        <v>2</v>
      </c>
      <c r="AR44" s="1">
        <v>3</v>
      </c>
      <c r="AT44" s="15" t="s">
        <v>545</v>
      </c>
      <c r="AW44" s="15">
        <v>1800</v>
      </c>
      <c r="AX44" s="15">
        <f t="shared" si="45"/>
        <v>3204</v>
      </c>
      <c r="AY44" s="15" t="s">
        <v>766</v>
      </c>
      <c r="AZ44" s="15">
        <f t="shared" si="34"/>
        <v>3204</v>
      </c>
      <c r="BA44" s="15">
        <f t="shared" si="35"/>
        <v>1.0935153583617745</v>
      </c>
      <c r="BB44" s="15">
        <f t="shared" si="36"/>
        <v>1922.3999999999999</v>
      </c>
      <c r="BP44" s="16"/>
      <c r="BQ44" s="16"/>
      <c r="BR44" s="16"/>
      <c r="BU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>
        <f t="shared" si="46"/>
        <v>5.8</v>
      </c>
      <c r="FL44" s="16">
        <f t="shared" si="47"/>
        <v>6.71</v>
      </c>
      <c r="FM44" s="15">
        <v>5.8</v>
      </c>
      <c r="FN44" s="15">
        <v>0.5</v>
      </c>
      <c r="FO44" s="15">
        <f>FN44*SQRT(AR44)</f>
        <v>0.8660254037844386</v>
      </c>
      <c r="FP44" s="15">
        <v>6.71</v>
      </c>
      <c r="FQ44" s="15">
        <v>0.6</v>
      </c>
      <c r="FR44" s="15">
        <f>FQ44*SQRT(AR44)</f>
        <v>1.0392304845413263</v>
      </c>
      <c r="FS44" s="15">
        <f t="shared" si="6"/>
        <v>1.1568965517241379</v>
      </c>
      <c r="FT44" s="15">
        <f t="shared" si="7"/>
        <v>0.91000000000000014</v>
      </c>
      <c r="FU44" s="15">
        <f t="shared" si="8"/>
        <v>0.1457410334312168</v>
      </c>
      <c r="FV44" s="15">
        <f>((FR44*FR44)/(AR44*FP44*FP44)+(FO44*FO44)/(AR44*FM44*FM44))</f>
        <v>1.5427346861965043E-2</v>
      </c>
      <c r="HE44" s="15">
        <v>46501</v>
      </c>
      <c r="HF44" s="15">
        <v>465</v>
      </c>
      <c r="HG44" s="15">
        <f>HF44*SQRT(AR44)</f>
        <v>805.40362551952785</v>
      </c>
      <c r="HH44" s="15">
        <v>49173</v>
      </c>
      <c r="HI44" s="15">
        <v>492</v>
      </c>
      <c r="HJ44" s="15">
        <f>HI44*SQRT(AR44)</f>
        <v>852.16899732388754</v>
      </c>
      <c r="HK44" s="15">
        <f t="shared" si="48"/>
        <v>1.0574611298681749</v>
      </c>
      <c r="HL44" s="15">
        <f t="shared" si="49"/>
        <v>2672</v>
      </c>
      <c r="HM44" s="15">
        <f t="shared" si="50"/>
        <v>5.5870874636916312E-2</v>
      </c>
      <c r="HN44" s="15">
        <f>((HJ44*HJ44)/(AR44*HH44*HH44)+(HG44*HG44)/(AR44*HE44*HE44))</f>
        <v>2.0010554557519332E-4</v>
      </c>
      <c r="HP44" s="15" t="s">
        <v>604</v>
      </c>
      <c r="HQ44" s="18"/>
      <c r="HV44" s="15">
        <f t="shared" si="51"/>
        <v>344.079095323449</v>
      </c>
      <c r="HW44" s="15">
        <f t="shared" si="52"/>
        <v>5.5870874636916312E-2</v>
      </c>
      <c r="HX44" s="15">
        <f>BB44</f>
        <v>1922.3999999999999</v>
      </c>
      <c r="HY44" s="15">
        <f>AZ44</f>
        <v>3204</v>
      </c>
      <c r="HZ44" s="15">
        <f>BA44</f>
        <v>1.0935153583617745</v>
      </c>
      <c r="IA44" s="15">
        <f>BB44</f>
        <v>1922.3999999999999</v>
      </c>
    </row>
    <row r="45" spans="1:235" s="15" customFormat="1" x14ac:dyDescent="0.25">
      <c r="A45" s="31">
        <v>43</v>
      </c>
      <c r="B45" s="1">
        <v>9</v>
      </c>
      <c r="C45" s="1">
        <v>11</v>
      </c>
      <c r="D45" s="15" t="s">
        <v>677</v>
      </c>
      <c r="E45" s="1">
        <v>1</v>
      </c>
      <c r="F45" s="15" t="s">
        <v>761</v>
      </c>
      <c r="G45" s="15" t="s">
        <v>668</v>
      </c>
      <c r="H45" s="15" t="s">
        <v>669</v>
      </c>
      <c r="I45" s="1">
        <v>2016</v>
      </c>
      <c r="J45" s="15" t="s">
        <v>670</v>
      </c>
      <c r="K45" s="1">
        <v>2015</v>
      </c>
      <c r="L45" s="15" t="s">
        <v>672</v>
      </c>
      <c r="M45" s="15" t="s">
        <v>480</v>
      </c>
      <c r="N45" s="15" t="s">
        <v>520</v>
      </c>
      <c r="O45" s="31">
        <v>3</v>
      </c>
      <c r="P45" s="15">
        <v>35.369999999999997</v>
      </c>
      <c r="Q45" s="15">
        <v>118.08</v>
      </c>
      <c r="U45" s="15" t="s">
        <v>549</v>
      </c>
      <c r="V45" s="31">
        <v>1</v>
      </c>
      <c r="W45" s="16" t="s">
        <v>1167</v>
      </c>
      <c r="X45" s="15" t="s">
        <v>681</v>
      </c>
      <c r="Y45" s="1">
        <v>2</v>
      </c>
      <c r="Z45" s="15">
        <v>5.85</v>
      </c>
      <c r="AA45" s="15" t="s">
        <v>574</v>
      </c>
      <c r="AB45" s="15">
        <f t="shared" si="44"/>
        <v>5.85</v>
      </c>
      <c r="AC45" s="1">
        <v>4</v>
      </c>
      <c r="AD45" s="15">
        <v>6.8</v>
      </c>
      <c r="AM45" s="1">
        <v>1</v>
      </c>
      <c r="AP45" s="15" t="s">
        <v>682</v>
      </c>
      <c r="AQ45" s="1">
        <v>2</v>
      </c>
      <c r="AR45" s="1">
        <v>3</v>
      </c>
      <c r="AT45" s="15" t="s">
        <v>545</v>
      </c>
      <c r="AW45" s="15">
        <v>450</v>
      </c>
      <c r="AX45" s="15">
        <f t="shared" si="45"/>
        <v>801</v>
      </c>
      <c r="AY45" s="15" t="s">
        <v>766</v>
      </c>
      <c r="AZ45" s="15">
        <f t="shared" si="34"/>
        <v>801</v>
      </c>
      <c r="BA45" s="15">
        <f t="shared" si="35"/>
        <v>0.27337883959044362</v>
      </c>
      <c r="BB45" s="15">
        <f t="shared" si="36"/>
        <v>480.59999999999997</v>
      </c>
      <c r="BP45" s="16"/>
      <c r="BQ45" s="16"/>
      <c r="BR45" s="16"/>
      <c r="BU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>
        <f t="shared" si="46"/>
        <v>5.75</v>
      </c>
      <c r="FL45" s="16">
        <f t="shared" si="47"/>
        <v>6.18</v>
      </c>
      <c r="FM45" s="15">
        <v>5.75</v>
      </c>
      <c r="FN45" s="15">
        <v>0.5</v>
      </c>
      <c r="FO45" s="15">
        <f>FN45*SQRT(AR45)</f>
        <v>0.8660254037844386</v>
      </c>
      <c r="FP45" s="15">
        <v>6.18</v>
      </c>
      <c r="FQ45" s="15">
        <v>0.6</v>
      </c>
      <c r="FR45" s="15">
        <f>FQ45*SQRT(AR45)</f>
        <v>1.0392304845413263</v>
      </c>
      <c r="FS45" s="15">
        <f t="shared" si="6"/>
        <v>1.0747826086956522</v>
      </c>
      <c r="FT45" s="15">
        <f t="shared" si="7"/>
        <v>0.42999999999999972</v>
      </c>
      <c r="FU45" s="15">
        <f t="shared" si="8"/>
        <v>7.2118416660340356E-2</v>
      </c>
      <c r="FV45" s="15">
        <f>((FR45*FR45)/(AR45*FP45*FP45)+(FO45*FO45)/(AR45*FM45*FM45))</f>
        <v>1.6987395764305406E-2</v>
      </c>
      <c r="HE45" s="15">
        <v>44503</v>
      </c>
      <c r="HF45" s="15">
        <v>445</v>
      </c>
      <c r="HG45" s="15">
        <f>HF45*SQRT(AR45)</f>
        <v>770.76260936815038</v>
      </c>
      <c r="HH45" s="15">
        <v>48339</v>
      </c>
      <c r="HI45" s="15">
        <v>483</v>
      </c>
      <c r="HJ45" s="15">
        <f>HI45*SQRT(AR45)</f>
        <v>836.58054005576764</v>
      </c>
      <c r="HK45" s="15">
        <f t="shared" si="48"/>
        <v>1.0861964361953127</v>
      </c>
      <c r="HL45" s="15">
        <f t="shared" si="49"/>
        <v>3836</v>
      </c>
      <c r="HM45" s="15">
        <f t="shared" si="50"/>
        <v>8.2682085629347313E-2</v>
      </c>
      <c r="HN45" s="15">
        <f>((HJ45*HJ45)/(AR45*HH45*HH45)+(HG45*HG45)/(AR45*HE45*HE45))</f>
        <v>1.9982522291798479E-4</v>
      </c>
      <c r="HP45" s="15" t="s">
        <v>666</v>
      </c>
      <c r="HQ45" s="18"/>
      <c r="HV45" s="15">
        <f t="shared" si="51"/>
        <v>58.12625508196119</v>
      </c>
      <c r="HW45" s="15">
        <f t="shared" si="52"/>
        <v>8.2682085629347313E-2</v>
      </c>
      <c r="HX45" s="15">
        <f>BB45</f>
        <v>480.59999999999997</v>
      </c>
      <c r="HY45" s="15">
        <f>AZ45</f>
        <v>801</v>
      </c>
      <c r="HZ45" s="15">
        <f>BA45</f>
        <v>0.27337883959044362</v>
      </c>
      <c r="IA45" s="15">
        <f>BB45</f>
        <v>480.59999999999997</v>
      </c>
    </row>
    <row r="46" spans="1:235" s="15" customFormat="1" x14ac:dyDescent="0.25">
      <c r="A46" s="31">
        <v>44</v>
      </c>
      <c r="B46" s="1">
        <v>9</v>
      </c>
      <c r="C46" s="1">
        <v>11</v>
      </c>
      <c r="D46" s="15" t="s">
        <v>678</v>
      </c>
      <c r="E46" s="1">
        <v>1</v>
      </c>
      <c r="F46" s="15" t="s">
        <v>761</v>
      </c>
      <c r="G46" s="15" t="s">
        <v>668</v>
      </c>
      <c r="H46" s="15" t="s">
        <v>669</v>
      </c>
      <c r="I46" s="1">
        <v>2016</v>
      </c>
      <c r="J46" s="15" t="s">
        <v>670</v>
      </c>
      <c r="K46" s="1">
        <v>2015</v>
      </c>
      <c r="L46" s="15" t="s">
        <v>672</v>
      </c>
      <c r="M46" s="15" t="s">
        <v>480</v>
      </c>
      <c r="N46" s="15" t="s">
        <v>520</v>
      </c>
      <c r="O46" s="31">
        <v>3</v>
      </c>
      <c r="P46" s="15">
        <v>35.369999999999997</v>
      </c>
      <c r="Q46" s="15">
        <v>118.08</v>
      </c>
      <c r="U46" s="15" t="s">
        <v>549</v>
      </c>
      <c r="V46" s="31">
        <v>1</v>
      </c>
      <c r="W46" s="16" t="s">
        <v>1167</v>
      </c>
      <c r="X46" s="15" t="s">
        <v>681</v>
      </c>
      <c r="Y46" s="1">
        <v>2</v>
      </c>
      <c r="Z46" s="15">
        <v>5.85</v>
      </c>
      <c r="AA46" s="15" t="s">
        <v>574</v>
      </c>
      <c r="AB46" s="15">
        <f t="shared" si="44"/>
        <v>5.85</v>
      </c>
      <c r="AC46" s="1">
        <v>4</v>
      </c>
      <c r="AD46" s="15">
        <v>6.8</v>
      </c>
      <c r="AM46" s="1">
        <v>1</v>
      </c>
      <c r="AP46" s="15" t="s">
        <v>682</v>
      </c>
      <c r="AQ46" s="1">
        <v>2</v>
      </c>
      <c r="AR46" s="1">
        <v>3</v>
      </c>
      <c r="AT46" s="15" t="s">
        <v>545</v>
      </c>
      <c r="AW46" s="15">
        <v>900</v>
      </c>
      <c r="AX46" s="15">
        <f t="shared" si="45"/>
        <v>1602</v>
      </c>
      <c r="AY46" s="15" t="s">
        <v>766</v>
      </c>
      <c r="AZ46" s="15">
        <f t="shared" si="34"/>
        <v>1602</v>
      </c>
      <c r="BA46" s="15">
        <f t="shared" si="35"/>
        <v>0.54675767918088725</v>
      </c>
      <c r="BB46" s="15">
        <f t="shared" si="36"/>
        <v>961.19999999999993</v>
      </c>
      <c r="BP46" s="16"/>
      <c r="BQ46" s="16"/>
      <c r="BR46" s="16"/>
      <c r="BU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>
        <f t="shared" si="46"/>
        <v>5.75</v>
      </c>
      <c r="FL46" s="16">
        <f t="shared" si="47"/>
        <v>6.45</v>
      </c>
      <c r="FM46" s="15">
        <v>5.75</v>
      </c>
      <c r="FN46" s="15">
        <v>0.5</v>
      </c>
      <c r="FO46" s="15">
        <f>FN46*SQRT(AR46)</f>
        <v>0.8660254037844386</v>
      </c>
      <c r="FP46" s="15">
        <v>6.45</v>
      </c>
      <c r="FQ46" s="15">
        <v>0.6</v>
      </c>
      <c r="FR46" s="15">
        <f>FQ46*SQRT(AR46)</f>
        <v>1.0392304845413263</v>
      </c>
      <c r="FS46" s="15">
        <f t="shared" si="6"/>
        <v>1.1217391304347826</v>
      </c>
      <c r="FT46" s="15">
        <f t="shared" si="7"/>
        <v>0.70000000000000018</v>
      </c>
      <c r="FU46" s="15">
        <f t="shared" si="8"/>
        <v>0.11488027599842199</v>
      </c>
      <c r="FV46" s="15">
        <f>((FR46*FR46)/(AR46*FP46*FP46)+(FO46*FO46)/(AR46*FM46*FM46))</f>
        <v>1.621476279519609E-2</v>
      </c>
      <c r="HE46" s="15">
        <v>44503</v>
      </c>
      <c r="HF46" s="15">
        <v>445</v>
      </c>
      <c r="HG46" s="15">
        <f>HF46*SQRT(AR46)</f>
        <v>770.76260936815038</v>
      </c>
      <c r="HH46" s="15">
        <v>49178</v>
      </c>
      <c r="HI46" s="15">
        <v>492</v>
      </c>
      <c r="HJ46" s="15">
        <f>HI46*SQRT(AR46)</f>
        <v>852.16899732388754</v>
      </c>
      <c r="HK46" s="15">
        <f t="shared" si="48"/>
        <v>1.1050490978136305</v>
      </c>
      <c r="HL46" s="15">
        <f t="shared" si="49"/>
        <v>4675</v>
      </c>
      <c r="HM46" s="15">
        <f t="shared" si="50"/>
        <v>9.9889766393150836E-2</v>
      </c>
      <c r="HN46" s="15">
        <f>((HJ46*HJ46)/(AR46*HH46*HH46)+(HG46*HG46)/(AR46*HE46*HE46))</f>
        <v>2.0007600913150251E-4</v>
      </c>
      <c r="HP46" s="15" t="s">
        <v>666</v>
      </c>
      <c r="HQ46" s="18"/>
      <c r="HV46" s="15">
        <f t="shared" si="51"/>
        <v>96.226073471516969</v>
      </c>
      <c r="HW46" s="15">
        <f t="shared" si="52"/>
        <v>9.9889766393150836E-2</v>
      </c>
      <c r="HX46" s="15">
        <f>BB46</f>
        <v>961.19999999999993</v>
      </c>
      <c r="HY46" s="15">
        <f>AZ46</f>
        <v>1602</v>
      </c>
      <c r="HZ46" s="15">
        <f>BA46</f>
        <v>0.54675767918088725</v>
      </c>
      <c r="IA46" s="15">
        <f>BB46</f>
        <v>961.19999999999993</v>
      </c>
    </row>
    <row r="47" spans="1:235" s="15" customFormat="1" x14ac:dyDescent="0.25">
      <c r="A47" s="31">
        <v>45</v>
      </c>
      <c r="B47" s="1">
        <v>9</v>
      </c>
      <c r="C47" s="1">
        <v>11</v>
      </c>
      <c r="D47" s="15" t="s">
        <v>679</v>
      </c>
      <c r="E47" s="1">
        <v>1</v>
      </c>
      <c r="F47" s="15" t="s">
        <v>761</v>
      </c>
      <c r="G47" s="15" t="s">
        <v>668</v>
      </c>
      <c r="H47" s="15" t="s">
        <v>669</v>
      </c>
      <c r="I47" s="1">
        <v>2016</v>
      </c>
      <c r="J47" s="15" t="s">
        <v>670</v>
      </c>
      <c r="K47" s="1">
        <v>2015</v>
      </c>
      <c r="L47" s="15" t="s">
        <v>672</v>
      </c>
      <c r="M47" s="15" t="s">
        <v>480</v>
      </c>
      <c r="N47" s="15" t="s">
        <v>520</v>
      </c>
      <c r="O47" s="31">
        <v>3</v>
      </c>
      <c r="P47" s="15">
        <v>35.369999999999997</v>
      </c>
      <c r="Q47" s="15">
        <v>118.08</v>
      </c>
      <c r="U47" s="15" t="s">
        <v>549</v>
      </c>
      <c r="V47" s="31">
        <v>1</v>
      </c>
      <c r="W47" s="16" t="s">
        <v>1167</v>
      </c>
      <c r="X47" s="15" t="s">
        <v>681</v>
      </c>
      <c r="Y47" s="1">
        <v>2</v>
      </c>
      <c r="Z47" s="15">
        <v>5.85</v>
      </c>
      <c r="AA47" s="15" t="s">
        <v>574</v>
      </c>
      <c r="AB47" s="15">
        <f t="shared" si="44"/>
        <v>5.85</v>
      </c>
      <c r="AC47" s="1">
        <v>4</v>
      </c>
      <c r="AD47" s="15">
        <v>6.8</v>
      </c>
      <c r="AM47" s="1">
        <v>1</v>
      </c>
      <c r="AP47" s="15" t="s">
        <v>682</v>
      </c>
      <c r="AQ47" s="1">
        <v>2</v>
      </c>
      <c r="AR47" s="1">
        <v>3</v>
      </c>
      <c r="AT47" s="15" t="s">
        <v>545</v>
      </c>
      <c r="AW47" s="15">
        <v>1350</v>
      </c>
      <c r="AX47" s="15">
        <f t="shared" si="45"/>
        <v>2403</v>
      </c>
      <c r="AY47" s="15" t="s">
        <v>766</v>
      </c>
      <c r="AZ47" s="15">
        <f t="shared" si="34"/>
        <v>2403</v>
      </c>
      <c r="BA47" s="15">
        <f t="shared" si="35"/>
        <v>0.82013651877133098</v>
      </c>
      <c r="BB47" s="15">
        <f t="shared" si="36"/>
        <v>1441.8</v>
      </c>
      <c r="BP47" s="16"/>
      <c r="BQ47" s="16"/>
      <c r="BR47" s="16"/>
      <c r="BU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>
        <f t="shared" si="46"/>
        <v>5.75</v>
      </c>
      <c r="FL47" s="16">
        <f t="shared" si="47"/>
        <v>6.72</v>
      </c>
      <c r="FM47" s="15">
        <v>5.75</v>
      </c>
      <c r="FN47" s="15">
        <v>0.5</v>
      </c>
      <c r="FO47" s="15">
        <f>FN47*SQRT(AR47)</f>
        <v>0.8660254037844386</v>
      </c>
      <c r="FP47" s="15">
        <v>6.72</v>
      </c>
      <c r="FQ47" s="15">
        <v>0.6</v>
      </c>
      <c r="FR47" s="15">
        <f>FQ47*SQRT(AR47)</f>
        <v>1.0392304845413263</v>
      </c>
      <c r="FS47" s="15">
        <f t="shared" si="6"/>
        <v>1.1686956521739129</v>
      </c>
      <c r="FT47" s="15">
        <f t="shared" si="7"/>
        <v>0.96999999999999975</v>
      </c>
      <c r="FU47" s="15">
        <f t="shared" si="8"/>
        <v>0.1558882997257991</v>
      </c>
      <c r="FV47" s="15">
        <f>((FR47*FR47)/(AR47*FP47*FP47)+(FO47*FO47)/(AR47*FM47*FM47))</f>
        <v>1.5533375448478066E-2</v>
      </c>
      <c r="HE47" s="15">
        <v>44503</v>
      </c>
      <c r="HF47" s="15">
        <v>445</v>
      </c>
      <c r="HG47" s="15">
        <f>HF47*SQRT(AR47)</f>
        <v>770.76260936815038</v>
      </c>
      <c r="HH47" s="15">
        <v>48993</v>
      </c>
      <c r="HI47" s="15">
        <v>490</v>
      </c>
      <c r="HJ47" s="15">
        <f>HI47*SQRT(AR47)</f>
        <v>848.70489570874986</v>
      </c>
      <c r="HK47" s="15">
        <f t="shared" si="48"/>
        <v>1.1008920746915938</v>
      </c>
      <c r="HL47" s="15">
        <f t="shared" si="49"/>
        <v>4490</v>
      </c>
      <c r="HM47" s="15">
        <f t="shared" si="50"/>
        <v>9.6120828132521652E-2</v>
      </c>
      <c r="HN47" s="15">
        <f>((HJ47*HJ47)/(AR47*HH47*HH47)+(HG47*HG47)/(AR47*HE47*HE47))</f>
        <v>2.0001509576946105E-4</v>
      </c>
      <c r="HP47" s="15" t="s">
        <v>666</v>
      </c>
      <c r="HQ47" s="18"/>
      <c r="HV47" s="15">
        <f t="shared" si="51"/>
        <v>149.99870766949618</v>
      </c>
      <c r="HW47" s="15">
        <f t="shared" si="52"/>
        <v>9.6120828132521652E-2</v>
      </c>
      <c r="HX47" s="15">
        <f>BB47</f>
        <v>1441.8</v>
      </c>
      <c r="HY47" s="15">
        <f>AZ47</f>
        <v>2403</v>
      </c>
      <c r="HZ47" s="15">
        <f>BA47</f>
        <v>0.82013651877133098</v>
      </c>
      <c r="IA47" s="15">
        <f>BB47</f>
        <v>1441.8</v>
      </c>
    </row>
    <row r="48" spans="1:235" s="15" customFormat="1" x14ac:dyDescent="0.25">
      <c r="A48" s="31">
        <v>46</v>
      </c>
      <c r="B48" s="1">
        <v>9</v>
      </c>
      <c r="C48" s="1">
        <v>11</v>
      </c>
      <c r="D48" s="15" t="s">
        <v>680</v>
      </c>
      <c r="E48" s="1">
        <v>1</v>
      </c>
      <c r="F48" s="15" t="s">
        <v>761</v>
      </c>
      <c r="G48" s="15" t="s">
        <v>668</v>
      </c>
      <c r="H48" s="15" t="s">
        <v>669</v>
      </c>
      <c r="I48" s="1">
        <v>2016</v>
      </c>
      <c r="J48" s="15" t="s">
        <v>670</v>
      </c>
      <c r="K48" s="1">
        <v>2015</v>
      </c>
      <c r="L48" s="15" t="s">
        <v>672</v>
      </c>
      <c r="M48" s="15" t="s">
        <v>480</v>
      </c>
      <c r="N48" s="15" t="s">
        <v>520</v>
      </c>
      <c r="O48" s="31">
        <v>3</v>
      </c>
      <c r="P48" s="15">
        <v>35.369999999999997</v>
      </c>
      <c r="Q48" s="15">
        <v>118.08</v>
      </c>
      <c r="U48" s="15" t="s">
        <v>549</v>
      </c>
      <c r="V48" s="31">
        <v>1</v>
      </c>
      <c r="W48" s="16" t="s">
        <v>1167</v>
      </c>
      <c r="X48" s="15" t="s">
        <v>681</v>
      </c>
      <c r="Y48" s="1">
        <v>2</v>
      </c>
      <c r="Z48" s="15">
        <v>5.85</v>
      </c>
      <c r="AA48" s="15" t="s">
        <v>574</v>
      </c>
      <c r="AB48" s="15">
        <f t="shared" si="44"/>
        <v>5.85</v>
      </c>
      <c r="AC48" s="1">
        <v>4</v>
      </c>
      <c r="AD48" s="15">
        <v>6.8</v>
      </c>
      <c r="AM48" s="1">
        <v>1</v>
      </c>
      <c r="AP48" s="15" t="s">
        <v>682</v>
      </c>
      <c r="AQ48" s="1">
        <v>2</v>
      </c>
      <c r="AR48" s="1">
        <v>3</v>
      </c>
      <c r="AT48" s="15" t="s">
        <v>545</v>
      </c>
      <c r="AW48" s="15">
        <v>1800</v>
      </c>
      <c r="AX48" s="15">
        <f t="shared" si="45"/>
        <v>3204</v>
      </c>
      <c r="AY48" s="15" t="s">
        <v>766</v>
      </c>
      <c r="AZ48" s="15">
        <f t="shared" si="34"/>
        <v>3204</v>
      </c>
      <c r="BA48" s="15">
        <f t="shared" si="35"/>
        <v>1.0935153583617745</v>
      </c>
      <c r="BB48" s="15">
        <f t="shared" si="36"/>
        <v>1922.3999999999999</v>
      </c>
      <c r="BP48" s="16"/>
      <c r="BQ48" s="16"/>
      <c r="BR48" s="16"/>
      <c r="BU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>
        <f t="shared" si="46"/>
        <v>5.75</v>
      </c>
      <c r="FL48" s="16">
        <f t="shared" si="47"/>
        <v>6.82</v>
      </c>
      <c r="FM48" s="15">
        <v>5.75</v>
      </c>
      <c r="FN48" s="15">
        <v>0.5</v>
      </c>
      <c r="FO48" s="15">
        <f>FN48*SQRT(AR48)</f>
        <v>0.8660254037844386</v>
      </c>
      <c r="FP48" s="15">
        <v>6.82</v>
      </c>
      <c r="FQ48" s="15">
        <v>0.6</v>
      </c>
      <c r="FR48" s="15">
        <f>FQ48*SQRT(AR48)</f>
        <v>1.0392304845413263</v>
      </c>
      <c r="FS48" s="15">
        <f t="shared" si="6"/>
        <v>1.1860869565217391</v>
      </c>
      <c r="FT48" s="15">
        <f t="shared" si="7"/>
        <v>1.0700000000000003</v>
      </c>
      <c r="FU48" s="15">
        <f t="shared" si="8"/>
        <v>0.17065961704611166</v>
      </c>
      <c r="FV48" s="15">
        <f>((FR48*FR48)/(AR48*FP48*FP48)+(FO48*FO48)/(AR48*FM48*FM48))</f>
        <v>1.5301308191100659E-2</v>
      </c>
      <c r="HE48" s="15">
        <v>44503</v>
      </c>
      <c r="HF48" s="15">
        <v>445</v>
      </c>
      <c r="HG48" s="15">
        <f>HF48*SQRT(AR48)</f>
        <v>770.76260936815038</v>
      </c>
      <c r="HH48" s="15">
        <v>49088</v>
      </c>
      <c r="HI48" s="15">
        <v>491</v>
      </c>
      <c r="HJ48" s="15">
        <f>HI48*SQRT(AR48)</f>
        <v>850.4369465163187</v>
      </c>
      <c r="HK48" s="15">
        <f t="shared" si="48"/>
        <v>1.1030267622407479</v>
      </c>
      <c r="HL48" s="15">
        <f t="shared" si="49"/>
        <v>4585</v>
      </c>
      <c r="HM48" s="15">
        <f t="shared" si="50"/>
        <v>9.8058003114596559E-2</v>
      </c>
      <c r="HN48" s="15">
        <f>((HJ48*HJ48)/(AR48*HH48*HH48)+(HG48*HG48)/(AR48*HE48*HE48))</f>
        <v>2.0003541597947102E-4</v>
      </c>
      <c r="HP48" s="15" t="s">
        <v>604</v>
      </c>
      <c r="HQ48" s="18"/>
      <c r="HV48" s="15">
        <f t="shared" si="51"/>
        <v>196.04723112231503</v>
      </c>
      <c r="HW48" s="15">
        <f t="shared" si="52"/>
        <v>9.8058003114596559E-2</v>
      </c>
      <c r="HX48" s="15">
        <f>BB48</f>
        <v>1922.3999999999999</v>
      </c>
      <c r="HY48" s="15">
        <f>AZ48</f>
        <v>3204</v>
      </c>
      <c r="HZ48" s="15">
        <f>BA48</f>
        <v>1.0935153583617745</v>
      </c>
      <c r="IA48" s="15">
        <f>BB48</f>
        <v>1922.3999999999999</v>
      </c>
    </row>
    <row r="49" spans="1:235" x14ac:dyDescent="0.25">
      <c r="A49" s="31">
        <v>47</v>
      </c>
      <c r="B49" s="1">
        <v>10</v>
      </c>
      <c r="C49" s="1">
        <v>12</v>
      </c>
      <c r="D49" s="15" t="s">
        <v>24</v>
      </c>
      <c r="E49" s="1">
        <v>1</v>
      </c>
      <c r="F49" s="15" t="s">
        <v>761</v>
      </c>
      <c r="G49" s="15" t="s">
        <v>684</v>
      </c>
      <c r="H49" s="15" t="s">
        <v>685</v>
      </c>
      <c r="I49" s="1">
        <v>2002</v>
      </c>
      <c r="J49" s="15" t="s">
        <v>686</v>
      </c>
      <c r="K49" s="1" t="s">
        <v>683</v>
      </c>
      <c r="L49" s="15" t="s">
        <v>687</v>
      </c>
      <c r="M49" s="15" t="s">
        <v>648</v>
      </c>
      <c r="N49" s="15" t="s">
        <v>649</v>
      </c>
      <c r="O49" s="31">
        <v>2</v>
      </c>
      <c r="P49" s="15">
        <v>-23.22</v>
      </c>
      <c r="Q49" s="15">
        <v>-50.02</v>
      </c>
      <c r="S49" s="15">
        <v>1507</v>
      </c>
      <c r="T49" s="15">
        <v>23</v>
      </c>
      <c r="U49" s="15" t="s">
        <v>549</v>
      </c>
      <c r="V49" s="31">
        <v>1</v>
      </c>
      <c r="W49" s="16"/>
      <c r="X49" s="15" t="s">
        <v>688</v>
      </c>
      <c r="Y49" s="1">
        <v>5</v>
      </c>
      <c r="Z49" s="15">
        <v>4</v>
      </c>
      <c r="AA49" s="15" t="s">
        <v>663</v>
      </c>
      <c r="AB49" s="15">
        <f t="shared" ref="AB49:AB56" si="53">Z49+0.77</f>
        <v>4.7699999999999996</v>
      </c>
      <c r="AC49" s="1">
        <v>2</v>
      </c>
      <c r="AD49" s="15">
        <v>19.37</v>
      </c>
      <c r="AE49" s="15"/>
      <c r="AF49" s="15">
        <v>9.2100000000000009</v>
      </c>
      <c r="AG49" s="15"/>
      <c r="AH49" s="15">
        <v>22</v>
      </c>
      <c r="AJ49" s="15">
        <v>3.96</v>
      </c>
      <c r="AK49" s="15">
        <v>23.76</v>
      </c>
      <c r="AL49" s="15">
        <v>72.28</v>
      </c>
      <c r="AM49" s="1">
        <v>3</v>
      </c>
      <c r="AP49" s="15" t="s">
        <v>691</v>
      </c>
      <c r="AQ49" s="1">
        <v>1</v>
      </c>
      <c r="AR49" s="1">
        <v>4</v>
      </c>
      <c r="AT49" s="15" t="s">
        <v>993</v>
      </c>
      <c r="AW49" s="15">
        <v>2.2000000000000002</v>
      </c>
      <c r="AX49" s="15">
        <f t="shared" ref="AX49:AX56" si="54">AW49*1000*1.09</f>
        <v>2398</v>
      </c>
      <c r="AY49" s="15" t="s">
        <v>766</v>
      </c>
      <c r="AZ49" s="15">
        <f t="shared" si="34"/>
        <v>2398</v>
      </c>
      <c r="BA49" s="15">
        <f t="shared" si="35"/>
        <v>0.81843003412969284</v>
      </c>
      <c r="BB49" s="15">
        <f t="shared" si="36"/>
        <v>1438.8</v>
      </c>
      <c r="EW49" s="18"/>
      <c r="EX49" s="18"/>
      <c r="EY49" s="18"/>
      <c r="FK49" s="16">
        <f t="shared" ref="FK49:FK56" si="55">FM49+0.77</f>
        <v>4.75</v>
      </c>
      <c r="FL49" s="16">
        <f t="shared" ref="FL49:FL56" si="56">FP49+0.77</f>
        <v>4.82</v>
      </c>
      <c r="FM49" s="15">
        <v>3.98</v>
      </c>
      <c r="FN49" s="15">
        <v>0.08</v>
      </c>
      <c r="FO49" s="15">
        <f>FN49*SQRT(AR49)</f>
        <v>0.16</v>
      </c>
      <c r="FP49" s="15">
        <v>4.05</v>
      </c>
      <c r="FQ49" s="15">
        <v>8.1000000000000003E-2</v>
      </c>
      <c r="FR49" s="15">
        <f>FQ49*SQRT(AR49)</f>
        <v>0.16200000000000001</v>
      </c>
      <c r="FS49" s="15">
        <f t="shared" si="6"/>
        <v>1.0175879396984924</v>
      </c>
      <c r="FT49" s="15">
        <f t="shared" si="7"/>
        <v>6.999999999999984E-2</v>
      </c>
      <c r="FU49" s="15">
        <f t="shared" si="8"/>
        <v>1.7435061822101527E-2</v>
      </c>
      <c r="FV49" s="15">
        <f>((FR49*FR49)/(AR49*FP49*FP49)+(FO49*FO49)/(AR49*FM49*FM49))</f>
        <v>8.0403020125754401E-4</v>
      </c>
      <c r="FX49" s="15">
        <f>17.9*1.23</f>
        <v>22.016999999999999</v>
      </c>
      <c r="FY49" s="15">
        <v>2.2000000000000002</v>
      </c>
      <c r="FZ49" s="15">
        <f>FY49*SQRT(AR49)</f>
        <v>4.4000000000000004</v>
      </c>
      <c r="GA49" s="15">
        <f>19.8*1.23</f>
        <v>24.353999999999999</v>
      </c>
      <c r="GB49" s="15">
        <v>1.9483200000000001</v>
      </c>
      <c r="GC49" s="15">
        <f>GB49*SQRT(AR49)</f>
        <v>3.8966400000000001</v>
      </c>
      <c r="GD49" s="15">
        <f t="shared" ref="GD49:GD56" si="57">GA49/FX49</f>
        <v>1.1061452513966481</v>
      </c>
      <c r="GE49" s="15">
        <f t="shared" ref="GE49:GE56" si="58">GA49-FX49</f>
        <v>2.3369999999999997</v>
      </c>
      <c r="GF49" s="15">
        <f t="shared" ref="GF49:GF56" si="59">LN(GA49)-LN(FX49)</f>
        <v>0.10088122485377982</v>
      </c>
      <c r="GG49" s="15">
        <f>((GC49*GC49)/(AR49*GA49*GA49)+(FZ49*FZ49)/(AR49*FX49*FX49))</f>
        <v>1.6384563349330358E-2</v>
      </c>
      <c r="GI49" s="15">
        <f>9.3/1.4</f>
        <v>6.6428571428571441</v>
      </c>
      <c r="GJ49" s="15">
        <f t="shared" ref="GJ49:GJ56" si="60">GI49*0.04</f>
        <v>0.26571428571428579</v>
      </c>
      <c r="GK49" s="15">
        <f>GJ49*SQRT(AR49)</f>
        <v>0.53142857142857158</v>
      </c>
      <c r="GL49" s="15">
        <f>9.83/1.4</f>
        <v>7.0214285714285722</v>
      </c>
      <c r="GM49" s="15">
        <f t="shared" ref="GM49:GM56" si="61">GL49*0.08</f>
        <v>0.56171428571428583</v>
      </c>
      <c r="GN49" s="15">
        <f>GM49*SQRT(AR49)</f>
        <v>1.1234285714285717</v>
      </c>
      <c r="GO49" s="15">
        <f t="shared" ref="GO49:GO56" si="62">GL49/GI49</f>
        <v>1.0569892473118279</v>
      </c>
      <c r="GP49" s="15">
        <f t="shared" ref="GP49:GP56" si="63">GL49-GI49</f>
        <v>0.37857142857142811</v>
      </c>
      <c r="GQ49" s="15">
        <f t="shared" ref="GQ49:GQ56" si="64">LN(GL49)-LN(GI49)</f>
        <v>5.5424533999864911E-2</v>
      </c>
      <c r="GR49" s="15">
        <f>((GN49*GN49)/(AR49*GL49*GL49)+(GK49*GK49)/(AR49*GI49*GI49))</f>
        <v>8.0000000000000019E-3</v>
      </c>
      <c r="GT49" s="15">
        <v>11.7</v>
      </c>
      <c r="GU49" s="15">
        <v>2.1059999999999999</v>
      </c>
      <c r="GV49" s="15">
        <f>GU49*SQRT(AR49)</f>
        <v>4.2119999999999997</v>
      </c>
      <c r="GW49" s="15">
        <v>15.5</v>
      </c>
      <c r="GX49" s="15">
        <v>2.79</v>
      </c>
      <c r="GY49" s="15">
        <f>GX49*SQRT(AR49)</f>
        <v>5.58</v>
      </c>
      <c r="GZ49" s="15">
        <f t="shared" ref="GZ49:GZ56" si="65">GW49/GT49</f>
        <v>1.324786324786325</v>
      </c>
      <c r="HA49" s="15">
        <f t="shared" ref="HA49:HA56" si="66">GW49-GT49</f>
        <v>3.8000000000000007</v>
      </c>
      <c r="HB49" s="15">
        <f t="shared" ref="HB49:HB56" si="67">LN(GW49)-LN(GT49)</f>
        <v>0.28125118212149047</v>
      </c>
      <c r="HC49" s="15">
        <f>((GY49*GY49)/(AR49*GW49*GW49)+(GV49*GV49)/(AR49*GT49*GT49))</f>
        <v>6.4799999999999996E-2</v>
      </c>
      <c r="HG49" s="15"/>
      <c r="HJ49" s="15"/>
      <c r="HL49" s="15"/>
      <c r="HM49" s="15"/>
      <c r="HN49" s="15"/>
      <c r="HY49" s="15">
        <f>AZ49</f>
        <v>2398</v>
      </c>
      <c r="HZ49" s="15">
        <f>BA49</f>
        <v>0.81843003412969284</v>
      </c>
      <c r="IA49" s="15">
        <f>BB49</f>
        <v>1438.8</v>
      </c>
    </row>
    <row r="50" spans="1:235" x14ac:dyDescent="0.25">
      <c r="A50" s="31">
        <v>48</v>
      </c>
      <c r="B50" s="1">
        <v>10</v>
      </c>
      <c r="C50" s="1">
        <v>12</v>
      </c>
      <c r="D50" s="15" t="s">
        <v>25</v>
      </c>
      <c r="E50" s="1">
        <v>1</v>
      </c>
      <c r="F50" s="15" t="s">
        <v>761</v>
      </c>
      <c r="G50" s="15" t="s">
        <v>684</v>
      </c>
      <c r="H50" s="15" t="s">
        <v>685</v>
      </c>
      <c r="I50" s="1">
        <v>2002</v>
      </c>
      <c r="J50" s="15" t="s">
        <v>686</v>
      </c>
      <c r="K50" s="1" t="s">
        <v>683</v>
      </c>
      <c r="L50" s="15" t="s">
        <v>687</v>
      </c>
      <c r="M50" s="15" t="s">
        <v>648</v>
      </c>
      <c r="N50" s="15" t="s">
        <v>649</v>
      </c>
      <c r="O50" s="31">
        <v>2</v>
      </c>
      <c r="P50" s="15">
        <v>-23.22</v>
      </c>
      <c r="Q50" s="15">
        <v>-50.02</v>
      </c>
      <c r="S50" s="15">
        <v>1507</v>
      </c>
      <c r="T50" s="15">
        <v>23</v>
      </c>
      <c r="U50" s="15" t="s">
        <v>549</v>
      </c>
      <c r="V50" s="31">
        <v>1</v>
      </c>
      <c r="W50" s="16"/>
      <c r="X50" s="15" t="s">
        <v>688</v>
      </c>
      <c r="Y50" s="1">
        <v>5</v>
      </c>
      <c r="Z50" s="15">
        <v>4</v>
      </c>
      <c r="AA50" s="15" t="s">
        <v>663</v>
      </c>
      <c r="AB50" s="15">
        <f t="shared" si="53"/>
        <v>4.7699999999999996</v>
      </c>
      <c r="AC50" s="1">
        <v>2</v>
      </c>
      <c r="AD50" s="15">
        <v>19.37</v>
      </c>
      <c r="AE50" s="15"/>
      <c r="AF50" s="15">
        <v>9.2100000000000009</v>
      </c>
      <c r="AG50" s="15"/>
      <c r="AH50" s="15">
        <v>22</v>
      </c>
      <c r="AJ50" s="15">
        <v>3.96</v>
      </c>
      <c r="AK50" s="15">
        <v>23.76</v>
      </c>
      <c r="AL50" s="15">
        <v>72.28</v>
      </c>
      <c r="AM50" s="1">
        <v>3</v>
      </c>
      <c r="AP50" s="15" t="s">
        <v>691</v>
      </c>
      <c r="AQ50" s="1">
        <v>1</v>
      </c>
      <c r="AR50" s="1">
        <v>4</v>
      </c>
      <c r="AT50" s="15" t="s">
        <v>993</v>
      </c>
      <c r="AW50" s="15">
        <v>4.4000000000000004</v>
      </c>
      <c r="AX50" s="15">
        <f t="shared" si="54"/>
        <v>4796</v>
      </c>
      <c r="AY50" s="15" t="s">
        <v>766</v>
      </c>
      <c r="AZ50" s="15">
        <f t="shared" si="34"/>
        <v>4796</v>
      </c>
      <c r="BA50" s="15">
        <f t="shared" si="35"/>
        <v>1.6368600682593857</v>
      </c>
      <c r="BB50" s="15">
        <f t="shared" si="36"/>
        <v>2877.6</v>
      </c>
      <c r="EW50" s="18"/>
      <c r="EX50" s="18"/>
      <c r="EY50" s="18"/>
      <c r="FK50" s="16">
        <f t="shared" si="55"/>
        <v>4.75</v>
      </c>
      <c r="FL50" s="16">
        <f t="shared" si="56"/>
        <v>5.1199999999999992</v>
      </c>
      <c r="FM50" s="15">
        <v>3.98</v>
      </c>
      <c r="FN50" s="15">
        <v>0.08</v>
      </c>
      <c r="FO50" s="15">
        <f>FN50*SQRT(AR50)</f>
        <v>0.16</v>
      </c>
      <c r="FP50" s="15">
        <v>4.3499999999999996</v>
      </c>
      <c r="FQ50" s="15">
        <v>8.6999999999999994E-2</v>
      </c>
      <c r="FR50" s="15">
        <f>FQ50*SQRT(AR50)</f>
        <v>0.17399999999999999</v>
      </c>
      <c r="FS50" s="15">
        <f t="shared" si="6"/>
        <v>1.0929648241206029</v>
      </c>
      <c r="FT50" s="15">
        <f t="shared" si="7"/>
        <v>0.36999999999999966</v>
      </c>
      <c r="FU50" s="15">
        <f t="shared" si="8"/>
        <v>8.8894025804246324E-2</v>
      </c>
      <c r="FV50" s="15">
        <f>((FR50*FR50)/(AR50*FP50*FP50)+(FO50*FO50)/(AR50*FM50*FM50))</f>
        <v>8.0403020125754412E-4</v>
      </c>
      <c r="FX50" s="15">
        <f>17.9*1.23</f>
        <v>22.016999999999999</v>
      </c>
      <c r="FY50" s="15">
        <v>2.2000000000000002</v>
      </c>
      <c r="FZ50" s="15">
        <f>FY50*SQRT(AR50)</f>
        <v>4.4000000000000004</v>
      </c>
      <c r="GA50" s="15">
        <f>15.4*1.23</f>
        <v>18.942</v>
      </c>
      <c r="GB50" s="15">
        <v>1.51536</v>
      </c>
      <c r="GC50" s="15">
        <f>GB50*SQRT(AR50)</f>
        <v>3.0307200000000001</v>
      </c>
      <c r="GD50" s="15">
        <f t="shared" si="57"/>
        <v>0.86033519553072624</v>
      </c>
      <c r="GE50" s="15">
        <f t="shared" si="58"/>
        <v>-3.0749999999999993</v>
      </c>
      <c r="GF50" s="15">
        <f t="shared" si="59"/>
        <v>-0.15043320342712585</v>
      </c>
      <c r="GG50" s="15">
        <f>((GC50*GC50)/(AR50*GA50*GA50)+(FZ50*FZ50)/(AR50*FX50*FX50))</f>
        <v>1.6384563349330358E-2</v>
      </c>
      <c r="GI50" s="15">
        <f>9.3/1.4</f>
        <v>6.6428571428571441</v>
      </c>
      <c r="GJ50" s="15">
        <f t="shared" si="60"/>
        <v>0.26571428571428579</v>
      </c>
      <c r="GK50" s="15">
        <f>GJ50*SQRT(AR50)</f>
        <v>0.53142857142857158</v>
      </c>
      <c r="GL50" s="15">
        <f>9.51/1.4</f>
        <v>6.7928571428571427</v>
      </c>
      <c r="GM50" s="15">
        <f t="shared" si="61"/>
        <v>0.54342857142857148</v>
      </c>
      <c r="GN50" s="15">
        <f>GM50*SQRT(AR50)</f>
        <v>1.086857142857143</v>
      </c>
      <c r="GO50" s="15">
        <f t="shared" si="62"/>
        <v>1.0225806451612902</v>
      </c>
      <c r="GP50" s="15">
        <f t="shared" si="63"/>
        <v>0.14999999999999858</v>
      </c>
      <c r="GQ50" s="15">
        <f t="shared" si="64"/>
        <v>2.2329476398088577E-2</v>
      </c>
      <c r="GR50" s="15">
        <f>((GN50*GN50)/(AR50*GL50*GL50)+(GK50*GK50)/(AR50*GI50*GI50))</f>
        <v>8.0000000000000019E-3</v>
      </c>
      <c r="GT50" s="15">
        <v>11.7</v>
      </c>
      <c r="GU50" s="15">
        <v>2.1059999999999999</v>
      </c>
      <c r="GV50" s="15">
        <f>GU50*SQRT(AR50)</f>
        <v>4.2119999999999997</v>
      </c>
      <c r="GW50" s="15">
        <v>28</v>
      </c>
      <c r="GX50" s="15">
        <v>5.04</v>
      </c>
      <c r="GY50" s="15">
        <f>GX50*SQRT(AR50)</f>
        <v>10.08</v>
      </c>
      <c r="GZ50" s="15">
        <f t="shared" si="65"/>
        <v>2.3931623931623931</v>
      </c>
      <c r="HA50" s="15">
        <f t="shared" si="66"/>
        <v>16.3</v>
      </c>
      <c r="HB50" s="15">
        <f t="shared" si="67"/>
        <v>0.8726156683714934</v>
      </c>
      <c r="HC50" s="15">
        <f>((GY50*GY50)/(AR50*GW50*GW50)+(GV50*GV50)/(AR50*GT50*GT50))</f>
        <v>6.4799999999999996E-2</v>
      </c>
      <c r="HG50" s="15"/>
      <c r="HJ50" s="15"/>
      <c r="HL50" s="15"/>
      <c r="HM50" s="15"/>
      <c r="HN50" s="15"/>
      <c r="HY50" s="15">
        <f>AZ50</f>
        <v>4796</v>
      </c>
      <c r="HZ50" s="15">
        <f>BA50</f>
        <v>1.6368600682593857</v>
      </c>
      <c r="IA50" s="15">
        <f>BB50</f>
        <v>2877.6</v>
      </c>
    </row>
    <row r="51" spans="1:235" x14ac:dyDescent="0.25">
      <c r="A51" s="31">
        <v>49</v>
      </c>
      <c r="B51" s="1">
        <v>10</v>
      </c>
      <c r="C51" s="1">
        <v>12</v>
      </c>
      <c r="D51" s="15" t="s">
        <v>26</v>
      </c>
      <c r="E51" s="1">
        <v>1</v>
      </c>
      <c r="F51" s="15" t="s">
        <v>761</v>
      </c>
      <c r="G51" s="15" t="s">
        <v>684</v>
      </c>
      <c r="H51" s="15" t="s">
        <v>685</v>
      </c>
      <c r="I51" s="1">
        <v>2002</v>
      </c>
      <c r="J51" s="15" t="s">
        <v>686</v>
      </c>
      <c r="K51" s="1" t="s">
        <v>683</v>
      </c>
      <c r="L51" s="15" t="s">
        <v>687</v>
      </c>
      <c r="M51" s="15" t="s">
        <v>648</v>
      </c>
      <c r="N51" s="15" t="s">
        <v>649</v>
      </c>
      <c r="O51" s="31">
        <v>2</v>
      </c>
      <c r="P51" s="15">
        <v>-23.22</v>
      </c>
      <c r="Q51" s="15">
        <v>-50.02</v>
      </c>
      <c r="S51" s="15">
        <v>1507</v>
      </c>
      <c r="T51" s="15">
        <v>23</v>
      </c>
      <c r="U51" s="15" t="s">
        <v>549</v>
      </c>
      <c r="V51" s="31">
        <v>1</v>
      </c>
      <c r="W51" s="16"/>
      <c r="X51" s="15" t="s">
        <v>688</v>
      </c>
      <c r="Y51" s="1">
        <v>5</v>
      </c>
      <c r="Z51" s="15">
        <v>4</v>
      </c>
      <c r="AA51" s="15" t="s">
        <v>663</v>
      </c>
      <c r="AB51" s="15">
        <f t="shared" si="53"/>
        <v>4.7699999999999996</v>
      </c>
      <c r="AC51" s="1">
        <v>2</v>
      </c>
      <c r="AD51" s="15">
        <v>19.37</v>
      </c>
      <c r="AE51" s="15"/>
      <c r="AF51" s="15">
        <v>9.2100000000000009</v>
      </c>
      <c r="AG51" s="15"/>
      <c r="AH51" s="15">
        <v>22</v>
      </c>
      <c r="AJ51" s="15">
        <v>3.96</v>
      </c>
      <c r="AK51" s="15">
        <v>23.76</v>
      </c>
      <c r="AL51" s="15">
        <v>72.28</v>
      </c>
      <c r="AM51" s="1">
        <v>3</v>
      </c>
      <c r="AP51" s="15" t="s">
        <v>691</v>
      </c>
      <c r="AQ51" s="1">
        <v>1</v>
      </c>
      <c r="AR51" s="1">
        <v>4</v>
      </c>
      <c r="AT51" s="15" t="s">
        <v>993</v>
      </c>
      <c r="AW51" s="15">
        <v>6.6</v>
      </c>
      <c r="AX51" s="15">
        <f t="shared" si="54"/>
        <v>7194.0000000000009</v>
      </c>
      <c r="AY51" s="15" t="s">
        <v>766</v>
      </c>
      <c r="AZ51" s="15">
        <f t="shared" si="34"/>
        <v>7194.0000000000009</v>
      </c>
      <c r="BA51" s="15">
        <f t="shared" si="35"/>
        <v>2.4552901023890787</v>
      </c>
      <c r="BB51" s="15">
        <f t="shared" si="36"/>
        <v>4316.4000000000005</v>
      </c>
      <c r="EW51" s="18"/>
      <c r="EX51" s="18"/>
      <c r="EY51" s="18"/>
      <c r="FK51" s="16">
        <f t="shared" si="55"/>
        <v>4.75</v>
      </c>
      <c r="FL51" s="16">
        <f t="shared" si="56"/>
        <v>5.2200000000000006</v>
      </c>
      <c r="FM51" s="15">
        <v>3.98</v>
      </c>
      <c r="FN51" s="15">
        <v>0.08</v>
      </c>
      <c r="FO51" s="15">
        <f>FN51*SQRT(AR51)</f>
        <v>0.16</v>
      </c>
      <c r="FP51" s="15">
        <v>4.45</v>
      </c>
      <c r="FQ51" s="15">
        <v>8.900000000000001E-2</v>
      </c>
      <c r="FR51" s="15">
        <f>FQ51*SQRT(AR51)</f>
        <v>0.17800000000000002</v>
      </c>
      <c r="FS51" s="15">
        <f t="shared" si="6"/>
        <v>1.1180904522613067</v>
      </c>
      <c r="FT51" s="15">
        <f t="shared" si="7"/>
        <v>0.4700000000000002</v>
      </c>
      <c r="FU51" s="15">
        <f t="shared" si="8"/>
        <v>0.11162227688180248</v>
      </c>
      <c r="FV51" s="15">
        <f>((FR51*FR51)/(AR51*FP51*FP51)+(FO51*FO51)/(AR51*FM51*FM51))</f>
        <v>8.0403020125754401E-4</v>
      </c>
      <c r="FX51" s="15">
        <f>17.9*1.23</f>
        <v>22.016999999999999</v>
      </c>
      <c r="FY51" s="15">
        <v>2.2000000000000002</v>
      </c>
      <c r="FZ51" s="15">
        <f>FY51*SQRT(AR51)</f>
        <v>4.4000000000000004</v>
      </c>
      <c r="GA51" s="15">
        <f>14.6*1.23</f>
        <v>17.957999999999998</v>
      </c>
      <c r="GB51" s="15">
        <v>1.4366399999999999</v>
      </c>
      <c r="GC51" s="15">
        <f>GB51*SQRT(AR51)</f>
        <v>2.8732799999999998</v>
      </c>
      <c r="GD51" s="15">
        <f t="shared" si="57"/>
        <v>0.81564245810055858</v>
      </c>
      <c r="GE51" s="15">
        <f t="shared" si="58"/>
        <v>-4.0590000000000011</v>
      </c>
      <c r="GF51" s="15">
        <f t="shared" si="59"/>
        <v>-0.20377918413241902</v>
      </c>
      <c r="GG51" s="15">
        <f>((GC51*GC51)/(AR51*GA51*GA51)+(FZ51*FZ51)/(AR51*FX51*FX51))</f>
        <v>1.6384563349330361E-2</v>
      </c>
      <c r="GI51" s="15">
        <f>9.3/1.4</f>
        <v>6.6428571428571441</v>
      </c>
      <c r="GJ51" s="15">
        <f t="shared" si="60"/>
        <v>0.26571428571428579</v>
      </c>
      <c r="GK51" s="15">
        <f>GJ51*SQRT(AR51)</f>
        <v>0.53142857142857158</v>
      </c>
      <c r="GL51" s="15">
        <f>9.28/1.4</f>
        <v>6.6285714285714281</v>
      </c>
      <c r="GM51" s="15">
        <f t="shared" si="61"/>
        <v>0.53028571428571425</v>
      </c>
      <c r="GN51" s="15">
        <f>GM51*SQRT(AR51)</f>
        <v>1.0605714285714285</v>
      </c>
      <c r="GO51" s="15">
        <f t="shared" si="62"/>
        <v>0.99784946236559113</v>
      </c>
      <c r="GP51" s="15">
        <f t="shared" si="63"/>
        <v>-1.4285714285716011E-2</v>
      </c>
      <c r="GQ51" s="15">
        <f t="shared" si="64"/>
        <v>-2.1528533611012701E-3</v>
      </c>
      <c r="GR51" s="15">
        <f>((GN51*GN51)/(AR51*GL51*GL51)+(GK51*GK51)/(AR51*GI51*GI51))</f>
        <v>8.0000000000000002E-3</v>
      </c>
      <c r="GT51" s="15">
        <v>11.7</v>
      </c>
      <c r="GU51" s="15">
        <v>2.1059999999999999</v>
      </c>
      <c r="GV51" s="15">
        <f>GU51*SQRT(AR51)</f>
        <v>4.2119999999999997</v>
      </c>
      <c r="GW51" s="15">
        <v>31.3</v>
      </c>
      <c r="GX51" s="15">
        <v>5.6340000000000003</v>
      </c>
      <c r="GY51" s="15">
        <f>GX51*SQRT(AR51)</f>
        <v>11.268000000000001</v>
      </c>
      <c r="GZ51" s="15">
        <f t="shared" si="65"/>
        <v>2.6752136752136755</v>
      </c>
      <c r="HA51" s="15">
        <f t="shared" si="66"/>
        <v>19.600000000000001</v>
      </c>
      <c r="HB51" s="15">
        <f t="shared" si="67"/>
        <v>0.98402925574239708</v>
      </c>
      <c r="HC51" s="15">
        <f>((GY51*GY51)/(AR51*GW51*GW51)+(GV51*GV51)/(AR51*GT51*GT51))</f>
        <v>6.4799999999999996E-2</v>
      </c>
      <c r="HG51" s="15"/>
      <c r="HJ51" s="15"/>
      <c r="HL51" s="15"/>
      <c r="HM51" s="15"/>
      <c r="HN51" s="15"/>
      <c r="HY51" s="15">
        <f>AZ51</f>
        <v>7194.0000000000009</v>
      </c>
      <c r="HZ51" s="15">
        <f>BA51</f>
        <v>2.4552901023890787</v>
      </c>
      <c r="IA51" s="15">
        <f>BB51</f>
        <v>4316.4000000000005</v>
      </c>
    </row>
    <row r="52" spans="1:235" x14ac:dyDescent="0.25">
      <c r="A52" s="31">
        <v>50</v>
      </c>
      <c r="B52" s="1">
        <v>10</v>
      </c>
      <c r="C52" s="1">
        <v>12</v>
      </c>
      <c r="D52" s="15" t="s">
        <v>27</v>
      </c>
      <c r="E52" s="1">
        <v>1</v>
      </c>
      <c r="F52" s="15" t="s">
        <v>761</v>
      </c>
      <c r="G52" s="15" t="s">
        <v>684</v>
      </c>
      <c r="H52" s="15" t="s">
        <v>685</v>
      </c>
      <c r="I52" s="1">
        <v>2002</v>
      </c>
      <c r="J52" s="15" t="s">
        <v>686</v>
      </c>
      <c r="K52" s="1" t="s">
        <v>683</v>
      </c>
      <c r="L52" s="15" t="s">
        <v>687</v>
      </c>
      <c r="M52" s="15" t="s">
        <v>648</v>
      </c>
      <c r="N52" s="15" t="s">
        <v>649</v>
      </c>
      <c r="O52" s="31">
        <v>2</v>
      </c>
      <c r="P52" s="15">
        <v>-23.22</v>
      </c>
      <c r="Q52" s="15">
        <v>-50.02</v>
      </c>
      <c r="S52" s="15">
        <v>1507</v>
      </c>
      <c r="T52" s="15">
        <v>23</v>
      </c>
      <c r="U52" s="15" t="s">
        <v>549</v>
      </c>
      <c r="V52" s="31">
        <v>1</v>
      </c>
      <c r="W52" s="16"/>
      <c r="X52" s="15" t="s">
        <v>688</v>
      </c>
      <c r="Y52" s="1">
        <v>5</v>
      </c>
      <c r="Z52" s="15">
        <v>4</v>
      </c>
      <c r="AA52" s="15" t="s">
        <v>663</v>
      </c>
      <c r="AB52" s="15">
        <f t="shared" si="53"/>
        <v>4.7699999999999996</v>
      </c>
      <c r="AC52" s="1">
        <v>2</v>
      </c>
      <c r="AD52" s="15">
        <v>19.37</v>
      </c>
      <c r="AE52" s="15"/>
      <c r="AF52" s="15">
        <v>9.2100000000000009</v>
      </c>
      <c r="AG52" s="15"/>
      <c r="AH52" s="15">
        <v>22</v>
      </c>
      <c r="AJ52" s="15">
        <v>3.96</v>
      </c>
      <c r="AK52" s="15">
        <v>23.76</v>
      </c>
      <c r="AL52" s="15">
        <v>72.28</v>
      </c>
      <c r="AM52" s="1">
        <v>3</v>
      </c>
      <c r="AP52" s="15" t="s">
        <v>691</v>
      </c>
      <c r="AQ52" s="1">
        <v>1</v>
      </c>
      <c r="AR52" s="1">
        <v>4</v>
      </c>
      <c r="AT52" s="15" t="s">
        <v>993</v>
      </c>
      <c r="AW52" s="15">
        <v>8.8000000000000007</v>
      </c>
      <c r="AX52" s="15">
        <f t="shared" si="54"/>
        <v>9592</v>
      </c>
      <c r="AY52" s="15" t="s">
        <v>766</v>
      </c>
      <c r="AZ52" s="15">
        <f t="shared" si="34"/>
        <v>9592</v>
      </c>
      <c r="BA52" s="15">
        <f t="shared" si="35"/>
        <v>3.2737201365187714</v>
      </c>
      <c r="BB52" s="15">
        <f t="shared" si="36"/>
        <v>5755.2</v>
      </c>
      <c r="EW52" s="18"/>
      <c r="EX52" s="18"/>
      <c r="EY52" s="18"/>
      <c r="FK52" s="16">
        <f t="shared" si="55"/>
        <v>4.75</v>
      </c>
      <c r="FL52" s="16">
        <f t="shared" si="56"/>
        <v>5.3699999999999992</v>
      </c>
      <c r="FM52" s="15">
        <v>3.98</v>
      </c>
      <c r="FN52" s="15">
        <v>0.08</v>
      </c>
      <c r="FO52" s="15">
        <f>FN52*SQRT(AR52)</f>
        <v>0.16</v>
      </c>
      <c r="FP52" s="15">
        <v>4.5999999999999996</v>
      </c>
      <c r="FQ52" s="15">
        <v>9.1999999999999998E-2</v>
      </c>
      <c r="FR52" s="15">
        <f>FQ52*SQRT(AR52)</f>
        <v>0.184</v>
      </c>
      <c r="FS52" s="15">
        <f t="shared" si="6"/>
        <v>1.1557788944723617</v>
      </c>
      <c r="FT52" s="15">
        <f t="shared" si="7"/>
        <v>0.61999999999999966</v>
      </c>
      <c r="FU52" s="15">
        <f t="shared" si="8"/>
        <v>0.14477448419870287</v>
      </c>
      <c r="FV52" s="15">
        <f>((FR52*FR52)/(AR52*FP52*FP52)+(FO52*FO52)/(AR52*FM52*FM52))</f>
        <v>8.0403020125754401E-4</v>
      </c>
      <c r="FX52" s="15">
        <f>17.9*1.23</f>
        <v>22.016999999999999</v>
      </c>
      <c r="FY52" s="15">
        <v>2.2000000000000002</v>
      </c>
      <c r="FZ52" s="15">
        <f>FY52*SQRT(AR52)</f>
        <v>4.4000000000000004</v>
      </c>
      <c r="GA52" s="15">
        <f>14.5*1.23</f>
        <v>17.835000000000001</v>
      </c>
      <c r="GB52" s="15">
        <v>1.4268000000000001</v>
      </c>
      <c r="GC52" s="15">
        <f>GB52*SQRT(AR52)</f>
        <v>2.8536000000000001</v>
      </c>
      <c r="GD52" s="15">
        <f t="shared" si="57"/>
        <v>0.8100558659217878</v>
      </c>
      <c r="GE52" s="15">
        <f t="shared" si="58"/>
        <v>-4.1819999999999986</v>
      </c>
      <c r="GF52" s="15">
        <f t="shared" si="59"/>
        <v>-0.21065206342018072</v>
      </c>
      <c r="GG52" s="15">
        <f>((GC52*GC52)/(AR52*GA52*GA52)+(FZ52*FZ52)/(AR52*FX52*FX52))</f>
        <v>1.6384563349330358E-2</v>
      </c>
      <c r="GI52" s="15">
        <f>9.3/1.4</f>
        <v>6.6428571428571441</v>
      </c>
      <c r="GJ52" s="15">
        <f t="shared" si="60"/>
        <v>0.26571428571428579</v>
      </c>
      <c r="GK52" s="15">
        <f>GJ52*SQRT(AR52)</f>
        <v>0.53142857142857158</v>
      </c>
      <c r="GL52" s="15">
        <f>9.22/1.4</f>
        <v>6.5857142857142863</v>
      </c>
      <c r="GM52" s="15">
        <f t="shared" si="61"/>
        <v>0.52685714285714291</v>
      </c>
      <c r="GN52" s="15">
        <f>GM52*SQRT(AR52)</f>
        <v>1.0537142857142858</v>
      </c>
      <c r="GO52" s="15">
        <f t="shared" si="62"/>
        <v>0.99139784946236553</v>
      </c>
      <c r="GP52" s="15">
        <f t="shared" si="63"/>
        <v>-5.7142857142857828E-2</v>
      </c>
      <c r="GQ52" s="15">
        <f t="shared" si="64"/>
        <v>-8.6393625907077443E-3</v>
      </c>
      <c r="GR52" s="15">
        <f>((GN52*GN52)/(AR52*GL52*GL52)+(GK52*GK52)/(AR52*GI52*GI52))</f>
        <v>8.0000000000000002E-3</v>
      </c>
      <c r="GT52" s="15">
        <v>11.7</v>
      </c>
      <c r="GU52" s="15">
        <v>2.1059999999999999</v>
      </c>
      <c r="GV52" s="15">
        <f>GU52*SQRT(AR52)</f>
        <v>4.2119999999999997</v>
      </c>
      <c r="GW52" s="15">
        <v>36.5</v>
      </c>
      <c r="GX52" s="15">
        <v>6.5699999999999994</v>
      </c>
      <c r="GY52" s="15">
        <f>GX52*SQRT(AR52)</f>
        <v>13.139999999999999</v>
      </c>
      <c r="GZ52" s="15">
        <f t="shared" si="65"/>
        <v>3.1196581196581197</v>
      </c>
      <c r="HA52" s="15">
        <f t="shared" si="66"/>
        <v>24.8</v>
      </c>
      <c r="HB52" s="15">
        <f t="shared" si="67"/>
        <v>1.1377234187847356</v>
      </c>
      <c r="HC52" s="15">
        <f>((GY52*GY52)/(AR52*GW52*GW52)+(GV52*GV52)/(AR52*GT52*GT52))</f>
        <v>6.4799999999999996E-2</v>
      </c>
      <c r="HG52" s="15"/>
      <c r="HJ52" s="15"/>
      <c r="HL52" s="15"/>
      <c r="HM52" s="15"/>
      <c r="HN52" s="15"/>
      <c r="HY52" s="15">
        <f>AZ52</f>
        <v>9592</v>
      </c>
      <c r="HZ52" s="15">
        <f>BA52</f>
        <v>3.2737201365187714</v>
      </c>
      <c r="IA52" s="15">
        <f>BB52</f>
        <v>5755.2</v>
      </c>
    </row>
    <row r="53" spans="1:235" x14ac:dyDescent="0.25">
      <c r="A53" s="31">
        <v>51</v>
      </c>
      <c r="B53" s="1">
        <v>10</v>
      </c>
      <c r="C53" s="1">
        <v>12</v>
      </c>
      <c r="D53" s="15" t="s">
        <v>28</v>
      </c>
      <c r="E53" s="1">
        <v>1</v>
      </c>
      <c r="F53" s="15" t="s">
        <v>761</v>
      </c>
      <c r="G53" s="15" t="s">
        <v>684</v>
      </c>
      <c r="H53" s="15" t="s">
        <v>685</v>
      </c>
      <c r="I53" s="1">
        <v>2002</v>
      </c>
      <c r="J53" s="15" t="s">
        <v>686</v>
      </c>
      <c r="K53" s="1" t="s">
        <v>683</v>
      </c>
      <c r="L53" s="15" t="s">
        <v>687</v>
      </c>
      <c r="M53" s="15" t="s">
        <v>648</v>
      </c>
      <c r="N53" s="15" t="s">
        <v>649</v>
      </c>
      <c r="O53" s="31">
        <v>2</v>
      </c>
      <c r="P53" s="15">
        <v>-23.22</v>
      </c>
      <c r="Q53" s="15">
        <v>-50.02</v>
      </c>
      <c r="S53" s="15">
        <v>1507</v>
      </c>
      <c r="T53" s="15">
        <v>23</v>
      </c>
      <c r="U53" s="15" t="s">
        <v>549</v>
      </c>
      <c r="V53" s="31">
        <v>1</v>
      </c>
      <c r="W53" s="16"/>
      <c r="X53" s="15" t="s">
        <v>689</v>
      </c>
      <c r="Y53" s="1">
        <v>1</v>
      </c>
      <c r="Z53" s="15">
        <v>4</v>
      </c>
      <c r="AA53" s="15" t="s">
        <v>663</v>
      </c>
      <c r="AB53" s="15">
        <f t="shared" si="53"/>
        <v>4.7699999999999996</v>
      </c>
      <c r="AC53" s="1">
        <v>2</v>
      </c>
      <c r="AD53" s="15">
        <v>19.37</v>
      </c>
      <c r="AE53" s="15"/>
      <c r="AF53" s="15">
        <v>9.2100000000000009</v>
      </c>
      <c r="AG53" s="15"/>
      <c r="AH53" s="15">
        <v>22</v>
      </c>
      <c r="AJ53" s="15">
        <v>3.96</v>
      </c>
      <c r="AK53" s="15">
        <v>23.76</v>
      </c>
      <c r="AL53" s="15">
        <v>72.28</v>
      </c>
      <c r="AM53" s="1">
        <v>3</v>
      </c>
      <c r="AP53" s="15" t="s">
        <v>691</v>
      </c>
      <c r="AQ53" s="1">
        <v>1</v>
      </c>
      <c r="AR53" s="1">
        <v>4</v>
      </c>
      <c r="AT53" s="15" t="s">
        <v>993</v>
      </c>
      <c r="AW53" s="15">
        <v>2.2000000000000002</v>
      </c>
      <c r="AX53" s="15">
        <f t="shared" si="54"/>
        <v>2398</v>
      </c>
      <c r="AY53" s="15" t="s">
        <v>766</v>
      </c>
      <c r="AZ53" s="15">
        <f t="shared" si="34"/>
        <v>2398</v>
      </c>
      <c r="BA53" s="15">
        <f t="shared" si="35"/>
        <v>0.81843003412969284</v>
      </c>
      <c r="BB53" s="15">
        <f t="shared" si="36"/>
        <v>1438.8</v>
      </c>
      <c r="EW53" s="18"/>
      <c r="EX53" s="18"/>
      <c r="EY53" s="18"/>
      <c r="FK53" s="16">
        <f t="shared" si="55"/>
        <v>4.7</v>
      </c>
      <c r="FL53" s="16">
        <f t="shared" si="56"/>
        <v>4.8699999999999992</v>
      </c>
      <c r="FM53" s="15">
        <v>3.93</v>
      </c>
      <c r="FN53" s="15">
        <v>0.08</v>
      </c>
      <c r="FO53" s="15">
        <f>FN53*SQRT(AR53)</f>
        <v>0.16</v>
      </c>
      <c r="FP53" s="15">
        <v>4.0999999999999996</v>
      </c>
      <c r="FQ53" s="15">
        <v>8.199999999999999E-2</v>
      </c>
      <c r="FR53" s="15">
        <f>FQ53*SQRT(AR53)</f>
        <v>0.16399999999999998</v>
      </c>
      <c r="FS53" s="15">
        <f t="shared" si="6"/>
        <v>1.0432569974554706</v>
      </c>
      <c r="FT53" s="15">
        <f t="shared" si="7"/>
        <v>0.16999999999999948</v>
      </c>
      <c r="FU53" s="15">
        <f t="shared" si="8"/>
        <v>4.2347547829092225E-2</v>
      </c>
      <c r="FV53" s="15">
        <f>((FR53*FR53)/(AR53*FP53*FP53)+(FO53*FO53)/(AR53*FM53*FM53))</f>
        <v>8.143762665993304E-4</v>
      </c>
      <c r="FX53" s="15">
        <f>12.6*1.23</f>
        <v>15.497999999999999</v>
      </c>
      <c r="FY53" s="15">
        <v>1.5</v>
      </c>
      <c r="FZ53" s="15">
        <f>FY53*SQRT(AR53)</f>
        <v>3</v>
      </c>
      <c r="GA53" s="15">
        <f>12.7*1.23</f>
        <v>15.620999999999999</v>
      </c>
      <c r="GB53" s="15">
        <v>1.2496799999999999</v>
      </c>
      <c r="GC53" s="15">
        <f>GB53*SQRT(AR53)</f>
        <v>2.4993599999999998</v>
      </c>
      <c r="GD53" s="15">
        <f t="shared" si="57"/>
        <v>1.0079365079365079</v>
      </c>
      <c r="GE53" s="15">
        <f t="shared" si="58"/>
        <v>0.12299999999999933</v>
      </c>
      <c r="GF53" s="15">
        <f t="shared" si="59"/>
        <v>7.9051795071132247E-3</v>
      </c>
      <c r="GG53" s="15">
        <f>((GC53*GC53)/(AR53*GA53*GA53)+(FZ53*FZ53)/(AR53*FX53*FX53))</f>
        <v>1.5767661842095992E-2</v>
      </c>
      <c r="GI53" s="15">
        <f>8.7/1.4</f>
        <v>6.2142857142857144</v>
      </c>
      <c r="GJ53" s="15">
        <f t="shared" si="60"/>
        <v>0.24857142857142858</v>
      </c>
      <c r="GK53" s="15">
        <f>GJ53*SQRT(AR53)</f>
        <v>0.49714285714285716</v>
      </c>
      <c r="GL53" s="15">
        <f>8.35/1.4</f>
        <v>5.9642857142857144</v>
      </c>
      <c r="GM53" s="15">
        <f t="shared" si="61"/>
        <v>0.47714285714285715</v>
      </c>
      <c r="GN53" s="15">
        <f>GM53*SQRT(AR53)</f>
        <v>0.95428571428571429</v>
      </c>
      <c r="GO53" s="15">
        <f t="shared" si="62"/>
        <v>0.95977011494252873</v>
      </c>
      <c r="GP53" s="15">
        <f t="shared" si="63"/>
        <v>-0.25</v>
      </c>
      <c r="GQ53" s="15">
        <f t="shared" si="64"/>
        <v>-4.1061486797773883E-2</v>
      </c>
      <c r="GR53" s="15">
        <f>((GN53*GN53)/(AR53*GL53*GL53)+(GK53*GK53)/(AR53*GI53*GI53))</f>
        <v>8.0000000000000002E-3</v>
      </c>
      <c r="GT53" s="15">
        <v>12.8</v>
      </c>
      <c r="GU53" s="15">
        <v>2.048</v>
      </c>
      <c r="GV53" s="15">
        <f>GU53*SQRT(AR53)</f>
        <v>4.0960000000000001</v>
      </c>
      <c r="GW53" s="15">
        <v>20</v>
      </c>
      <c r="GX53" s="15">
        <v>3.2</v>
      </c>
      <c r="GY53" s="15">
        <f>GX53*SQRT(AR53)</f>
        <v>6.4</v>
      </c>
      <c r="GZ53" s="15">
        <f t="shared" si="65"/>
        <v>1.5625</v>
      </c>
      <c r="HA53" s="15">
        <f t="shared" si="66"/>
        <v>7.1999999999999993</v>
      </c>
      <c r="HB53" s="15">
        <f t="shared" si="67"/>
        <v>0.44628710262841942</v>
      </c>
      <c r="HC53" s="15">
        <f>((GY53*GY53)/(AR53*GW53*GW53)+(GV53*GV53)/(AR53*GT53*GT53))</f>
        <v>5.1199999999999996E-2</v>
      </c>
      <c r="HG53" s="15"/>
      <c r="HJ53" s="15"/>
      <c r="HL53" s="15"/>
      <c r="HM53" s="15"/>
      <c r="HN53" s="15"/>
      <c r="HY53" s="15">
        <f>AZ53</f>
        <v>2398</v>
      </c>
      <c r="HZ53" s="15">
        <f>BA53</f>
        <v>0.81843003412969284</v>
      </c>
      <c r="IA53" s="15">
        <f>BB53</f>
        <v>1438.8</v>
      </c>
    </row>
    <row r="54" spans="1:235" x14ac:dyDescent="0.25">
      <c r="A54" s="31">
        <v>52</v>
      </c>
      <c r="B54" s="1">
        <v>10</v>
      </c>
      <c r="C54" s="1">
        <v>12</v>
      </c>
      <c r="D54" s="15" t="s">
        <v>29</v>
      </c>
      <c r="E54" s="1">
        <v>1</v>
      </c>
      <c r="F54" s="15" t="s">
        <v>761</v>
      </c>
      <c r="G54" s="15" t="s">
        <v>684</v>
      </c>
      <c r="H54" s="15" t="s">
        <v>685</v>
      </c>
      <c r="I54" s="1">
        <v>2002</v>
      </c>
      <c r="J54" s="15" t="s">
        <v>686</v>
      </c>
      <c r="K54" s="1" t="s">
        <v>683</v>
      </c>
      <c r="L54" s="15" t="s">
        <v>687</v>
      </c>
      <c r="M54" s="15" t="s">
        <v>648</v>
      </c>
      <c r="N54" s="15" t="s">
        <v>649</v>
      </c>
      <c r="O54" s="31">
        <v>2</v>
      </c>
      <c r="P54" s="15">
        <v>-23.22</v>
      </c>
      <c r="Q54" s="15">
        <v>-50.02</v>
      </c>
      <c r="S54" s="15">
        <v>1507</v>
      </c>
      <c r="T54" s="15">
        <v>23</v>
      </c>
      <c r="U54" s="15" t="s">
        <v>549</v>
      </c>
      <c r="V54" s="31">
        <v>1</v>
      </c>
      <c r="W54" s="16"/>
      <c r="X54" s="15" t="s">
        <v>689</v>
      </c>
      <c r="Y54" s="1">
        <v>1</v>
      </c>
      <c r="Z54" s="15">
        <v>4</v>
      </c>
      <c r="AA54" s="15" t="s">
        <v>663</v>
      </c>
      <c r="AB54" s="15">
        <f t="shared" si="53"/>
        <v>4.7699999999999996</v>
      </c>
      <c r="AC54" s="1">
        <v>2</v>
      </c>
      <c r="AD54" s="15">
        <v>19.37</v>
      </c>
      <c r="AE54" s="15"/>
      <c r="AF54" s="15">
        <v>9.2100000000000009</v>
      </c>
      <c r="AG54" s="15"/>
      <c r="AH54" s="15">
        <v>22</v>
      </c>
      <c r="AJ54" s="15">
        <v>3.96</v>
      </c>
      <c r="AK54" s="15">
        <v>23.76</v>
      </c>
      <c r="AL54" s="15">
        <v>72.28</v>
      </c>
      <c r="AM54" s="1">
        <v>3</v>
      </c>
      <c r="AP54" s="15" t="s">
        <v>691</v>
      </c>
      <c r="AQ54" s="1">
        <v>1</v>
      </c>
      <c r="AR54" s="1">
        <v>4</v>
      </c>
      <c r="AT54" s="15" t="s">
        <v>993</v>
      </c>
      <c r="AW54" s="15">
        <v>4.4000000000000004</v>
      </c>
      <c r="AX54" s="15">
        <f t="shared" si="54"/>
        <v>4796</v>
      </c>
      <c r="AY54" s="15" t="s">
        <v>766</v>
      </c>
      <c r="AZ54" s="15">
        <f t="shared" si="34"/>
        <v>4796</v>
      </c>
      <c r="BA54" s="15">
        <f t="shared" si="35"/>
        <v>1.6368600682593857</v>
      </c>
      <c r="BB54" s="15">
        <f t="shared" si="36"/>
        <v>2877.6</v>
      </c>
      <c r="EW54" s="18"/>
      <c r="EX54" s="18"/>
      <c r="EY54" s="18"/>
      <c r="FK54" s="16">
        <f t="shared" si="55"/>
        <v>4.7</v>
      </c>
      <c r="FL54" s="16">
        <f t="shared" si="56"/>
        <v>4.9000000000000004</v>
      </c>
      <c r="FM54" s="15">
        <v>3.93</v>
      </c>
      <c r="FN54" s="15">
        <v>0.08</v>
      </c>
      <c r="FO54" s="15">
        <f>FN54*SQRT(AR54)</f>
        <v>0.16</v>
      </c>
      <c r="FP54" s="15">
        <v>4.13</v>
      </c>
      <c r="FQ54" s="15">
        <v>8.2599999999999993E-2</v>
      </c>
      <c r="FR54" s="15">
        <f>FQ54*SQRT(AR54)</f>
        <v>0.16519999999999999</v>
      </c>
      <c r="FS54" s="15">
        <f t="shared" si="6"/>
        <v>1.0508905852417303</v>
      </c>
      <c r="FT54" s="15">
        <f t="shared" si="7"/>
        <v>0.19999999999999973</v>
      </c>
      <c r="FU54" s="15">
        <f t="shared" si="8"/>
        <v>4.9637981091771533E-2</v>
      </c>
      <c r="FV54" s="15">
        <f>((FR54*FR54)/(AR54*FP54*FP54)+(FO54*FO54)/(AR54*FM54*FM54))</f>
        <v>8.1437626659933051E-4</v>
      </c>
      <c r="FX54" s="15">
        <f>12.6*1.23</f>
        <v>15.497999999999999</v>
      </c>
      <c r="FY54" s="15">
        <v>1.5</v>
      </c>
      <c r="FZ54" s="15">
        <f>FY54*SQRT(AR54)</f>
        <v>3</v>
      </c>
      <c r="GA54" s="15">
        <f>13.4*1.23</f>
        <v>16.481999999999999</v>
      </c>
      <c r="GB54" s="15">
        <v>1.31856</v>
      </c>
      <c r="GC54" s="15">
        <f>GB54*SQRT(AR54)</f>
        <v>2.6371199999999999</v>
      </c>
      <c r="GD54" s="15">
        <f t="shared" si="57"/>
        <v>1.0634920634920635</v>
      </c>
      <c r="GE54" s="15">
        <f t="shared" si="58"/>
        <v>0.98399999999999999</v>
      </c>
      <c r="GF54" s="15">
        <f t="shared" si="59"/>
        <v>6.1557892999433594E-2</v>
      </c>
      <c r="GG54" s="15">
        <f>((GC54*GC54)/(AR54*GA54*GA54)+(FZ54*FZ54)/(AR54*FX54*FX54))</f>
        <v>1.5767661842095992E-2</v>
      </c>
      <c r="GI54" s="15">
        <f>8.7/1.4</f>
        <v>6.2142857142857144</v>
      </c>
      <c r="GJ54" s="15">
        <f t="shared" si="60"/>
        <v>0.24857142857142858</v>
      </c>
      <c r="GK54" s="15">
        <f>GJ54*SQRT(AR54)</f>
        <v>0.49714285714285716</v>
      </c>
      <c r="GL54" s="15">
        <f>8.64/1.4</f>
        <v>6.1714285714285726</v>
      </c>
      <c r="GM54" s="15">
        <f t="shared" si="61"/>
        <v>0.49371428571428583</v>
      </c>
      <c r="GN54" s="15">
        <f>GM54*SQRT(AR54)</f>
        <v>0.98742857142857166</v>
      </c>
      <c r="GO54" s="15">
        <f t="shared" si="62"/>
        <v>0.99310344827586228</v>
      </c>
      <c r="GP54" s="15">
        <f t="shared" si="63"/>
        <v>-4.2857142857141817E-2</v>
      </c>
      <c r="GQ54" s="15">
        <f t="shared" si="64"/>
        <v>-6.9204428445734933E-3</v>
      </c>
      <c r="GR54" s="15">
        <f>((GN54*GN54)/(AR54*GL54*GL54)+(GK54*GK54)/(AR54*GI54*GI54))</f>
        <v>8.0000000000000002E-3</v>
      </c>
      <c r="GT54" s="15">
        <v>12.8</v>
      </c>
      <c r="GU54" s="15">
        <v>2.048</v>
      </c>
      <c r="GV54" s="15">
        <f>GU54*SQRT(AR54)</f>
        <v>4.0960000000000001</v>
      </c>
      <c r="GW54" s="15">
        <v>20.399999999999999</v>
      </c>
      <c r="GX54" s="15">
        <v>3.2639999999999998</v>
      </c>
      <c r="GY54" s="15">
        <f>GX54*SQRT(AR54)</f>
        <v>6.5279999999999996</v>
      </c>
      <c r="GZ54" s="15">
        <f t="shared" si="65"/>
        <v>1.5937499999999998</v>
      </c>
      <c r="HA54" s="15">
        <f t="shared" si="66"/>
        <v>7.5999999999999979</v>
      </c>
      <c r="HB54" s="15">
        <f t="shared" si="67"/>
        <v>0.46608972992459918</v>
      </c>
      <c r="HC54" s="15">
        <f>((GY54*GY54)/(AR54*GW54*GW54)+(GV54*GV54)/(AR54*GT54*GT54))</f>
        <v>5.1199999999999996E-2</v>
      </c>
      <c r="HG54" s="15"/>
      <c r="HJ54" s="15"/>
      <c r="HL54" s="15"/>
      <c r="HM54" s="15"/>
      <c r="HN54" s="15"/>
      <c r="HY54" s="15">
        <f>AZ54</f>
        <v>4796</v>
      </c>
      <c r="HZ54" s="15">
        <f>BA54</f>
        <v>1.6368600682593857</v>
      </c>
      <c r="IA54" s="15">
        <f>BB54</f>
        <v>2877.6</v>
      </c>
    </row>
    <row r="55" spans="1:235" x14ac:dyDescent="0.25">
      <c r="A55" s="31">
        <v>53</v>
      </c>
      <c r="B55" s="1">
        <v>10</v>
      </c>
      <c r="C55" s="1">
        <v>12</v>
      </c>
      <c r="D55" s="15" t="s">
        <v>30</v>
      </c>
      <c r="E55" s="1">
        <v>1</v>
      </c>
      <c r="F55" s="15" t="s">
        <v>761</v>
      </c>
      <c r="G55" s="15" t="s">
        <v>684</v>
      </c>
      <c r="H55" s="15" t="s">
        <v>685</v>
      </c>
      <c r="I55" s="1">
        <v>2002</v>
      </c>
      <c r="J55" s="15" t="s">
        <v>686</v>
      </c>
      <c r="K55" s="1" t="s">
        <v>683</v>
      </c>
      <c r="L55" s="15" t="s">
        <v>687</v>
      </c>
      <c r="M55" s="15" t="s">
        <v>648</v>
      </c>
      <c r="N55" s="15" t="s">
        <v>649</v>
      </c>
      <c r="O55" s="31">
        <v>2</v>
      </c>
      <c r="P55" s="15">
        <v>-23.22</v>
      </c>
      <c r="Q55" s="15">
        <v>-50.02</v>
      </c>
      <c r="S55" s="15">
        <v>1507</v>
      </c>
      <c r="T55" s="15">
        <v>23</v>
      </c>
      <c r="U55" s="15" t="s">
        <v>549</v>
      </c>
      <c r="V55" s="31">
        <v>1</v>
      </c>
      <c r="W55" s="16"/>
      <c r="X55" s="15" t="s">
        <v>689</v>
      </c>
      <c r="Y55" s="1">
        <v>1</v>
      </c>
      <c r="Z55" s="15">
        <v>4</v>
      </c>
      <c r="AA55" s="15" t="s">
        <v>690</v>
      </c>
      <c r="AB55" s="15">
        <f t="shared" si="53"/>
        <v>4.7699999999999996</v>
      </c>
      <c r="AC55" s="1">
        <v>2</v>
      </c>
      <c r="AD55" s="15">
        <v>19.37</v>
      </c>
      <c r="AE55" s="15"/>
      <c r="AF55" s="15">
        <v>9.2100000000000009</v>
      </c>
      <c r="AG55" s="15"/>
      <c r="AH55" s="15">
        <v>22</v>
      </c>
      <c r="AJ55" s="15">
        <v>3.96</v>
      </c>
      <c r="AK55" s="15">
        <v>23.76</v>
      </c>
      <c r="AL55" s="15">
        <v>72.28</v>
      </c>
      <c r="AM55" s="1">
        <v>3</v>
      </c>
      <c r="AP55" s="15" t="s">
        <v>691</v>
      </c>
      <c r="AQ55" s="1">
        <v>1</v>
      </c>
      <c r="AR55" s="1">
        <v>4</v>
      </c>
      <c r="AT55" s="15" t="s">
        <v>993</v>
      </c>
      <c r="AW55" s="15">
        <v>6.6</v>
      </c>
      <c r="AX55" s="15">
        <f t="shared" si="54"/>
        <v>7194.0000000000009</v>
      </c>
      <c r="AY55" s="15" t="s">
        <v>766</v>
      </c>
      <c r="AZ55" s="15">
        <f t="shared" si="34"/>
        <v>7194.0000000000009</v>
      </c>
      <c r="BA55" s="15">
        <f t="shared" si="35"/>
        <v>2.4552901023890787</v>
      </c>
      <c r="BB55" s="15">
        <f t="shared" si="36"/>
        <v>4316.4000000000005</v>
      </c>
      <c r="EW55" s="18"/>
      <c r="EX55" s="18"/>
      <c r="EY55" s="18"/>
      <c r="FK55" s="16">
        <f t="shared" si="55"/>
        <v>4.7</v>
      </c>
      <c r="FL55" s="16">
        <f t="shared" si="56"/>
        <v>5.17</v>
      </c>
      <c r="FM55" s="15">
        <v>3.93</v>
      </c>
      <c r="FN55" s="15">
        <v>0.08</v>
      </c>
      <c r="FO55" s="15">
        <f>FN55*SQRT(AR55)</f>
        <v>0.16</v>
      </c>
      <c r="FP55" s="15">
        <v>4.4000000000000004</v>
      </c>
      <c r="FQ55" s="15">
        <v>8.8000000000000009E-2</v>
      </c>
      <c r="FR55" s="15">
        <f>FQ55*SQRT(AR55)</f>
        <v>0.17600000000000002</v>
      </c>
      <c r="FS55" s="15">
        <f t="shared" si="6"/>
        <v>1.1195928753180662</v>
      </c>
      <c r="FT55" s="15">
        <f t="shared" si="7"/>
        <v>0.4700000000000002</v>
      </c>
      <c r="FU55" s="15">
        <f t="shared" si="8"/>
        <v>0.11296511504304574</v>
      </c>
      <c r="FV55" s="15">
        <f>((FR55*FR55)/(AR55*FP55*FP55)+(FO55*FO55)/(AR55*FM55*FM55))</f>
        <v>8.1437626659933062E-4</v>
      </c>
      <c r="FX55" s="15">
        <f>12.6*1.23</f>
        <v>15.497999999999999</v>
      </c>
      <c r="FY55" s="15">
        <v>1.5</v>
      </c>
      <c r="FZ55" s="15">
        <f>FY55*SQRT(AR55)</f>
        <v>3</v>
      </c>
      <c r="GA55" s="15">
        <f>14*1.23</f>
        <v>17.22</v>
      </c>
      <c r="GB55" s="15">
        <v>1.3775999999999999</v>
      </c>
      <c r="GC55" s="15">
        <f>GB55*SQRT(AR55)</f>
        <v>2.7551999999999999</v>
      </c>
      <c r="GD55" s="15">
        <f t="shared" si="57"/>
        <v>1.1111111111111112</v>
      </c>
      <c r="GE55" s="15">
        <f t="shared" si="58"/>
        <v>1.7219999999999995</v>
      </c>
      <c r="GF55" s="15">
        <f t="shared" si="59"/>
        <v>0.10536051565782634</v>
      </c>
      <c r="GG55" s="15">
        <f>((GC55*GC55)/(AR55*GA55*GA55)+(FZ55*FZ55)/(AR55*FX55*FX55))</f>
        <v>1.5767661842095992E-2</v>
      </c>
      <c r="GI55" s="15">
        <f>8.7/1.4</f>
        <v>6.2142857142857144</v>
      </c>
      <c r="GJ55" s="15">
        <f t="shared" si="60"/>
        <v>0.24857142857142858</v>
      </c>
      <c r="GK55" s="15">
        <f>GJ55*SQRT(AR55)</f>
        <v>0.49714285714285716</v>
      </c>
      <c r="GL55" s="15">
        <f>8.33/1.4</f>
        <v>5.95</v>
      </c>
      <c r="GM55" s="15">
        <f t="shared" si="61"/>
        <v>0.47600000000000003</v>
      </c>
      <c r="GN55" s="15">
        <f>GM55*SQRT(AR55)</f>
        <v>0.95200000000000007</v>
      </c>
      <c r="GO55" s="15">
        <f t="shared" si="62"/>
        <v>0.95747126436781615</v>
      </c>
      <c r="GP55" s="15">
        <f t="shared" si="63"/>
        <v>-0.26428571428571423</v>
      </c>
      <c r="GQ55" s="15">
        <f t="shared" si="64"/>
        <v>-4.3459569481786753E-2</v>
      </c>
      <c r="GR55" s="15">
        <f>((GN55*GN55)/(AR55*GL55*GL55)+(GK55*GK55)/(AR55*GI55*GI55))</f>
        <v>8.0000000000000002E-3</v>
      </c>
      <c r="GT55" s="15">
        <v>12.8</v>
      </c>
      <c r="GU55" s="15">
        <v>2.048</v>
      </c>
      <c r="GV55" s="15">
        <f>GU55*SQRT(AR55)</f>
        <v>4.0960000000000001</v>
      </c>
      <c r="GW55" s="15">
        <v>30.8</v>
      </c>
      <c r="GX55" s="15">
        <v>4.9279999999999999</v>
      </c>
      <c r="GY55" s="15">
        <f>GX55*SQRT(AR55)</f>
        <v>9.8559999999999999</v>
      </c>
      <c r="GZ55" s="15">
        <f t="shared" si="65"/>
        <v>2.40625</v>
      </c>
      <c r="HA55" s="15">
        <f t="shared" si="66"/>
        <v>18</v>
      </c>
      <c r="HB55" s="15">
        <f t="shared" si="67"/>
        <v>0.87806951905395758</v>
      </c>
      <c r="HC55" s="15">
        <f>((GY55*GY55)/(AR55*GW55*GW55)+(GV55*GV55)/(AR55*GT55*GT55))</f>
        <v>5.1199999999999996E-2</v>
      </c>
      <c r="HG55" s="15"/>
      <c r="HJ55" s="15"/>
      <c r="HL55" s="15"/>
      <c r="HM55" s="15"/>
      <c r="HN55" s="15"/>
      <c r="HY55" s="15">
        <f>AZ55</f>
        <v>7194.0000000000009</v>
      </c>
      <c r="HZ55" s="15">
        <f>BA55</f>
        <v>2.4552901023890787</v>
      </c>
      <c r="IA55" s="15">
        <f>BB55</f>
        <v>4316.4000000000005</v>
      </c>
    </row>
    <row r="56" spans="1:235" x14ac:dyDescent="0.25">
      <c r="A56" s="31">
        <v>54</v>
      </c>
      <c r="B56" s="1">
        <v>10</v>
      </c>
      <c r="C56" s="1">
        <v>12</v>
      </c>
      <c r="D56" s="15" t="s">
        <v>31</v>
      </c>
      <c r="E56" s="1">
        <v>1</v>
      </c>
      <c r="F56" s="15" t="s">
        <v>761</v>
      </c>
      <c r="G56" s="15" t="s">
        <v>684</v>
      </c>
      <c r="H56" s="15" t="s">
        <v>685</v>
      </c>
      <c r="I56" s="1">
        <v>2002</v>
      </c>
      <c r="J56" s="15" t="s">
        <v>686</v>
      </c>
      <c r="K56" s="1" t="s">
        <v>683</v>
      </c>
      <c r="L56" s="15" t="s">
        <v>687</v>
      </c>
      <c r="M56" s="15" t="s">
        <v>648</v>
      </c>
      <c r="N56" s="15" t="s">
        <v>649</v>
      </c>
      <c r="O56" s="31">
        <v>2</v>
      </c>
      <c r="P56" s="15">
        <v>-23.22</v>
      </c>
      <c r="Q56" s="15">
        <v>-50.02</v>
      </c>
      <c r="S56" s="15">
        <v>1507</v>
      </c>
      <c r="T56" s="15">
        <v>23</v>
      </c>
      <c r="U56" s="15" t="s">
        <v>549</v>
      </c>
      <c r="V56" s="31">
        <v>1</v>
      </c>
      <c r="W56" s="16"/>
      <c r="X56" s="15" t="s">
        <v>689</v>
      </c>
      <c r="Y56" s="1">
        <v>1</v>
      </c>
      <c r="Z56" s="15">
        <v>4</v>
      </c>
      <c r="AA56" s="15" t="s">
        <v>690</v>
      </c>
      <c r="AB56" s="15">
        <f t="shared" si="53"/>
        <v>4.7699999999999996</v>
      </c>
      <c r="AC56" s="1">
        <v>2</v>
      </c>
      <c r="AD56" s="15">
        <v>19.37</v>
      </c>
      <c r="AE56" s="15"/>
      <c r="AF56" s="15">
        <v>9.2100000000000009</v>
      </c>
      <c r="AG56" s="15"/>
      <c r="AH56" s="15">
        <v>22</v>
      </c>
      <c r="AJ56" s="15">
        <v>3.96</v>
      </c>
      <c r="AK56" s="15">
        <v>23.76</v>
      </c>
      <c r="AL56" s="15">
        <v>72.28</v>
      </c>
      <c r="AM56" s="1">
        <v>3</v>
      </c>
      <c r="AP56" s="15" t="s">
        <v>691</v>
      </c>
      <c r="AQ56" s="1">
        <v>1</v>
      </c>
      <c r="AR56" s="1">
        <v>4</v>
      </c>
      <c r="AT56" s="15" t="s">
        <v>993</v>
      </c>
      <c r="AW56" s="15">
        <v>8.8000000000000007</v>
      </c>
      <c r="AX56" s="15">
        <f t="shared" si="54"/>
        <v>9592</v>
      </c>
      <c r="AY56" s="15" t="s">
        <v>766</v>
      </c>
      <c r="AZ56" s="15">
        <f t="shared" si="34"/>
        <v>9592</v>
      </c>
      <c r="BA56" s="15">
        <f t="shared" si="35"/>
        <v>3.2737201365187714</v>
      </c>
      <c r="BB56" s="15">
        <f t="shared" si="36"/>
        <v>5755.2</v>
      </c>
      <c r="EW56" s="18"/>
      <c r="EX56" s="18"/>
      <c r="EY56" s="18"/>
      <c r="FK56" s="16">
        <f t="shared" si="55"/>
        <v>4.7</v>
      </c>
      <c r="FL56" s="16">
        <f t="shared" si="56"/>
        <v>5.4</v>
      </c>
      <c r="FM56" s="15">
        <v>3.93</v>
      </c>
      <c r="FN56" s="15">
        <v>0.08</v>
      </c>
      <c r="FO56" s="15">
        <f>FN56*SQRT(AR56)</f>
        <v>0.16</v>
      </c>
      <c r="FP56" s="15">
        <v>4.63</v>
      </c>
      <c r="FQ56" s="15">
        <v>9.2600000000000002E-2</v>
      </c>
      <c r="FR56" s="15">
        <f>FQ56*SQRT(AR56)</f>
        <v>0.1852</v>
      </c>
      <c r="FS56" s="15">
        <f t="shared" si="6"/>
        <v>1.1781170483460559</v>
      </c>
      <c r="FT56" s="15">
        <f t="shared" si="7"/>
        <v>0.69999999999999973</v>
      </c>
      <c r="FU56" s="15">
        <f t="shared" si="8"/>
        <v>0.16391744221697291</v>
      </c>
      <c r="FV56" s="15">
        <f>((FR56*FR56)/(AR56*FP56*FP56)+(FO56*FO56)/(AR56*FM56*FM56))</f>
        <v>8.1437626659933062E-4</v>
      </c>
      <c r="FX56" s="15">
        <f>12.6*1.23</f>
        <v>15.497999999999999</v>
      </c>
      <c r="FY56" s="15">
        <v>1.5</v>
      </c>
      <c r="FZ56" s="15">
        <f>FY56*SQRT(AR56)</f>
        <v>3</v>
      </c>
      <c r="GA56" s="15">
        <f>13.6*1.23</f>
        <v>16.727999999999998</v>
      </c>
      <c r="GB56" s="15">
        <v>1.3382399999999999</v>
      </c>
      <c r="GC56" s="15">
        <f>GB56*SQRT(AR56)</f>
        <v>2.6764799999999997</v>
      </c>
      <c r="GD56" s="15">
        <f t="shared" si="57"/>
        <v>1.0793650793650793</v>
      </c>
      <c r="GE56" s="15">
        <f t="shared" si="58"/>
        <v>1.2299999999999986</v>
      </c>
      <c r="GF56" s="15">
        <f t="shared" si="59"/>
        <v>7.6372978784573942E-2</v>
      </c>
      <c r="GG56" s="15">
        <f>((GC56*GC56)/(AR56*GA56*GA56)+(FZ56*FZ56)/(AR56*FX56*FX56))</f>
        <v>1.5767661842095996E-2</v>
      </c>
      <c r="GI56" s="15">
        <f>8.7/1.4</f>
        <v>6.2142857142857144</v>
      </c>
      <c r="GJ56" s="15">
        <f t="shared" si="60"/>
        <v>0.24857142857142858</v>
      </c>
      <c r="GK56" s="15">
        <f>GJ56*SQRT(AR56)</f>
        <v>0.49714285714285716</v>
      </c>
      <c r="GL56" s="15">
        <f>8.47/1.4</f>
        <v>6.0500000000000007</v>
      </c>
      <c r="GM56" s="15">
        <f t="shared" si="61"/>
        <v>0.48400000000000004</v>
      </c>
      <c r="GN56" s="15">
        <f>GM56*SQRT(AR56)</f>
        <v>0.96800000000000008</v>
      </c>
      <c r="GO56" s="15">
        <f t="shared" si="62"/>
        <v>0.97356321839080473</v>
      </c>
      <c r="GP56" s="15">
        <f t="shared" si="63"/>
        <v>-0.1642857142857137</v>
      </c>
      <c r="GQ56" s="15">
        <f t="shared" si="64"/>
        <v>-2.6792516996574811E-2</v>
      </c>
      <c r="GR56" s="15">
        <f>((GN56*GN56)/(AR56*GL56*GL56)+(GK56*GK56)/(AR56*GI56*GI56))</f>
        <v>8.0000000000000002E-3</v>
      </c>
      <c r="GT56" s="15">
        <v>12.8</v>
      </c>
      <c r="GU56" s="15">
        <v>2.048</v>
      </c>
      <c r="GV56" s="15">
        <f>GU56*SQRT(AR56)</f>
        <v>4.0960000000000001</v>
      </c>
      <c r="GW56" s="15">
        <v>41.4</v>
      </c>
      <c r="GX56" s="15">
        <v>6.6239999999999997</v>
      </c>
      <c r="GY56" s="15">
        <f>GX56*SQRT(AR56)</f>
        <v>13.247999999999999</v>
      </c>
      <c r="GZ56" s="15">
        <f t="shared" si="65"/>
        <v>3.2343749999999996</v>
      </c>
      <c r="HA56" s="15">
        <f t="shared" si="66"/>
        <v>28.599999999999998</v>
      </c>
      <c r="HB56" s="15">
        <f t="shared" si="67"/>
        <v>1.1738357099056973</v>
      </c>
      <c r="HC56" s="15">
        <f>((GY56*GY56)/(AR56*GW56*GW56)+(GV56*GV56)/(AR56*GT56*GT56))</f>
        <v>5.1199999999999996E-2</v>
      </c>
      <c r="HG56" s="15"/>
      <c r="HJ56" s="15"/>
      <c r="HL56" s="15"/>
      <c r="HM56" s="15"/>
      <c r="HN56" s="15"/>
      <c r="HY56" s="15">
        <f>AZ56</f>
        <v>9592</v>
      </c>
      <c r="HZ56" s="15">
        <f>BA56</f>
        <v>3.2737201365187714</v>
      </c>
      <c r="IA56" s="15">
        <f>BB56</f>
        <v>5755.2</v>
      </c>
    </row>
    <row r="57" spans="1:235" x14ac:dyDescent="0.25">
      <c r="A57" s="31">
        <v>55</v>
      </c>
      <c r="B57" s="1">
        <v>11</v>
      </c>
      <c r="C57" s="1">
        <v>12</v>
      </c>
      <c r="D57" s="15" t="s">
        <v>32</v>
      </c>
      <c r="E57" s="1">
        <v>1</v>
      </c>
      <c r="F57" s="15" t="s">
        <v>761</v>
      </c>
      <c r="G57" s="15" t="s">
        <v>692</v>
      </c>
      <c r="H57" s="15" t="s">
        <v>694</v>
      </c>
      <c r="I57" s="1">
        <v>2010</v>
      </c>
      <c r="J57" s="15" t="s">
        <v>693</v>
      </c>
      <c r="K57" s="1">
        <v>2009</v>
      </c>
      <c r="L57" s="15" t="s">
        <v>695</v>
      </c>
      <c r="M57" s="15" t="s">
        <v>480</v>
      </c>
      <c r="N57" s="15" t="s">
        <v>520</v>
      </c>
      <c r="O57" s="31">
        <v>2</v>
      </c>
      <c r="P57" s="15">
        <v>23.1</v>
      </c>
      <c r="Q57" s="15">
        <v>113.34</v>
      </c>
      <c r="U57" s="15" t="s">
        <v>807</v>
      </c>
      <c r="V57" s="31">
        <v>2</v>
      </c>
      <c r="W57" s="16"/>
      <c r="X57" s="15" t="s">
        <v>696</v>
      </c>
      <c r="Y57" s="1">
        <v>2</v>
      </c>
      <c r="Z57" s="15">
        <v>4.45</v>
      </c>
      <c r="AA57" s="15" t="s">
        <v>574</v>
      </c>
      <c r="AB57" s="15">
        <f t="shared" ref="AB57:AB120" si="68">Z57</f>
        <v>4.45</v>
      </c>
      <c r="AC57" s="1">
        <v>1</v>
      </c>
      <c r="AD57" s="15">
        <v>37</v>
      </c>
      <c r="AE57" s="15"/>
      <c r="AF57" s="15"/>
      <c r="AG57" s="15"/>
      <c r="AH57" s="15"/>
      <c r="AP57" s="15" t="s">
        <v>697</v>
      </c>
      <c r="AQ57" s="1">
        <v>1</v>
      </c>
      <c r="AR57" s="1">
        <v>3</v>
      </c>
      <c r="AT57" s="15" t="s">
        <v>545</v>
      </c>
      <c r="AW57" s="15">
        <v>0.6</v>
      </c>
      <c r="AX57" s="15">
        <f>AW57*1.78*2250</f>
        <v>2403</v>
      </c>
      <c r="AY57" s="15" t="s">
        <v>766</v>
      </c>
      <c r="AZ57" s="15">
        <f t="shared" si="34"/>
        <v>2403</v>
      </c>
      <c r="BA57" s="15">
        <f t="shared" si="35"/>
        <v>0.82013651877133098</v>
      </c>
      <c r="BB57" s="15">
        <f t="shared" si="36"/>
        <v>1441.8</v>
      </c>
      <c r="EW57" s="18"/>
      <c r="EX57" s="18"/>
      <c r="EY57" s="18"/>
      <c r="FK57" s="16">
        <f t="shared" ref="FK57:FK120" si="69">FM57</f>
        <v>4.45</v>
      </c>
      <c r="FL57" s="16">
        <f t="shared" ref="FL57:FL120" si="70">FP57</f>
        <v>4.8</v>
      </c>
      <c r="FM57" s="15">
        <v>4.45</v>
      </c>
      <c r="FN57" s="15">
        <v>0.04</v>
      </c>
      <c r="FO57" s="15">
        <f>FN57*SQRT(AR57)</f>
        <v>6.9282032302755092E-2</v>
      </c>
      <c r="FP57" s="15">
        <v>4.8</v>
      </c>
      <c r="FQ57" s="15">
        <v>0.04</v>
      </c>
      <c r="FR57" s="15">
        <f>FQ57*SQRT(AR57)</f>
        <v>6.9282032302755092E-2</v>
      </c>
      <c r="FS57" s="15">
        <f t="shared" si="6"/>
        <v>1.0786516853932584</v>
      </c>
      <c r="FT57" s="15">
        <f t="shared" si="7"/>
        <v>0.34999999999999964</v>
      </c>
      <c r="FU57" s="15">
        <f t="shared" si="8"/>
        <v>7.5711821735696461E-2</v>
      </c>
      <c r="FV57" s="15">
        <f>((FR57*FR57)/(AR57*FP57*FP57)+(FO57*FO57)/(AR57*FM57*FM57))</f>
        <v>1.5024232350011925E-4</v>
      </c>
      <c r="FZ57" s="15"/>
      <c r="GC57" s="15"/>
      <c r="GF57" s="15"/>
      <c r="GG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HE57" s="15">
        <v>2.98</v>
      </c>
      <c r="HF57" s="15">
        <v>0.08</v>
      </c>
      <c r="HG57" s="15">
        <f>HF57*SQRT(AR57)</f>
        <v>0.13856406460551018</v>
      </c>
      <c r="HH57" s="15">
        <v>3.24</v>
      </c>
      <c r="HI57" s="15">
        <v>0.05</v>
      </c>
      <c r="HJ57" s="15">
        <f>HI57*SQRT(AR57)</f>
        <v>8.6602540378443865E-2</v>
      </c>
      <c r="HK57" s="15">
        <f>HH57/HE57</f>
        <v>1.087248322147651</v>
      </c>
      <c r="HL57" s="15">
        <f>HH57-HE57</f>
        <v>0.26000000000000023</v>
      </c>
      <c r="HM57" s="15">
        <f>LN(HH57)-LN(HE57)</f>
        <v>8.3650029286925109E-2</v>
      </c>
      <c r="HN57" s="15">
        <f>((HJ57*HJ57)/(AR57*HH57*HH57)+(HG57*HG57)/(AR57*HE57*HE57))</f>
        <v>9.5883792959175886E-4</v>
      </c>
      <c r="HP57" s="29" t="s">
        <v>699</v>
      </c>
      <c r="HQ57" s="15">
        <v>15.39</v>
      </c>
      <c r="HR57" s="15">
        <v>0.4</v>
      </c>
      <c r="HS57" s="15">
        <v>15.52</v>
      </c>
      <c r="HT57" s="15">
        <v>0.05</v>
      </c>
      <c r="HU57" s="15" t="s">
        <v>600</v>
      </c>
      <c r="HV57" s="15">
        <f>HX57/HW57/100</f>
        <v>172.36096774748651</v>
      </c>
      <c r="HW57" s="15">
        <f>HM57</f>
        <v>8.3650029286925109E-2</v>
      </c>
      <c r="HX57" s="15">
        <f>BB57</f>
        <v>1441.8</v>
      </c>
      <c r="HY57" s="15">
        <f>AZ57</f>
        <v>2403</v>
      </c>
      <c r="HZ57" s="15">
        <f>BA57</f>
        <v>0.82013651877133098</v>
      </c>
      <c r="IA57" s="15">
        <f>BB57</f>
        <v>1441.8</v>
      </c>
    </row>
    <row r="58" spans="1:235" s="15" customFormat="1" x14ac:dyDescent="0.25">
      <c r="A58" s="31">
        <v>56</v>
      </c>
      <c r="B58" s="1">
        <v>11</v>
      </c>
      <c r="C58" s="1">
        <v>12</v>
      </c>
      <c r="D58" s="15" t="s">
        <v>33</v>
      </c>
      <c r="E58" s="1">
        <v>1</v>
      </c>
      <c r="F58" s="15" t="s">
        <v>761</v>
      </c>
      <c r="G58" s="15" t="s">
        <v>692</v>
      </c>
      <c r="H58" s="15" t="s">
        <v>694</v>
      </c>
      <c r="I58" s="1">
        <v>2010</v>
      </c>
      <c r="J58" s="15" t="s">
        <v>693</v>
      </c>
      <c r="K58" s="1">
        <v>2009</v>
      </c>
      <c r="L58" s="15" t="s">
        <v>695</v>
      </c>
      <c r="M58" s="15" t="s">
        <v>480</v>
      </c>
      <c r="N58" s="15" t="s">
        <v>520</v>
      </c>
      <c r="O58" s="31">
        <v>2</v>
      </c>
      <c r="P58" s="15">
        <v>23.1</v>
      </c>
      <c r="Q58" s="15">
        <v>113.34</v>
      </c>
      <c r="U58" s="15" t="s">
        <v>807</v>
      </c>
      <c r="V58" s="31">
        <v>2</v>
      </c>
      <c r="W58" s="16"/>
      <c r="X58" s="15" t="s">
        <v>696</v>
      </c>
      <c r="Y58" s="1">
        <v>2</v>
      </c>
      <c r="Z58" s="15">
        <v>4.45</v>
      </c>
      <c r="AA58" s="15" t="s">
        <v>574</v>
      </c>
      <c r="AB58" s="15">
        <f t="shared" si="68"/>
        <v>4.45</v>
      </c>
      <c r="AC58" s="1">
        <v>1</v>
      </c>
      <c r="AD58" s="15">
        <v>37</v>
      </c>
      <c r="AM58" s="1"/>
      <c r="AP58" s="15" t="s">
        <v>697</v>
      </c>
      <c r="AQ58" s="1">
        <v>1</v>
      </c>
      <c r="AR58" s="1">
        <v>3</v>
      </c>
      <c r="AT58" s="15" t="s">
        <v>545</v>
      </c>
      <c r="AW58" s="15">
        <v>1.2</v>
      </c>
      <c r="AX58" s="15">
        <f>AW58*1.78*2250</f>
        <v>4806</v>
      </c>
      <c r="AY58" s="15" t="s">
        <v>766</v>
      </c>
      <c r="AZ58" s="15">
        <f t="shared" si="34"/>
        <v>4806</v>
      </c>
      <c r="BA58" s="15">
        <f t="shared" si="35"/>
        <v>1.640273037542662</v>
      </c>
      <c r="BB58" s="15">
        <f t="shared" si="36"/>
        <v>2883.6</v>
      </c>
      <c r="BP58" s="16"/>
      <c r="BQ58" s="16"/>
      <c r="BR58" s="16"/>
      <c r="BU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>
        <f t="shared" si="69"/>
        <v>4.45</v>
      </c>
      <c r="FL58" s="16">
        <f t="shared" si="70"/>
        <v>5.18</v>
      </c>
      <c r="FM58" s="15">
        <v>4.45</v>
      </c>
      <c r="FN58" s="15">
        <v>0.04</v>
      </c>
      <c r="FO58" s="15">
        <f>FN58*SQRT(AR58)</f>
        <v>6.9282032302755092E-2</v>
      </c>
      <c r="FP58" s="15">
        <v>5.18</v>
      </c>
      <c r="FQ58" s="15">
        <v>0.05</v>
      </c>
      <c r="FR58" s="15">
        <f>FQ58*SQRT(AR58)</f>
        <v>8.6602540378443865E-2</v>
      </c>
      <c r="FS58" s="15">
        <f t="shared" si="6"/>
        <v>1.1640449438202245</v>
      </c>
      <c r="FT58" s="15">
        <f t="shared" si="7"/>
        <v>0.72999999999999954</v>
      </c>
      <c r="FU58" s="15">
        <f t="shared" si="8"/>
        <v>0.15190096009324283</v>
      </c>
      <c r="FV58" s="15">
        <f>((FR58*FR58)/(AR58*FP58*FP58)+(FO58*FO58)/(AR58*FM58*FM58))</f>
        <v>1.7396882164746679E-4</v>
      </c>
      <c r="HE58" s="15">
        <v>2.98</v>
      </c>
      <c r="HF58" s="15">
        <v>0.08</v>
      </c>
      <c r="HG58" s="15">
        <f>HF58*SQRT(AR58)</f>
        <v>0.13856406460551018</v>
      </c>
      <c r="HH58" s="15">
        <v>3.4</v>
      </c>
      <c r="HI58" s="15">
        <v>0.06</v>
      </c>
      <c r="HJ58" s="15">
        <f>HI58*SQRT(AR58)</f>
        <v>0.10392304845413262</v>
      </c>
      <c r="HK58" s="15">
        <f>HH58/HE58</f>
        <v>1.1409395973154361</v>
      </c>
      <c r="HL58" s="15">
        <f>HH58-HE58</f>
        <v>0.41999999999999993</v>
      </c>
      <c r="HM58" s="15">
        <f>LN(HH58)-LN(HE58)</f>
        <v>0.13185213110480265</v>
      </c>
      <c r="HN58" s="15">
        <f>((HJ58*HJ58)/(AR58*HH58*HH58)+(HG58*HG58)/(AR58*HE58*HE58))</f>
        <v>1.0321069424068152E-3</v>
      </c>
      <c r="HP58" s="15" t="s">
        <v>699</v>
      </c>
      <c r="HQ58" s="15">
        <v>15.39</v>
      </c>
      <c r="HR58" s="15">
        <v>0.4</v>
      </c>
      <c r="HS58" s="15">
        <v>15.75</v>
      </c>
      <c r="HT58" s="15">
        <v>0.11</v>
      </c>
      <c r="HU58" s="15" t="s">
        <v>600</v>
      </c>
      <c r="HV58" s="15">
        <f>HX58/HW58/100</f>
        <v>218.69953680975934</v>
      </c>
      <c r="HW58" s="15">
        <f>HM58</f>
        <v>0.13185213110480265</v>
      </c>
      <c r="HX58" s="15">
        <f>BB58</f>
        <v>2883.6</v>
      </c>
      <c r="HY58" s="15">
        <f>AZ58</f>
        <v>4806</v>
      </c>
      <c r="HZ58" s="15">
        <f>BA58</f>
        <v>1.640273037542662</v>
      </c>
      <c r="IA58" s="15">
        <f>BB58</f>
        <v>2883.6</v>
      </c>
    </row>
    <row r="59" spans="1:235" s="15" customFormat="1" x14ac:dyDescent="0.25">
      <c r="A59" s="31">
        <v>57</v>
      </c>
      <c r="B59" s="1">
        <v>11</v>
      </c>
      <c r="C59" s="1">
        <v>12</v>
      </c>
      <c r="D59" s="15" t="s">
        <v>34</v>
      </c>
      <c r="E59" s="1">
        <v>1</v>
      </c>
      <c r="F59" s="15" t="s">
        <v>761</v>
      </c>
      <c r="G59" s="15" t="s">
        <v>692</v>
      </c>
      <c r="H59" s="15" t="s">
        <v>694</v>
      </c>
      <c r="I59" s="1">
        <v>2010</v>
      </c>
      <c r="J59" s="15" t="s">
        <v>693</v>
      </c>
      <c r="K59" s="1">
        <v>2009</v>
      </c>
      <c r="L59" s="15" t="s">
        <v>695</v>
      </c>
      <c r="M59" s="15" t="s">
        <v>480</v>
      </c>
      <c r="N59" s="15" t="s">
        <v>520</v>
      </c>
      <c r="O59" s="31">
        <v>2</v>
      </c>
      <c r="P59" s="15">
        <v>23.1</v>
      </c>
      <c r="Q59" s="15">
        <v>113.34</v>
      </c>
      <c r="U59" s="15" t="s">
        <v>807</v>
      </c>
      <c r="V59" s="31">
        <v>2</v>
      </c>
      <c r="W59" s="16"/>
      <c r="X59" s="15" t="s">
        <v>696</v>
      </c>
      <c r="Y59" s="1">
        <v>2</v>
      </c>
      <c r="Z59" s="15">
        <v>4.45</v>
      </c>
      <c r="AA59" s="15" t="s">
        <v>574</v>
      </c>
      <c r="AB59" s="15">
        <f t="shared" si="68"/>
        <v>4.45</v>
      </c>
      <c r="AC59" s="1">
        <v>1</v>
      </c>
      <c r="AD59" s="15">
        <v>37</v>
      </c>
      <c r="AM59" s="1"/>
      <c r="AP59" s="15" t="s">
        <v>697</v>
      </c>
      <c r="AQ59" s="1">
        <v>1</v>
      </c>
      <c r="AR59" s="1">
        <v>3</v>
      </c>
      <c r="AT59" s="15" t="s">
        <v>545</v>
      </c>
      <c r="AW59" s="15">
        <v>1.8</v>
      </c>
      <c r="AX59" s="15">
        <f>AW59*1.78*2250</f>
        <v>7209</v>
      </c>
      <c r="AY59" s="15" t="s">
        <v>766</v>
      </c>
      <c r="AZ59" s="15">
        <f t="shared" si="34"/>
        <v>7209</v>
      </c>
      <c r="BA59" s="15">
        <f t="shared" si="35"/>
        <v>2.4604095563139929</v>
      </c>
      <c r="BB59" s="15">
        <f t="shared" si="36"/>
        <v>4325.3999999999996</v>
      </c>
      <c r="BP59" s="16"/>
      <c r="BQ59" s="16"/>
      <c r="BR59" s="16"/>
      <c r="BU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>
        <f t="shared" si="69"/>
        <v>4.45</v>
      </c>
      <c r="FL59" s="16">
        <f t="shared" si="70"/>
        <v>5.7</v>
      </c>
      <c r="FM59" s="15">
        <v>4.45</v>
      </c>
      <c r="FN59" s="15">
        <v>0.04</v>
      </c>
      <c r="FO59" s="15">
        <f>FN59*SQRT(AR59)</f>
        <v>6.9282032302755092E-2</v>
      </c>
      <c r="FP59" s="15">
        <v>5.7</v>
      </c>
      <c r="FQ59" s="15">
        <v>0.05</v>
      </c>
      <c r="FR59" s="15">
        <f>FQ59*SQRT(AR59)</f>
        <v>8.6602540378443865E-2</v>
      </c>
      <c r="FS59" s="15">
        <f t="shared" si="6"/>
        <v>1.2808988764044944</v>
      </c>
      <c r="FT59" s="15">
        <f t="shared" si="7"/>
        <v>1.25</v>
      </c>
      <c r="FU59" s="15">
        <f t="shared" si="8"/>
        <v>0.2475620786623558</v>
      </c>
      <c r="FV59" s="15">
        <f>((FR59*FR59)/(AR59*FP59*FP59)+(FO59*FO59)/(AR59*FM59*FM59))</f>
        <v>1.5774463190270461E-4</v>
      </c>
      <c r="HE59" s="15">
        <v>2.98</v>
      </c>
      <c r="HF59" s="15">
        <v>0.08</v>
      </c>
      <c r="HG59" s="15">
        <f>HF59*SQRT(AR59)</f>
        <v>0.13856406460551018</v>
      </c>
      <c r="HH59" s="15">
        <v>3.42</v>
      </c>
      <c r="HI59" s="15">
        <v>0.05</v>
      </c>
      <c r="HJ59" s="15">
        <f>HI59*SQRT(AR59)</f>
        <v>8.6602540378443865E-2</v>
      </c>
      <c r="HK59" s="15">
        <f>HH59/HE59</f>
        <v>1.1476510067114094</v>
      </c>
      <c r="HL59" s="15">
        <f>HH59-HE59</f>
        <v>0.43999999999999995</v>
      </c>
      <c r="HM59" s="15">
        <f>LN(HH59)-LN(HE59)</f>
        <v>0.13771725055720085</v>
      </c>
      <c r="HN59" s="15">
        <f>((HJ59*HJ59)/(AR59*HH59*HH59)+(HG59*HG59)/(AR59*HE59*HE59))</f>
        <v>9.3442923741634642E-4</v>
      </c>
      <c r="HP59" s="15" t="s">
        <v>699</v>
      </c>
      <c r="HQ59" s="15">
        <v>15.39</v>
      </c>
      <c r="HR59" s="15">
        <v>0.4</v>
      </c>
      <c r="HS59" s="15">
        <v>15.36</v>
      </c>
      <c r="HT59" s="15">
        <v>7.0000000000000007E-2</v>
      </c>
      <c r="HU59" s="15" t="s">
        <v>600</v>
      </c>
      <c r="HV59" s="15">
        <f>HX59/HW59/100</f>
        <v>314.07830046704606</v>
      </c>
      <c r="HW59" s="15">
        <f>HM59</f>
        <v>0.13771725055720085</v>
      </c>
      <c r="HX59" s="15">
        <f>BB59</f>
        <v>4325.3999999999996</v>
      </c>
      <c r="HY59" s="15">
        <f>AZ59</f>
        <v>7209</v>
      </c>
      <c r="HZ59" s="15">
        <f>BA59</f>
        <v>2.4604095563139929</v>
      </c>
      <c r="IA59" s="15">
        <f>BB59</f>
        <v>4325.3999999999996</v>
      </c>
    </row>
    <row r="60" spans="1:235" s="15" customFormat="1" x14ac:dyDescent="0.25">
      <c r="A60" s="31">
        <v>58</v>
      </c>
      <c r="B60" s="1">
        <v>11</v>
      </c>
      <c r="C60" s="1">
        <v>12</v>
      </c>
      <c r="D60" s="15" t="s">
        <v>35</v>
      </c>
      <c r="E60" s="1">
        <v>1</v>
      </c>
      <c r="F60" s="15" t="s">
        <v>761</v>
      </c>
      <c r="G60" s="15" t="s">
        <v>692</v>
      </c>
      <c r="H60" s="15" t="s">
        <v>694</v>
      </c>
      <c r="I60" s="1">
        <v>2010</v>
      </c>
      <c r="J60" s="15" t="s">
        <v>693</v>
      </c>
      <c r="K60" s="1">
        <v>2009</v>
      </c>
      <c r="L60" s="15" t="s">
        <v>695</v>
      </c>
      <c r="M60" s="15" t="s">
        <v>480</v>
      </c>
      <c r="N60" s="15" t="s">
        <v>520</v>
      </c>
      <c r="O60" s="31">
        <v>2</v>
      </c>
      <c r="P60" s="15">
        <v>23.1</v>
      </c>
      <c r="Q60" s="15">
        <v>113.34</v>
      </c>
      <c r="U60" s="15" t="s">
        <v>807</v>
      </c>
      <c r="V60" s="31">
        <v>2</v>
      </c>
      <c r="W60" s="16"/>
      <c r="X60" s="15" t="s">
        <v>696</v>
      </c>
      <c r="Y60" s="1">
        <v>2</v>
      </c>
      <c r="Z60" s="15">
        <v>4.45</v>
      </c>
      <c r="AA60" s="15" t="s">
        <v>574</v>
      </c>
      <c r="AB60" s="15">
        <f t="shared" si="68"/>
        <v>4.45</v>
      </c>
      <c r="AC60" s="1">
        <v>1</v>
      </c>
      <c r="AD60" s="15">
        <v>37</v>
      </c>
      <c r="AM60" s="1"/>
      <c r="AP60" s="15" t="s">
        <v>697</v>
      </c>
      <c r="AQ60" s="1">
        <v>1</v>
      </c>
      <c r="AR60" s="1">
        <v>3</v>
      </c>
      <c r="AT60" s="15" t="s">
        <v>545</v>
      </c>
      <c r="AW60" s="15">
        <v>2.4</v>
      </c>
      <c r="AX60" s="15">
        <f>AW60*1.78*2250</f>
        <v>9612</v>
      </c>
      <c r="AY60" s="15" t="s">
        <v>766</v>
      </c>
      <c r="AZ60" s="15">
        <f t="shared" si="34"/>
        <v>9612</v>
      </c>
      <c r="BA60" s="15">
        <f t="shared" si="35"/>
        <v>3.2805460750853239</v>
      </c>
      <c r="BB60" s="15">
        <f t="shared" si="36"/>
        <v>5767.2</v>
      </c>
      <c r="BP60" s="16"/>
      <c r="BQ60" s="16"/>
      <c r="BR60" s="16"/>
      <c r="BU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>
        <f t="shared" si="69"/>
        <v>4.45</v>
      </c>
      <c r="FL60" s="16">
        <f t="shared" si="70"/>
        <v>6.02</v>
      </c>
      <c r="FM60" s="15">
        <v>4.45</v>
      </c>
      <c r="FN60" s="15">
        <v>0.04</v>
      </c>
      <c r="FO60" s="15">
        <f>FN60*SQRT(AR60)</f>
        <v>6.9282032302755092E-2</v>
      </c>
      <c r="FP60" s="15">
        <v>6.02</v>
      </c>
      <c r="FQ60" s="15">
        <v>0.06</v>
      </c>
      <c r="FR60" s="15">
        <f>FQ60*SQRT(AR60)</f>
        <v>0.10392304845413262</v>
      </c>
      <c r="FS60" s="15">
        <f t="shared" si="6"/>
        <v>1.3528089887640449</v>
      </c>
      <c r="FT60" s="15">
        <f t="shared" si="7"/>
        <v>1.5699999999999994</v>
      </c>
      <c r="FU60" s="15">
        <f t="shared" si="8"/>
        <v>0.30218316314258087</v>
      </c>
      <c r="FV60" s="15">
        <f>((FR60*FR60)/(AR60*FP60*FP60)+(FO60*FO60)/(AR60*FM60*FM60))</f>
        <v>1.8013453096900908E-4</v>
      </c>
      <c r="HE60" s="15">
        <v>2.98</v>
      </c>
      <c r="HF60" s="15">
        <v>0.08</v>
      </c>
      <c r="HG60" s="15">
        <f>HF60*SQRT(AR60)</f>
        <v>0.13856406460551018</v>
      </c>
      <c r="HH60" s="15">
        <v>3.38</v>
      </c>
      <c r="HI60" s="15">
        <v>0.06</v>
      </c>
      <c r="HJ60" s="15">
        <f>HI60*SQRT(AR60)</f>
        <v>0.10392304845413262</v>
      </c>
      <c r="HK60" s="15">
        <f>HH60/HE60</f>
        <v>1.1342281879194631</v>
      </c>
      <c r="HL60" s="15">
        <f>HH60-HE60</f>
        <v>0.39999999999999991</v>
      </c>
      <c r="HM60" s="15">
        <f>LN(HH60)-LN(HE60)</f>
        <v>0.12595240897761428</v>
      </c>
      <c r="HN60" s="15">
        <f>((HJ60*HJ60)/(AR60*HH60*HH60)+(HG60*HG60)/(AR60*HE60*HE60))</f>
        <v>1.0358032742669059E-3</v>
      </c>
      <c r="HP60" s="15" t="s">
        <v>699</v>
      </c>
      <c r="HQ60" s="15">
        <v>15.39</v>
      </c>
      <c r="HR60" s="15">
        <v>0.4</v>
      </c>
      <c r="HS60" s="15">
        <v>15.26</v>
      </c>
      <c r="HT60" s="15">
        <v>0.03</v>
      </c>
      <c r="HU60" s="15" t="s">
        <v>600</v>
      </c>
      <c r="HV60" s="15">
        <f>HX60/HW60/100</f>
        <v>457.88723271065129</v>
      </c>
      <c r="HW60" s="15">
        <f>HM60</f>
        <v>0.12595240897761428</v>
      </c>
      <c r="HX60" s="15">
        <f>BB60</f>
        <v>5767.2</v>
      </c>
      <c r="HY60" s="15">
        <f>AZ60</f>
        <v>9612</v>
      </c>
      <c r="HZ60" s="15">
        <f>BA60</f>
        <v>3.2805460750853239</v>
      </c>
      <c r="IA60" s="15">
        <f>BB60</f>
        <v>5767.2</v>
      </c>
    </row>
    <row r="61" spans="1:235" s="15" customFormat="1" x14ac:dyDescent="0.25">
      <c r="A61" s="31">
        <v>59</v>
      </c>
      <c r="B61" s="1">
        <v>12</v>
      </c>
      <c r="C61" s="1">
        <v>13</v>
      </c>
      <c r="D61" s="15" t="s">
        <v>701</v>
      </c>
      <c r="E61" s="1">
        <v>1</v>
      </c>
      <c r="F61" s="15" t="s">
        <v>761</v>
      </c>
      <c r="G61" s="15" t="s">
        <v>702</v>
      </c>
      <c r="H61" s="15" t="s">
        <v>700</v>
      </c>
      <c r="I61" s="1">
        <v>2014</v>
      </c>
      <c r="J61" s="15" t="s">
        <v>703</v>
      </c>
      <c r="K61" s="1"/>
      <c r="L61" s="15" t="s">
        <v>706</v>
      </c>
      <c r="M61" s="15" t="s">
        <v>707</v>
      </c>
      <c r="N61" s="15" t="s">
        <v>520</v>
      </c>
      <c r="O61" s="31">
        <v>2</v>
      </c>
      <c r="P61" s="15">
        <v>26.32</v>
      </c>
      <c r="Q61" s="15">
        <v>89.38</v>
      </c>
      <c r="U61" s="15" t="s">
        <v>807</v>
      </c>
      <c r="V61" s="31">
        <v>2</v>
      </c>
      <c r="W61" s="16"/>
      <c r="X61" s="15" t="s">
        <v>708</v>
      </c>
      <c r="Y61" s="1">
        <v>9</v>
      </c>
      <c r="Z61" s="15">
        <v>5.4</v>
      </c>
      <c r="AA61" s="15" t="s">
        <v>574</v>
      </c>
      <c r="AB61" s="15">
        <f t="shared" si="68"/>
        <v>5.4</v>
      </c>
      <c r="AC61" s="1">
        <v>3</v>
      </c>
      <c r="AD61" s="15">
        <f>5.3*1.724</f>
        <v>9.1372</v>
      </c>
      <c r="AF61" s="15">
        <v>9.5</v>
      </c>
      <c r="AJ61" s="15">
        <v>26.8</v>
      </c>
      <c r="AK61" s="15">
        <v>30</v>
      </c>
      <c r="AL61" s="15">
        <v>43.2</v>
      </c>
      <c r="AM61" s="1">
        <v>3</v>
      </c>
      <c r="AP61" s="15" t="s">
        <v>1615</v>
      </c>
      <c r="AQ61" s="1">
        <v>5</v>
      </c>
      <c r="AR61" s="1">
        <v>3</v>
      </c>
      <c r="AT61" s="15" t="s">
        <v>576</v>
      </c>
      <c r="AW61" s="15">
        <v>0.8</v>
      </c>
      <c r="AX61" s="15">
        <f>AW61*2250</f>
        <v>1800</v>
      </c>
      <c r="AY61" s="15" t="s">
        <v>766</v>
      </c>
      <c r="AZ61" s="15">
        <f t="shared" si="34"/>
        <v>1800</v>
      </c>
      <c r="BA61" s="15">
        <f t="shared" si="35"/>
        <v>0.61433447098976102</v>
      </c>
      <c r="BB61" s="15">
        <f t="shared" si="36"/>
        <v>1080</v>
      </c>
      <c r="BP61" s="16"/>
      <c r="BQ61" s="16"/>
      <c r="BR61" s="16"/>
      <c r="BU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>
        <f t="shared" si="69"/>
        <v>5.67</v>
      </c>
      <c r="FL61" s="16">
        <f t="shared" si="70"/>
        <v>7.05</v>
      </c>
      <c r="FM61" s="15">
        <v>5.67</v>
      </c>
      <c r="FN61" s="15">
        <v>0.5</v>
      </c>
      <c r="FO61" s="15">
        <f>FN61*SQRT(AR61)</f>
        <v>0.8660254037844386</v>
      </c>
      <c r="FP61" s="15">
        <v>7.05</v>
      </c>
      <c r="FQ61" s="15">
        <v>0.7</v>
      </c>
      <c r="FR61" s="15">
        <f>FQ61*SQRT(AR61)</f>
        <v>1.2124355652982139</v>
      </c>
      <c r="FS61" s="15">
        <f t="shared" si="6"/>
        <v>1.2433862433862433</v>
      </c>
      <c r="FT61" s="15">
        <f t="shared" si="7"/>
        <v>1.38</v>
      </c>
      <c r="FU61" s="15">
        <f t="shared" si="8"/>
        <v>0.21783849908451658</v>
      </c>
      <c r="FV61" s="15">
        <f>((FR61*FR61)/(AR61*FP61*FP61)+(FO61*FO61)/(AR61*FM61*FM61))</f>
        <v>1.7634974851577657E-2</v>
      </c>
      <c r="HY61" s="15">
        <f>AZ61</f>
        <v>1800</v>
      </c>
      <c r="HZ61" s="15">
        <f>BA61</f>
        <v>0.61433447098976102</v>
      </c>
      <c r="IA61" s="15">
        <f>BB61</f>
        <v>1080</v>
      </c>
    </row>
    <row r="62" spans="1:235" s="15" customFormat="1" x14ac:dyDescent="0.25">
      <c r="A62" s="31">
        <v>60</v>
      </c>
      <c r="B62" s="1">
        <v>12</v>
      </c>
      <c r="C62" s="1">
        <v>13</v>
      </c>
      <c r="D62" s="15" t="s">
        <v>704</v>
      </c>
      <c r="E62" s="1">
        <v>1</v>
      </c>
      <c r="F62" s="15" t="s">
        <v>761</v>
      </c>
      <c r="G62" s="15" t="s">
        <v>702</v>
      </c>
      <c r="H62" s="15" t="s">
        <v>700</v>
      </c>
      <c r="I62" s="1">
        <v>2014</v>
      </c>
      <c r="J62" s="15" t="s">
        <v>703</v>
      </c>
      <c r="K62" s="1"/>
      <c r="L62" s="15" t="s">
        <v>706</v>
      </c>
      <c r="M62" s="15" t="s">
        <v>707</v>
      </c>
      <c r="N62" s="15" t="s">
        <v>520</v>
      </c>
      <c r="O62" s="31">
        <v>2</v>
      </c>
      <c r="P62" s="15">
        <v>26.32</v>
      </c>
      <c r="Q62" s="15">
        <v>89.38</v>
      </c>
      <c r="U62" s="15" t="s">
        <v>807</v>
      </c>
      <c r="V62" s="31">
        <v>2</v>
      </c>
      <c r="W62" s="16"/>
      <c r="X62" s="15" t="s">
        <v>708</v>
      </c>
      <c r="Y62" s="1">
        <v>9</v>
      </c>
      <c r="Z62" s="15">
        <v>5.4</v>
      </c>
      <c r="AA62" s="15" t="s">
        <v>574</v>
      </c>
      <c r="AB62" s="15">
        <f t="shared" si="68"/>
        <v>5.4</v>
      </c>
      <c r="AC62" s="1">
        <v>3</v>
      </c>
      <c r="AD62" s="15">
        <f>5.3*1.724</f>
        <v>9.1372</v>
      </c>
      <c r="AF62" s="15">
        <v>9.5</v>
      </c>
      <c r="AJ62" s="15">
        <v>26.8</v>
      </c>
      <c r="AK62" s="15">
        <v>30</v>
      </c>
      <c r="AL62" s="15">
        <v>43.2</v>
      </c>
      <c r="AM62" s="1">
        <v>3</v>
      </c>
      <c r="AP62" s="15" t="s">
        <v>1615</v>
      </c>
      <c r="AQ62" s="1">
        <v>5</v>
      </c>
      <c r="AR62" s="1">
        <v>3</v>
      </c>
      <c r="AT62" s="15" t="s">
        <v>576</v>
      </c>
      <c r="AW62" s="15">
        <v>1.6</v>
      </c>
      <c r="AX62" s="15">
        <f>AW62*2250</f>
        <v>3600</v>
      </c>
      <c r="AY62" s="15" t="s">
        <v>766</v>
      </c>
      <c r="AZ62" s="15">
        <f t="shared" si="34"/>
        <v>3600</v>
      </c>
      <c r="BA62" s="15">
        <f t="shared" si="35"/>
        <v>1.228668941979522</v>
      </c>
      <c r="BB62" s="15">
        <f t="shared" si="36"/>
        <v>2160</v>
      </c>
      <c r="BP62" s="16"/>
      <c r="BQ62" s="16"/>
      <c r="BR62" s="16"/>
      <c r="BU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>
        <f t="shared" si="69"/>
        <v>5.67</v>
      </c>
      <c r="FL62" s="16">
        <f t="shared" si="70"/>
        <v>7.2</v>
      </c>
      <c r="FM62" s="15">
        <v>5.67</v>
      </c>
      <c r="FN62" s="15">
        <v>0.5</v>
      </c>
      <c r="FO62" s="15">
        <f>FN62*SQRT(AR62)</f>
        <v>0.8660254037844386</v>
      </c>
      <c r="FP62" s="15">
        <v>7.2</v>
      </c>
      <c r="FQ62" s="15">
        <v>0.7</v>
      </c>
      <c r="FR62" s="15">
        <f>FQ62*SQRT(AR62)</f>
        <v>1.2124355652982139</v>
      </c>
      <c r="FS62" s="15">
        <f t="shared" si="6"/>
        <v>1.26984126984127</v>
      </c>
      <c r="FT62" s="15">
        <f t="shared" si="7"/>
        <v>1.5300000000000002</v>
      </c>
      <c r="FU62" s="15">
        <f t="shared" si="8"/>
        <v>0.23889190828234885</v>
      </c>
      <c r="FV62" s="15">
        <f>((FR62*FR62)/(AR62*FP62*FP62)+(FO62*FO62)/(AR62*FM62*FM62))</f>
        <v>1.7228476324228817E-2</v>
      </c>
      <c r="HY62" s="15">
        <f>AZ62</f>
        <v>3600</v>
      </c>
      <c r="HZ62" s="15">
        <f>BA62</f>
        <v>1.228668941979522</v>
      </c>
      <c r="IA62" s="15">
        <f>BB62</f>
        <v>2160</v>
      </c>
    </row>
    <row r="63" spans="1:235" s="15" customFormat="1" x14ac:dyDescent="0.25">
      <c r="A63" s="31">
        <v>61</v>
      </c>
      <c r="B63" s="1">
        <v>12</v>
      </c>
      <c r="C63" s="1">
        <v>13</v>
      </c>
      <c r="D63" s="15" t="s">
        <v>705</v>
      </c>
      <c r="E63" s="1">
        <v>1</v>
      </c>
      <c r="F63" s="15" t="s">
        <v>761</v>
      </c>
      <c r="G63" s="15" t="s">
        <v>702</v>
      </c>
      <c r="H63" s="15" t="s">
        <v>700</v>
      </c>
      <c r="I63" s="1">
        <v>2014</v>
      </c>
      <c r="J63" s="15" t="s">
        <v>703</v>
      </c>
      <c r="K63" s="1"/>
      <c r="L63" s="15" t="s">
        <v>706</v>
      </c>
      <c r="M63" s="15" t="s">
        <v>707</v>
      </c>
      <c r="N63" s="15" t="s">
        <v>520</v>
      </c>
      <c r="O63" s="31">
        <v>2</v>
      </c>
      <c r="P63" s="15">
        <v>26.32</v>
      </c>
      <c r="Q63" s="15">
        <v>89.38</v>
      </c>
      <c r="U63" s="15" t="s">
        <v>807</v>
      </c>
      <c r="V63" s="31">
        <v>2</v>
      </c>
      <c r="W63" s="16"/>
      <c r="X63" s="15" t="s">
        <v>708</v>
      </c>
      <c r="Y63" s="1">
        <v>9</v>
      </c>
      <c r="Z63" s="15">
        <v>5.4</v>
      </c>
      <c r="AA63" s="15" t="s">
        <v>574</v>
      </c>
      <c r="AB63" s="15">
        <f t="shared" si="68"/>
        <v>5.4</v>
      </c>
      <c r="AC63" s="1">
        <v>3</v>
      </c>
      <c r="AD63" s="15">
        <f>5.3*1.724</f>
        <v>9.1372</v>
      </c>
      <c r="AF63" s="15">
        <v>9.5</v>
      </c>
      <c r="AJ63" s="15">
        <v>26.8</v>
      </c>
      <c r="AK63" s="15">
        <v>30</v>
      </c>
      <c r="AL63" s="15">
        <v>43.2</v>
      </c>
      <c r="AM63" s="1">
        <v>3</v>
      </c>
      <c r="AP63" s="15" t="s">
        <v>1615</v>
      </c>
      <c r="AQ63" s="1">
        <v>5</v>
      </c>
      <c r="AR63" s="1">
        <v>3</v>
      </c>
      <c r="AT63" s="15" t="s">
        <v>576</v>
      </c>
      <c r="AW63" s="15">
        <v>2.4</v>
      </c>
      <c r="AX63" s="15">
        <f>AW63*2250</f>
        <v>5400</v>
      </c>
      <c r="AY63" s="15" t="s">
        <v>766</v>
      </c>
      <c r="AZ63" s="15">
        <f t="shared" si="34"/>
        <v>5400</v>
      </c>
      <c r="BA63" s="15">
        <f t="shared" si="35"/>
        <v>1.8430034129692832</v>
      </c>
      <c r="BB63" s="15">
        <f t="shared" si="36"/>
        <v>3240</v>
      </c>
      <c r="BP63" s="16"/>
      <c r="BQ63" s="16"/>
      <c r="BR63" s="16"/>
      <c r="BU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>
        <f t="shared" si="69"/>
        <v>5.67</v>
      </c>
      <c r="FL63" s="16">
        <f t="shared" si="70"/>
        <v>7.3</v>
      </c>
      <c r="FM63" s="15">
        <v>5.67</v>
      </c>
      <c r="FN63" s="15">
        <v>0.5</v>
      </c>
      <c r="FO63" s="15">
        <f>FN63*SQRT(AR63)</f>
        <v>0.8660254037844386</v>
      </c>
      <c r="FP63" s="15">
        <v>7.3</v>
      </c>
      <c r="FQ63" s="15">
        <v>0.7</v>
      </c>
      <c r="FR63" s="15">
        <f>FQ63*SQRT(AR63)</f>
        <v>1.2124355652982139</v>
      </c>
      <c r="FS63" s="15">
        <f t="shared" si="6"/>
        <v>1.2874779541446209</v>
      </c>
      <c r="FT63" s="15">
        <f t="shared" si="7"/>
        <v>1.63</v>
      </c>
      <c r="FU63" s="15">
        <f t="shared" si="8"/>
        <v>0.25268523041468471</v>
      </c>
      <c r="FV63" s="15">
        <f>((FR63*FR63)/(AR63*FP63*FP63)+(FO63*FO63)/(AR63*FM63*FM63))</f>
        <v>1.6971286744269176E-2</v>
      </c>
      <c r="HY63" s="15">
        <f>AZ63</f>
        <v>5400</v>
      </c>
      <c r="HZ63" s="15">
        <f>BA63</f>
        <v>1.8430034129692832</v>
      </c>
      <c r="IA63" s="15">
        <f>BB63</f>
        <v>3240</v>
      </c>
    </row>
    <row r="64" spans="1:235" s="15" customFormat="1" x14ac:dyDescent="0.25">
      <c r="A64" s="31">
        <v>62</v>
      </c>
      <c r="B64" s="1">
        <v>13</v>
      </c>
      <c r="C64" s="1">
        <v>13</v>
      </c>
      <c r="D64" s="15" t="s">
        <v>36</v>
      </c>
      <c r="E64" s="1">
        <v>2</v>
      </c>
      <c r="F64" s="17" t="s">
        <v>777</v>
      </c>
      <c r="G64" s="15" t="s">
        <v>710</v>
      </c>
      <c r="H64" s="15" t="s">
        <v>713</v>
      </c>
      <c r="I64" s="1">
        <v>2019</v>
      </c>
      <c r="J64" s="15" t="s">
        <v>711</v>
      </c>
      <c r="K64" s="1"/>
      <c r="L64" s="15" t="s">
        <v>712</v>
      </c>
      <c r="M64" s="15" t="s">
        <v>480</v>
      </c>
      <c r="N64" s="15" t="s">
        <v>520</v>
      </c>
      <c r="O64" s="31">
        <v>2</v>
      </c>
      <c r="P64" s="15">
        <v>34.33</v>
      </c>
      <c r="Q64" s="15">
        <v>108.4</v>
      </c>
      <c r="S64" s="15">
        <v>620</v>
      </c>
      <c r="T64" s="15">
        <v>12.9</v>
      </c>
      <c r="U64" s="15" t="s">
        <v>807</v>
      </c>
      <c r="V64" s="31">
        <v>2</v>
      </c>
      <c r="W64" s="16"/>
      <c r="X64" s="15" t="s">
        <v>716</v>
      </c>
      <c r="Y64" s="1">
        <v>4</v>
      </c>
      <c r="Z64" s="15">
        <v>8.1999999999999993</v>
      </c>
      <c r="AA64" s="15" t="s">
        <v>574</v>
      </c>
      <c r="AB64" s="15">
        <f t="shared" si="68"/>
        <v>8.1999999999999993</v>
      </c>
      <c r="AC64" s="60">
        <v>6</v>
      </c>
      <c r="AD64" s="15">
        <f t="shared" ref="AD64:AD69" si="71">8.2*1.724</f>
        <v>14.136799999999999</v>
      </c>
      <c r="AJ64" s="15">
        <v>32</v>
      </c>
      <c r="AK64" s="15">
        <v>52</v>
      </c>
      <c r="AL64" s="15">
        <v>16</v>
      </c>
      <c r="AM64" s="1">
        <v>2</v>
      </c>
      <c r="AQ64" s="1"/>
      <c r="AR64" s="1">
        <v>3</v>
      </c>
      <c r="BP64" s="16"/>
      <c r="BQ64" s="16"/>
      <c r="BR64" s="16"/>
      <c r="BU64" s="16"/>
      <c r="CC64" s="15" t="s">
        <v>717</v>
      </c>
      <c r="CE64" s="15">
        <v>1</v>
      </c>
      <c r="CF64" s="15">
        <f>CE64*22500</f>
        <v>22500</v>
      </c>
      <c r="CG64" s="15" t="s">
        <v>766</v>
      </c>
      <c r="CH64" s="15">
        <v>10.3</v>
      </c>
      <c r="CI64" s="15" t="s">
        <v>718</v>
      </c>
      <c r="CK64" s="15">
        <v>489.6</v>
      </c>
      <c r="CL64" s="15">
        <v>10.7</v>
      </c>
      <c r="CM64" s="15">
        <v>2</v>
      </c>
      <c r="CO64" s="15">
        <v>114.6</v>
      </c>
      <c r="CW64" s="15">
        <v>46.7</v>
      </c>
      <c r="CY64" s="25">
        <f>CF64</f>
        <v>22500</v>
      </c>
      <c r="CZ64" s="25">
        <f>CY64/0.78/1000</f>
        <v>28.846153846153843</v>
      </c>
      <c r="DA64" s="25">
        <f>CY64*3</f>
        <v>67500</v>
      </c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>
        <f t="shared" si="69"/>
        <v>8.1</v>
      </c>
      <c r="FL64" s="16">
        <f t="shared" si="70"/>
        <v>8</v>
      </c>
      <c r="FM64" s="15">
        <v>8.1</v>
      </c>
      <c r="FN64" s="15">
        <v>0.1</v>
      </c>
      <c r="FO64" s="15">
        <f>FN64*SQRT(AR64)</f>
        <v>0.17320508075688773</v>
      </c>
      <c r="FP64" s="15">
        <v>8</v>
      </c>
      <c r="FQ64" s="15">
        <v>0.1</v>
      </c>
      <c r="FR64" s="15">
        <f>FQ64*SQRT(AR64)</f>
        <v>0.17320508075688773</v>
      </c>
      <c r="FS64" s="15">
        <f t="shared" si="6"/>
        <v>0.98765432098765438</v>
      </c>
      <c r="FT64" s="15">
        <f t="shared" si="7"/>
        <v>-9.9999999999999645E-2</v>
      </c>
      <c r="FU64" s="15">
        <f t="shared" si="8"/>
        <v>-1.242251999855748E-2</v>
      </c>
      <c r="FV64" s="15">
        <f>((FR64*FR64)/(AR64*FP64*FP64)+(FO64*FO64)/(AR64*FM64*FM64))</f>
        <v>3.0866579027587259E-4</v>
      </c>
      <c r="FX64" s="15">
        <f t="shared" ref="FX64:FX69" si="72">8.2*1.724</f>
        <v>14.136799999999999</v>
      </c>
      <c r="FY64" s="15">
        <v>1.1000000000000001</v>
      </c>
      <c r="FZ64" s="15">
        <f>FY64*SQRT(AR64)</f>
        <v>1.9052558883257651</v>
      </c>
      <c r="GA64" s="15">
        <f>20.9*1.724</f>
        <v>36.031599999999997</v>
      </c>
      <c r="GB64" s="15">
        <v>1.1000000000000001</v>
      </c>
      <c r="GC64" s="15">
        <f>GB64*SQRT(AR64)</f>
        <v>1.9052558883257651</v>
      </c>
      <c r="GD64" s="15">
        <f t="shared" ref="GD64:GD77" si="73">GA64/FX64</f>
        <v>2.5487804878048781</v>
      </c>
      <c r="GE64" s="15">
        <f t="shared" ref="GE64:GE77" si="74">GA64-FX64</f>
        <v>21.894799999999996</v>
      </c>
      <c r="GF64" s="15">
        <f t="shared" ref="GF64:GF77" si="75">LN(GA64)-LN(FX64)</f>
        <v>0.93561500470055758</v>
      </c>
      <c r="GG64" s="15">
        <f>((GC64*GC64)/(AR64*GA64*GA64)+(FZ64*FZ64)/(AR64*FX64*FX64))</f>
        <v>6.9865728107999384E-3</v>
      </c>
      <c r="HY64" s="25">
        <f>CY64</f>
        <v>22500</v>
      </c>
      <c r="HZ64" s="25">
        <f>CZ64</f>
        <v>28.846153846153843</v>
      </c>
      <c r="IA64" s="25">
        <f>DA64</f>
        <v>67500</v>
      </c>
    </row>
    <row r="65" spans="1:235" s="15" customFormat="1" x14ac:dyDescent="0.25">
      <c r="A65" s="31">
        <v>63</v>
      </c>
      <c r="B65" s="1">
        <v>13</v>
      </c>
      <c r="C65" s="1">
        <v>13</v>
      </c>
      <c r="D65" s="15" t="s">
        <v>37</v>
      </c>
      <c r="E65" s="1">
        <v>2</v>
      </c>
      <c r="F65" s="17" t="s">
        <v>777</v>
      </c>
      <c r="G65" s="15" t="s">
        <v>710</v>
      </c>
      <c r="H65" s="15" t="s">
        <v>714</v>
      </c>
      <c r="I65" s="1">
        <v>2019</v>
      </c>
      <c r="J65" s="15" t="s">
        <v>711</v>
      </c>
      <c r="K65" s="1"/>
      <c r="L65" s="15" t="s">
        <v>712</v>
      </c>
      <c r="M65" s="15" t="s">
        <v>480</v>
      </c>
      <c r="N65" s="15" t="s">
        <v>520</v>
      </c>
      <c r="O65" s="31">
        <v>2</v>
      </c>
      <c r="P65" s="15">
        <v>34.33</v>
      </c>
      <c r="Q65" s="15">
        <v>108.4</v>
      </c>
      <c r="S65" s="15">
        <v>620</v>
      </c>
      <c r="T65" s="15">
        <v>12.9</v>
      </c>
      <c r="U65" s="15" t="s">
        <v>807</v>
      </c>
      <c r="V65" s="31">
        <v>2</v>
      </c>
      <c r="W65" s="16"/>
      <c r="X65" s="15" t="s">
        <v>716</v>
      </c>
      <c r="Y65" s="1">
        <v>4</v>
      </c>
      <c r="Z65" s="15">
        <v>8.1999999999999993</v>
      </c>
      <c r="AA65" s="15" t="s">
        <v>574</v>
      </c>
      <c r="AB65" s="15">
        <f t="shared" si="68"/>
        <v>8.1999999999999993</v>
      </c>
      <c r="AC65" s="60">
        <v>6</v>
      </c>
      <c r="AD65" s="15">
        <f t="shared" si="71"/>
        <v>14.136799999999999</v>
      </c>
      <c r="AJ65" s="15">
        <v>32</v>
      </c>
      <c r="AK65" s="15">
        <v>52</v>
      </c>
      <c r="AL65" s="15">
        <v>16</v>
      </c>
      <c r="AM65" s="1">
        <v>2</v>
      </c>
      <c r="AQ65" s="1"/>
      <c r="AR65" s="1">
        <v>3</v>
      </c>
      <c r="BP65" s="16"/>
      <c r="BQ65" s="16"/>
      <c r="BR65" s="16"/>
      <c r="BU65" s="16"/>
      <c r="CC65" s="15" t="s">
        <v>717</v>
      </c>
      <c r="CE65" s="15">
        <v>3</v>
      </c>
      <c r="CF65" s="15">
        <f>CE65*22500</f>
        <v>67500</v>
      </c>
      <c r="CG65" s="15" t="s">
        <v>766</v>
      </c>
      <c r="CH65" s="15">
        <v>10.3</v>
      </c>
      <c r="CI65" s="15" t="s">
        <v>718</v>
      </c>
      <c r="CK65" s="15">
        <v>489.6</v>
      </c>
      <c r="CL65" s="15">
        <v>10.7</v>
      </c>
      <c r="CM65" s="15">
        <v>2</v>
      </c>
      <c r="CO65" s="15">
        <v>114.6</v>
      </c>
      <c r="CW65" s="15">
        <v>46.7</v>
      </c>
      <c r="CY65" s="25">
        <f>CF65</f>
        <v>67500</v>
      </c>
      <c r="CZ65" s="25">
        <f>CY65/0.78/1000</f>
        <v>86.538461538461533</v>
      </c>
      <c r="DA65" s="25">
        <f>CY65*3</f>
        <v>202500</v>
      </c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>
        <f t="shared" si="69"/>
        <v>8.1</v>
      </c>
      <c r="FL65" s="16">
        <f t="shared" si="70"/>
        <v>8</v>
      </c>
      <c r="FM65" s="15">
        <v>8.1</v>
      </c>
      <c r="FN65" s="15">
        <v>0.1</v>
      </c>
      <c r="FO65" s="15">
        <f>FN65*SQRT(AR65)</f>
        <v>0.17320508075688773</v>
      </c>
      <c r="FP65" s="15">
        <v>8</v>
      </c>
      <c r="FQ65" s="15">
        <v>0.2</v>
      </c>
      <c r="FR65" s="15">
        <f>FQ65*SQRT(AR65)</f>
        <v>0.34641016151377546</v>
      </c>
      <c r="FS65" s="15">
        <f t="shared" si="6"/>
        <v>0.98765432098765438</v>
      </c>
      <c r="FT65" s="15">
        <f t="shared" si="7"/>
        <v>-9.9999999999999645E-2</v>
      </c>
      <c r="FU65" s="15">
        <f t="shared" si="8"/>
        <v>-1.242251999855748E-2</v>
      </c>
      <c r="FV65" s="15">
        <f>((FR65*FR65)/(AR65*FP65*FP65)+(FO65*FO65)/(AR65*FM65*FM65))</f>
        <v>7.7741579027587257E-4</v>
      </c>
      <c r="FX65" s="15">
        <f t="shared" si="72"/>
        <v>14.136799999999999</v>
      </c>
      <c r="FY65" s="15">
        <v>1.1000000000000001</v>
      </c>
      <c r="FZ65" s="15">
        <f>FY65*SQRT(AR65)</f>
        <v>1.9052558883257651</v>
      </c>
      <c r="GA65" s="15">
        <f>38.1*1.724</f>
        <v>65.684399999999997</v>
      </c>
      <c r="GB65" s="15">
        <v>1.2</v>
      </c>
      <c r="GC65" s="15">
        <f>GB65*SQRT(AR65)</f>
        <v>2.0784609690826525</v>
      </c>
      <c r="GD65" s="15">
        <f t="shared" si="73"/>
        <v>4.6463414634146343</v>
      </c>
      <c r="GE65" s="15">
        <f t="shared" si="74"/>
        <v>51.547599999999996</v>
      </c>
      <c r="GF65" s="15">
        <f t="shared" si="75"/>
        <v>1.5360801278624479</v>
      </c>
      <c r="GG65" s="15">
        <f>((GC65*GC65)/(AR65*GA65*GA65)+(FZ65*FZ65)/(AR65*FX65*FX65))</f>
        <v>6.3883306076164435E-3</v>
      </c>
      <c r="HY65" s="25">
        <f>CY65</f>
        <v>67500</v>
      </c>
      <c r="HZ65" s="25">
        <f>CZ65</f>
        <v>86.538461538461533</v>
      </c>
      <c r="IA65" s="25">
        <f>DA65</f>
        <v>202500</v>
      </c>
    </row>
    <row r="66" spans="1:235" s="15" customFormat="1" x14ac:dyDescent="0.25">
      <c r="A66" s="31">
        <v>64</v>
      </c>
      <c r="B66" s="1">
        <v>13</v>
      </c>
      <c r="C66" s="1">
        <v>13</v>
      </c>
      <c r="D66" s="15" t="s">
        <v>38</v>
      </c>
      <c r="E66" s="1">
        <v>2</v>
      </c>
      <c r="F66" s="17" t="s">
        <v>777</v>
      </c>
      <c r="G66" s="15" t="s">
        <v>710</v>
      </c>
      <c r="H66" s="15" t="s">
        <v>715</v>
      </c>
      <c r="I66" s="1">
        <v>2019</v>
      </c>
      <c r="J66" s="15" t="s">
        <v>711</v>
      </c>
      <c r="K66" s="1"/>
      <c r="L66" s="15" t="s">
        <v>712</v>
      </c>
      <c r="M66" s="15" t="s">
        <v>480</v>
      </c>
      <c r="N66" s="15" t="s">
        <v>520</v>
      </c>
      <c r="O66" s="31">
        <v>2</v>
      </c>
      <c r="P66" s="15">
        <v>34.33</v>
      </c>
      <c r="Q66" s="15">
        <v>108.4</v>
      </c>
      <c r="S66" s="15">
        <v>620</v>
      </c>
      <c r="T66" s="15">
        <v>12.9</v>
      </c>
      <c r="U66" s="15" t="s">
        <v>807</v>
      </c>
      <c r="V66" s="31">
        <v>2</v>
      </c>
      <c r="W66" s="16"/>
      <c r="X66" s="15" t="s">
        <v>716</v>
      </c>
      <c r="Y66" s="1">
        <v>4</v>
      </c>
      <c r="Z66" s="15">
        <v>8.1999999999999993</v>
      </c>
      <c r="AA66" s="15" t="s">
        <v>574</v>
      </c>
      <c r="AB66" s="15">
        <f t="shared" si="68"/>
        <v>8.1999999999999993</v>
      </c>
      <c r="AC66" s="60">
        <v>6</v>
      </c>
      <c r="AD66" s="15">
        <f t="shared" si="71"/>
        <v>14.136799999999999</v>
      </c>
      <c r="AJ66" s="15">
        <v>32</v>
      </c>
      <c r="AK66" s="15">
        <v>52</v>
      </c>
      <c r="AL66" s="15">
        <v>16</v>
      </c>
      <c r="AM66" s="1">
        <v>2</v>
      </c>
      <c r="AQ66" s="1"/>
      <c r="AR66" s="1">
        <v>3</v>
      </c>
      <c r="BP66" s="16"/>
      <c r="BQ66" s="16"/>
      <c r="BR66" s="16"/>
      <c r="BU66" s="16"/>
      <c r="CC66" s="15" t="s">
        <v>717</v>
      </c>
      <c r="CE66" s="15">
        <v>6</v>
      </c>
      <c r="CF66" s="15">
        <f>CE66*22500</f>
        <v>135000</v>
      </c>
      <c r="CG66" s="15" t="s">
        <v>766</v>
      </c>
      <c r="CH66" s="15">
        <v>10.3</v>
      </c>
      <c r="CI66" s="15" t="s">
        <v>718</v>
      </c>
      <c r="CK66" s="15">
        <v>489.6</v>
      </c>
      <c r="CL66" s="15">
        <v>10.7</v>
      </c>
      <c r="CM66" s="15">
        <v>2</v>
      </c>
      <c r="CO66" s="15">
        <v>114.6</v>
      </c>
      <c r="CW66" s="15">
        <v>46.7</v>
      </c>
      <c r="CY66" s="25">
        <f>CF66</f>
        <v>135000</v>
      </c>
      <c r="CZ66" s="25">
        <f>CY66/0.78/1000</f>
        <v>173.07692307692307</v>
      </c>
      <c r="DA66" s="25">
        <f>CY66*3</f>
        <v>405000</v>
      </c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>
        <f t="shared" si="69"/>
        <v>8.1</v>
      </c>
      <c r="FL66" s="16">
        <f t="shared" si="70"/>
        <v>8</v>
      </c>
      <c r="FM66" s="15">
        <v>8.1</v>
      </c>
      <c r="FN66" s="15">
        <v>0.1</v>
      </c>
      <c r="FO66" s="15">
        <f>FN66*SQRT(AR66)</f>
        <v>0.17320508075688773</v>
      </c>
      <c r="FP66" s="15">
        <v>8</v>
      </c>
      <c r="FQ66" s="15">
        <v>0.1</v>
      </c>
      <c r="FR66" s="15">
        <f>FQ66*SQRT(AR66)</f>
        <v>0.17320508075688773</v>
      </c>
      <c r="FS66" s="15">
        <f t="shared" si="6"/>
        <v>0.98765432098765438</v>
      </c>
      <c r="FT66" s="15">
        <f t="shared" si="7"/>
        <v>-9.9999999999999645E-2</v>
      </c>
      <c r="FU66" s="15">
        <f t="shared" si="8"/>
        <v>-1.242251999855748E-2</v>
      </c>
      <c r="FV66" s="15">
        <f>((FR66*FR66)/(AR66*FP66*FP66)+(FO66*FO66)/(AR66*FM66*FM66))</f>
        <v>3.0866579027587259E-4</v>
      </c>
      <c r="FX66" s="15">
        <f t="shared" si="72"/>
        <v>14.136799999999999</v>
      </c>
      <c r="FY66" s="15">
        <v>1.1000000000000001</v>
      </c>
      <c r="FZ66" s="15">
        <f>FY66*SQRT(AR66)</f>
        <v>1.9052558883257651</v>
      </c>
      <c r="GA66" s="15">
        <f>49.5*1.724</f>
        <v>85.337999999999994</v>
      </c>
      <c r="GB66" s="15">
        <v>4.7</v>
      </c>
      <c r="GC66" s="15">
        <f>GB66*SQRT(AR66)</f>
        <v>8.1406387955737234</v>
      </c>
      <c r="GD66" s="15">
        <f t="shared" si="73"/>
        <v>6.0365853658536581</v>
      </c>
      <c r="GE66" s="15">
        <f t="shared" si="74"/>
        <v>71.2012</v>
      </c>
      <c r="GF66" s="15">
        <f t="shared" si="75"/>
        <v>1.7978385153044369</v>
      </c>
      <c r="GG66" s="15">
        <f>((GC66*GC66)/(AR66*GA66*GA66)+(FZ66*FZ66)/(AR66*FX66*FX66))</f>
        <v>9.0878358210224469E-3</v>
      </c>
      <c r="HY66" s="25">
        <f>CY66</f>
        <v>135000</v>
      </c>
      <c r="HZ66" s="25">
        <f>CZ66</f>
        <v>173.07692307692307</v>
      </c>
      <c r="IA66" s="25">
        <f>DA66</f>
        <v>405000</v>
      </c>
    </row>
    <row r="67" spans="1:235" s="15" customFormat="1" x14ac:dyDescent="0.25">
      <c r="A67" s="31">
        <v>65</v>
      </c>
      <c r="B67" s="1">
        <v>13</v>
      </c>
      <c r="C67" s="1">
        <v>13</v>
      </c>
      <c r="D67" s="15" t="s">
        <v>39</v>
      </c>
      <c r="E67" s="1">
        <v>5</v>
      </c>
      <c r="F67" s="15" t="s">
        <v>798</v>
      </c>
      <c r="G67" s="15" t="s">
        <v>710</v>
      </c>
      <c r="H67" s="15" t="s">
        <v>721</v>
      </c>
      <c r="I67" s="1">
        <v>2019</v>
      </c>
      <c r="J67" s="15" t="s">
        <v>711</v>
      </c>
      <c r="K67" s="1"/>
      <c r="L67" s="15" t="s">
        <v>712</v>
      </c>
      <c r="M67" s="15" t="s">
        <v>480</v>
      </c>
      <c r="N67" s="15" t="s">
        <v>520</v>
      </c>
      <c r="O67" s="31">
        <v>2</v>
      </c>
      <c r="P67" s="15">
        <v>34.33</v>
      </c>
      <c r="Q67" s="15">
        <v>108.4</v>
      </c>
      <c r="S67" s="15">
        <v>620</v>
      </c>
      <c r="T67" s="15">
        <v>12.9</v>
      </c>
      <c r="U67" s="15" t="s">
        <v>807</v>
      </c>
      <c r="V67" s="31">
        <v>2</v>
      </c>
      <c r="W67" s="16"/>
      <c r="X67" s="15" t="s">
        <v>716</v>
      </c>
      <c r="Y67" s="1">
        <v>4</v>
      </c>
      <c r="Z67" s="15">
        <v>8.1999999999999993</v>
      </c>
      <c r="AA67" s="15" t="s">
        <v>574</v>
      </c>
      <c r="AB67" s="15">
        <f t="shared" si="68"/>
        <v>8.1999999999999993</v>
      </c>
      <c r="AC67" s="60">
        <v>6</v>
      </c>
      <c r="AD67" s="15">
        <f t="shared" si="71"/>
        <v>14.136799999999999</v>
      </c>
      <c r="AJ67" s="15">
        <v>32</v>
      </c>
      <c r="AK67" s="15">
        <v>52</v>
      </c>
      <c r="AL67" s="15">
        <v>16</v>
      </c>
      <c r="AM67" s="1">
        <v>2</v>
      </c>
      <c r="AQ67" s="1"/>
      <c r="AR67" s="1">
        <v>3</v>
      </c>
      <c r="BP67" s="16"/>
      <c r="BQ67" s="16"/>
      <c r="BR67" s="16"/>
      <c r="BU67" s="16"/>
      <c r="DB67" s="15" t="s">
        <v>717</v>
      </c>
      <c r="DD67" s="15">
        <v>1</v>
      </c>
      <c r="DE67" s="15">
        <f>DD67*22500</f>
        <v>22500</v>
      </c>
      <c r="DF67" s="15" t="s">
        <v>766</v>
      </c>
      <c r="DH67" s="15">
        <v>22.6</v>
      </c>
      <c r="DI67" s="15">
        <v>6.8</v>
      </c>
      <c r="DJ67" s="15">
        <v>377.8</v>
      </c>
      <c r="DK67" s="15">
        <v>7.6</v>
      </c>
      <c r="DL67" s="15">
        <v>0.5</v>
      </c>
      <c r="DM67" s="15">
        <v>65.099999999999994</v>
      </c>
      <c r="DS67" s="15">
        <f>DE67</f>
        <v>22500</v>
      </c>
      <c r="DT67" s="15">
        <f>DS67/0.6/1000</f>
        <v>37.5</v>
      </c>
      <c r="DU67" s="15">
        <f>DS67*0.2</f>
        <v>4500</v>
      </c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>
        <f t="shared" si="69"/>
        <v>8.1</v>
      </c>
      <c r="FL67" s="16">
        <f t="shared" si="70"/>
        <v>8</v>
      </c>
      <c r="FM67" s="15">
        <v>8.1</v>
      </c>
      <c r="FN67" s="15">
        <v>0.1</v>
      </c>
      <c r="FO67" s="15">
        <f>FN67*SQRT(AR67)</f>
        <v>0.17320508075688773</v>
      </c>
      <c r="FP67" s="15">
        <v>8</v>
      </c>
      <c r="FQ67" s="15">
        <v>0.3</v>
      </c>
      <c r="FR67" s="15">
        <f>FQ67*SQRT(AR67)</f>
        <v>0.51961524227066314</v>
      </c>
      <c r="FS67" s="15">
        <f t="shared" ref="FS67:FS130" si="76">FP67/FM67</f>
        <v>0.98765432098765438</v>
      </c>
      <c r="FT67" s="15">
        <f t="shared" ref="FT67:FT130" si="77">FP67-FM67</f>
        <v>-9.9999999999999645E-2</v>
      </c>
      <c r="FU67" s="15">
        <f t="shared" ref="FU67:FU130" si="78">LN(FP67)-LN(FM67)</f>
        <v>-1.242251999855748E-2</v>
      </c>
      <c r="FV67" s="15">
        <f>((FR67*FR67)/(AR67*FP67*FP67)+(FO67*FO67)/(AR67*FM67*FM67))</f>
        <v>1.5586657902758724E-3</v>
      </c>
      <c r="FX67" s="15">
        <f t="shared" si="72"/>
        <v>14.136799999999999</v>
      </c>
      <c r="FY67" s="15">
        <v>1.1000000000000001</v>
      </c>
      <c r="FZ67" s="15">
        <f>FY67*SQRT(AR67)</f>
        <v>1.9052558883257651</v>
      </c>
      <c r="GA67" s="15">
        <f>17.6*1.724</f>
        <v>30.342400000000001</v>
      </c>
      <c r="GB67" s="15">
        <v>2.2999999999999998</v>
      </c>
      <c r="GC67" s="15">
        <f>GB67*SQRT(AR67)</f>
        <v>3.9837168574084174</v>
      </c>
      <c r="GD67" s="15">
        <f t="shared" si="73"/>
        <v>2.1463414634146343</v>
      </c>
      <c r="GE67" s="15">
        <f t="shared" si="74"/>
        <v>16.205600000000004</v>
      </c>
      <c r="GF67" s="15">
        <f t="shared" si="75"/>
        <v>0.76376474777389847</v>
      </c>
      <c r="GG67" s="15">
        <f>((GC67*GC67)/(AR67*GA67*GA67)+(FZ67*FZ67)/(AR67*FX67*FX67))</f>
        <v>1.1800437972490467E-2</v>
      </c>
      <c r="HY67" s="15">
        <f t="shared" ref="HY67:IA69" si="79">DS67</f>
        <v>22500</v>
      </c>
      <c r="HZ67" s="15">
        <f t="shared" si="79"/>
        <v>37.5</v>
      </c>
      <c r="IA67" s="15">
        <f t="shared" si="79"/>
        <v>4500</v>
      </c>
    </row>
    <row r="68" spans="1:235" s="15" customFormat="1" x14ac:dyDescent="0.25">
      <c r="A68" s="31">
        <v>66</v>
      </c>
      <c r="B68" s="1">
        <v>13</v>
      </c>
      <c r="C68" s="1">
        <v>13</v>
      </c>
      <c r="D68" s="15" t="s">
        <v>40</v>
      </c>
      <c r="E68" s="1">
        <v>5</v>
      </c>
      <c r="F68" s="15" t="s">
        <v>798</v>
      </c>
      <c r="G68" s="15" t="s">
        <v>710</v>
      </c>
      <c r="H68" s="15" t="s">
        <v>722</v>
      </c>
      <c r="I68" s="1">
        <v>2019</v>
      </c>
      <c r="J68" s="15" t="s">
        <v>711</v>
      </c>
      <c r="K68" s="1"/>
      <c r="L68" s="15" t="s">
        <v>712</v>
      </c>
      <c r="M68" s="15" t="s">
        <v>480</v>
      </c>
      <c r="N68" s="15" t="s">
        <v>520</v>
      </c>
      <c r="O68" s="31">
        <v>2</v>
      </c>
      <c r="P68" s="15">
        <v>34.33</v>
      </c>
      <c r="Q68" s="15">
        <v>108.4</v>
      </c>
      <c r="S68" s="15">
        <v>620</v>
      </c>
      <c r="T68" s="15">
        <v>12.9</v>
      </c>
      <c r="U68" s="15" t="s">
        <v>807</v>
      </c>
      <c r="V68" s="31">
        <v>2</v>
      </c>
      <c r="W68" s="16"/>
      <c r="X68" s="15" t="s">
        <v>716</v>
      </c>
      <c r="Y68" s="1">
        <v>4</v>
      </c>
      <c r="Z68" s="15">
        <v>8.1999999999999993</v>
      </c>
      <c r="AA68" s="15" t="s">
        <v>574</v>
      </c>
      <c r="AB68" s="15">
        <f t="shared" si="68"/>
        <v>8.1999999999999993</v>
      </c>
      <c r="AC68" s="60">
        <v>6</v>
      </c>
      <c r="AD68" s="15">
        <f t="shared" si="71"/>
        <v>14.136799999999999</v>
      </c>
      <c r="AJ68" s="15">
        <v>32</v>
      </c>
      <c r="AK68" s="15">
        <v>52</v>
      </c>
      <c r="AL68" s="15">
        <v>16</v>
      </c>
      <c r="AM68" s="1">
        <v>2</v>
      </c>
      <c r="AQ68" s="1"/>
      <c r="AR68" s="1">
        <v>3</v>
      </c>
      <c r="BP68" s="16"/>
      <c r="BQ68" s="16"/>
      <c r="BR68" s="16"/>
      <c r="BU68" s="16"/>
      <c r="DB68" s="15" t="s">
        <v>717</v>
      </c>
      <c r="DD68" s="15">
        <v>3</v>
      </c>
      <c r="DE68" s="15">
        <f>DD68*22500</f>
        <v>67500</v>
      </c>
      <c r="DF68" s="15" t="s">
        <v>766</v>
      </c>
      <c r="DH68" s="15">
        <v>22.6</v>
      </c>
      <c r="DI68" s="15">
        <v>6.8</v>
      </c>
      <c r="DJ68" s="15">
        <v>377.8</v>
      </c>
      <c r="DK68" s="15">
        <v>7.6</v>
      </c>
      <c r="DL68" s="15">
        <v>0.5</v>
      </c>
      <c r="DM68" s="15">
        <v>65.099999999999994</v>
      </c>
      <c r="DS68" s="15">
        <f>DE68</f>
        <v>67500</v>
      </c>
      <c r="DT68" s="15">
        <f>DS68/0.6/1000</f>
        <v>112.5</v>
      </c>
      <c r="DU68" s="15">
        <f>DS68*0.2</f>
        <v>13500</v>
      </c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>
        <f t="shared" si="69"/>
        <v>8.1</v>
      </c>
      <c r="FL68" s="16">
        <f t="shared" si="70"/>
        <v>7.9</v>
      </c>
      <c r="FM68" s="15">
        <v>8.1</v>
      </c>
      <c r="FN68" s="15">
        <v>0.1</v>
      </c>
      <c r="FO68" s="15">
        <f>FN68*SQRT(AR68)</f>
        <v>0.17320508075688773</v>
      </c>
      <c r="FP68" s="15">
        <v>7.9</v>
      </c>
      <c r="FQ68" s="15">
        <v>0.2</v>
      </c>
      <c r="FR68" s="15">
        <f>FQ68*SQRT(AR68)</f>
        <v>0.34641016151377546</v>
      </c>
      <c r="FS68" s="15">
        <f t="shared" si="76"/>
        <v>0.97530864197530875</v>
      </c>
      <c r="FT68" s="15">
        <f t="shared" si="77"/>
        <v>-0.19999999999999929</v>
      </c>
      <c r="FU68" s="15">
        <f t="shared" si="78"/>
        <v>-2.5001302205417186E-2</v>
      </c>
      <c r="FV68" s="15">
        <f>((FR68*FR68)/(AR68*FP68*FP68)+(FO68*FO68)/(AR68*FM68*FM68))</f>
        <v>7.9333871929365804E-4</v>
      </c>
      <c r="FX68" s="15">
        <f t="shared" si="72"/>
        <v>14.136799999999999</v>
      </c>
      <c r="FY68" s="15">
        <v>1.1000000000000001</v>
      </c>
      <c r="FZ68" s="15">
        <f>FY68*SQRT(AR68)</f>
        <v>1.9052558883257651</v>
      </c>
      <c r="GA68" s="15">
        <f>14.5*1.724</f>
        <v>24.998000000000001</v>
      </c>
      <c r="GB68" s="15">
        <v>3.8</v>
      </c>
      <c r="GC68" s="15">
        <f>GB68*SQRT(AR68)</f>
        <v>6.5817930687617334</v>
      </c>
      <c r="GD68" s="15">
        <f t="shared" si="73"/>
        <v>1.7682926829268295</v>
      </c>
      <c r="GE68" s="15">
        <f t="shared" si="74"/>
        <v>10.861200000000002</v>
      </c>
      <c r="GF68" s="15">
        <f t="shared" si="75"/>
        <v>0.5700144951563213</v>
      </c>
      <c r="GG68" s="15">
        <f>((GC68*GC68)/(AR68*GA68*GA68)+(FZ68*FZ68)/(AR68*FX68*FX68))</f>
        <v>2.9162264823918937E-2</v>
      </c>
      <c r="HY68" s="15">
        <f t="shared" si="79"/>
        <v>67500</v>
      </c>
      <c r="HZ68" s="15">
        <f t="shared" si="79"/>
        <v>112.5</v>
      </c>
      <c r="IA68" s="15">
        <f t="shared" si="79"/>
        <v>13500</v>
      </c>
    </row>
    <row r="69" spans="1:235" s="15" customFormat="1" x14ac:dyDescent="0.25">
      <c r="A69" s="31">
        <v>67</v>
      </c>
      <c r="B69" s="1">
        <v>13</v>
      </c>
      <c r="C69" s="1">
        <v>13</v>
      </c>
      <c r="D69" s="15" t="s">
        <v>41</v>
      </c>
      <c r="E69" s="1">
        <v>5</v>
      </c>
      <c r="F69" s="15" t="s">
        <v>798</v>
      </c>
      <c r="G69" s="15" t="s">
        <v>710</v>
      </c>
      <c r="H69" s="15" t="s">
        <v>723</v>
      </c>
      <c r="I69" s="1">
        <v>2019</v>
      </c>
      <c r="J69" s="15" t="s">
        <v>711</v>
      </c>
      <c r="K69" s="1"/>
      <c r="L69" s="15" t="s">
        <v>712</v>
      </c>
      <c r="M69" s="15" t="s">
        <v>480</v>
      </c>
      <c r="N69" s="15" t="s">
        <v>520</v>
      </c>
      <c r="O69" s="31">
        <v>2</v>
      </c>
      <c r="P69" s="15">
        <v>34.33</v>
      </c>
      <c r="Q69" s="15">
        <v>108.4</v>
      </c>
      <c r="S69" s="15">
        <v>620</v>
      </c>
      <c r="T69" s="15">
        <v>12.9</v>
      </c>
      <c r="U69" s="15" t="s">
        <v>807</v>
      </c>
      <c r="V69" s="31">
        <v>2</v>
      </c>
      <c r="W69" s="16"/>
      <c r="X69" s="15" t="s">
        <v>716</v>
      </c>
      <c r="Y69" s="1">
        <v>4</v>
      </c>
      <c r="Z69" s="15">
        <v>8.1999999999999993</v>
      </c>
      <c r="AA69" s="15" t="s">
        <v>574</v>
      </c>
      <c r="AB69" s="15">
        <f t="shared" si="68"/>
        <v>8.1999999999999993</v>
      </c>
      <c r="AC69" s="60">
        <v>6</v>
      </c>
      <c r="AD69" s="15">
        <f t="shared" si="71"/>
        <v>14.136799999999999</v>
      </c>
      <c r="AJ69" s="15">
        <v>32</v>
      </c>
      <c r="AK69" s="15">
        <v>52</v>
      </c>
      <c r="AL69" s="15">
        <v>16</v>
      </c>
      <c r="AM69" s="1">
        <v>2</v>
      </c>
      <c r="AQ69" s="1"/>
      <c r="AR69" s="1">
        <v>3</v>
      </c>
      <c r="BP69" s="16"/>
      <c r="BQ69" s="16"/>
      <c r="BR69" s="16"/>
      <c r="BU69" s="16"/>
      <c r="DB69" s="15" t="s">
        <v>717</v>
      </c>
      <c r="DD69" s="15">
        <v>6</v>
      </c>
      <c r="DE69" s="15">
        <f>DD69*22500</f>
        <v>135000</v>
      </c>
      <c r="DF69" s="15" t="s">
        <v>766</v>
      </c>
      <c r="DH69" s="15">
        <v>22.6</v>
      </c>
      <c r="DI69" s="15">
        <v>6.8</v>
      </c>
      <c r="DJ69" s="15">
        <v>377.8</v>
      </c>
      <c r="DK69" s="15">
        <v>7.6</v>
      </c>
      <c r="DL69" s="15">
        <v>0.5</v>
      </c>
      <c r="DM69" s="15">
        <v>65.099999999999994</v>
      </c>
      <c r="DS69" s="15">
        <f>DE69</f>
        <v>135000</v>
      </c>
      <c r="DT69" s="15">
        <f>DS69/0.6/1000</f>
        <v>225</v>
      </c>
      <c r="DU69" s="15">
        <f>DS69*0.2</f>
        <v>27000</v>
      </c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>
        <f t="shared" si="69"/>
        <v>8.1</v>
      </c>
      <c r="FL69" s="16">
        <f t="shared" si="70"/>
        <v>7.9</v>
      </c>
      <c r="FM69" s="15">
        <v>8.1</v>
      </c>
      <c r="FN69" s="15">
        <v>0.1</v>
      </c>
      <c r="FO69" s="15">
        <f>FN69*SQRT(AR69)</f>
        <v>0.17320508075688773</v>
      </c>
      <c r="FP69" s="15">
        <v>7.9</v>
      </c>
      <c r="FQ69" s="15">
        <v>0.3</v>
      </c>
      <c r="FR69" s="15">
        <f>FQ69*SQRT(AR69)</f>
        <v>0.51961524227066314</v>
      </c>
      <c r="FS69" s="15">
        <f t="shared" si="76"/>
        <v>0.97530864197530875</v>
      </c>
      <c r="FT69" s="15">
        <f t="shared" si="77"/>
        <v>-0.19999999999999929</v>
      </c>
      <c r="FU69" s="15">
        <f t="shared" si="78"/>
        <v>-2.5001302205417186E-2</v>
      </c>
      <c r="FV69" s="15">
        <f>((FR69*FR69)/(AR69*FP69*FP69)+(FO69*FO69)/(AR69*FM69*FM69))</f>
        <v>1.5944923805658899E-3</v>
      </c>
      <c r="FX69" s="15">
        <f t="shared" si="72"/>
        <v>14.136799999999999</v>
      </c>
      <c r="FY69" s="15">
        <v>1.1000000000000001</v>
      </c>
      <c r="FZ69" s="15">
        <f>FY69*SQRT(AR69)</f>
        <v>1.9052558883257651</v>
      </c>
      <c r="GA69" s="15">
        <f>13.8*1.724</f>
        <v>23.7912</v>
      </c>
      <c r="GB69" s="15">
        <v>2.1</v>
      </c>
      <c r="GC69" s="15">
        <f>GB69*SQRT(AR69)</f>
        <v>3.6373066958946421</v>
      </c>
      <c r="GD69" s="15">
        <f t="shared" si="73"/>
        <v>1.6829268292682928</v>
      </c>
      <c r="GE69" s="15">
        <f t="shared" si="74"/>
        <v>9.6544000000000008</v>
      </c>
      <c r="GF69" s="15">
        <f t="shared" si="75"/>
        <v>0.52053443789295173</v>
      </c>
      <c r="GG69" s="15">
        <f>((GC69*GC69)/(AR69*GA69*GA69)+(FZ69*FZ69)/(AR69*FX69*FX69))</f>
        <v>1.3845795383242151E-2</v>
      </c>
      <c r="HY69" s="15">
        <f t="shared" si="79"/>
        <v>135000</v>
      </c>
      <c r="HZ69" s="15">
        <f t="shared" si="79"/>
        <v>225</v>
      </c>
      <c r="IA69" s="15">
        <f t="shared" si="79"/>
        <v>27000</v>
      </c>
    </row>
    <row r="70" spans="1:235" s="20" customFormat="1" x14ac:dyDescent="0.25">
      <c r="A70" s="31">
        <v>68</v>
      </c>
      <c r="B70" s="61">
        <v>14</v>
      </c>
      <c r="C70" s="61">
        <v>14</v>
      </c>
      <c r="D70" s="20" t="s">
        <v>748</v>
      </c>
      <c r="E70" s="61">
        <v>4</v>
      </c>
      <c r="F70" s="20" t="s">
        <v>732</v>
      </c>
      <c r="G70" s="20" t="s">
        <v>724</v>
      </c>
      <c r="H70" s="20" t="s">
        <v>725</v>
      </c>
      <c r="I70" s="61">
        <v>2019</v>
      </c>
      <c r="J70" s="20" t="s">
        <v>726</v>
      </c>
      <c r="K70" s="1" t="s">
        <v>728</v>
      </c>
      <c r="L70" s="20" t="s">
        <v>727</v>
      </c>
      <c r="M70" s="20" t="s">
        <v>480</v>
      </c>
      <c r="N70" s="20" t="s">
        <v>520</v>
      </c>
      <c r="O70" s="31">
        <v>2</v>
      </c>
      <c r="P70" s="20">
        <v>26.75</v>
      </c>
      <c r="Q70" s="20">
        <v>111.87</v>
      </c>
      <c r="S70" s="20">
        <v>1431</v>
      </c>
      <c r="T70" s="20">
        <v>18.100000000000001</v>
      </c>
      <c r="U70" s="20" t="s">
        <v>549</v>
      </c>
      <c r="V70" s="33">
        <v>1</v>
      </c>
      <c r="W70" s="21" t="s">
        <v>1163</v>
      </c>
      <c r="X70" s="20" t="s">
        <v>729</v>
      </c>
      <c r="Y70" s="61">
        <v>11</v>
      </c>
      <c r="Z70" s="20">
        <v>5.7</v>
      </c>
      <c r="AA70" s="20" t="s">
        <v>574</v>
      </c>
      <c r="AB70" s="15">
        <f t="shared" si="68"/>
        <v>5.7</v>
      </c>
      <c r="AC70" s="1">
        <v>4</v>
      </c>
      <c r="AD70" s="20">
        <v>13.6</v>
      </c>
      <c r="AM70" s="61"/>
      <c r="AN70" s="20">
        <v>1.19</v>
      </c>
      <c r="AP70" s="20" t="s">
        <v>749</v>
      </c>
      <c r="AQ70" s="61">
        <v>1</v>
      </c>
      <c r="AR70" s="61">
        <v>2</v>
      </c>
      <c r="BG70" s="20" t="s">
        <v>738</v>
      </c>
      <c r="BP70" s="21">
        <v>300</v>
      </c>
      <c r="BQ70" s="21">
        <v>193</v>
      </c>
      <c r="BR70" s="21">
        <v>187</v>
      </c>
      <c r="BS70" s="20">
        <f t="shared" ref="BS70:BS77" si="80">BP70/13.4*1000</f>
        <v>22388.059701492537</v>
      </c>
      <c r="BT70" s="15">
        <f t="shared" ref="BT70:BT77" si="81">BS70</f>
        <v>22388.059701492537</v>
      </c>
      <c r="BU70" s="15" t="s">
        <v>766</v>
      </c>
      <c r="BY70" s="15">
        <f t="shared" ref="BY70:BY77" si="82">BT70</f>
        <v>22388.059701492537</v>
      </c>
      <c r="BZ70" s="15">
        <f t="shared" ref="BZ70:BZ77" si="83">BY70/1.1/1000</f>
        <v>20.352781546811396</v>
      </c>
      <c r="CA70" s="15">
        <f t="shared" ref="CA70:CA77" si="84">BY70*2</f>
        <v>44776.119402985074</v>
      </c>
      <c r="EV70" s="15"/>
      <c r="EZ70" s="21">
        <v>1.19</v>
      </c>
      <c r="FA70" s="21">
        <f>EZ70*0.05</f>
        <v>5.9499999999999997E-2</v>
      </c>
      <c r="FB70" s="15">
        <f>FA70*SQRT(AR70)</f>
        <v>8.4145706961199163E-2</v>
      </c>
      <c r="FC70" s="21">
        <v>1.39</v>
      </c>
      <c r="FD70" s="21">
        <f>FC70*0.05</f>
        <v>6.9499999999999992E-2</v>
      </c>
      <c r="FE70" s="15">
        <f>FD70*SQRT(AR70)</f>
        <v>9.8287842584930105E-2</v>
      </c>
      <c r="FF70" s="21">
        <f>FC70/EZ70</f>
        <v>1.1680672268907564</v>
      </c>
      <c r="FG70" s="21">
        <f>FC70-EZ70</f>
        <v>0.19999999999999996</v>
      </c>
      <c r="FH70" s="15">
        <f>LN(FC70)-LN(EZ70)</f>
        <v>0.15535044001916232</v>
      </c>
      <c r="FI70" s="15">
        <f>((FE70*FE70)/(AR70*FC70*FC70)+(FB70*FB70)/(AR70*EZ70*EZ70))</f>
        <v>5.000000000000001E-3</v>
      </c>
      <c r="FJ70" s="15"/>
      <c r="FK70" s="16">
        <f t="shared" si="69"/>
        <v>5.75</v>
      </c>
      <c r="FL70" s="16">
        <f t="shared" si="70"/>
        <v>6.66</v>
      </c>
      <c r="FM70" s="20">
        <v>5.75</v>
      </c>
      <c r="FN70" s="20">
        <v>0.5</v>
      </c>
      <c r="FO70" s="15">
        <f>FN70*SQRT(AR70)</f>
        <v>0.70710678118654757</v>
      </c>
      <c r="FP70" s="20">
        <v>6.66</v>
      </c>
      <c r="FQ70" s="20">
        <v>0.6</v>
      </c>
      <c r="FR70" s="15">
        <f>FQ70*SQRT(AR70)</f>
        <v>0.84852813742385702</v>
      </c>
      <c r="FS70" s="20">
        <f t="shared" si="76"/>
        <v>1.1582608695652175</v>
      </c>
      <c r="FT70" s="20">
        <f t="shared" si="77"/>
        <v>0.91000000000000014</v>
      </c>
      <c r="FU70" s="15">
        <f t="shared" si="78"/>
        <v>0.14691962974303863</v>
      </c>
      <c r="FV70" s="15">
        <f>((FR70*FR70)/(AR70*FP70*FP70)+(FO70*FO70)/(AR70*FM70*FM70))</f>
        <v>1.5677661005408412E-2</v>
      </c>
      <c r="FX70" s="20">
        <v>7.5</v>
      </c>
      <c r="FY70" s="20">
        <f t="shared" ref="FY70:FY77" si="85">FX70*0.1</f>
        <v>0.75</v>
      </c>
      <c r="FZ70" s="15">
        <f>FY70*SQRT(AR70)</f>
        <v>1.0606601717798214</v>
      </c>
      <c r="GA70" s="20">
        <v>15.1</v>
      </c>
      <c r="GB70" s="20">
        <f t="shared" ref="GB70:GB77" si="86">GA70*0.1</f>
        <v>1.51</v>
      </c>
      <c r="GC70" s="15">
        <f>GB70*SQRT(AR70)</f>
        <v>2.1354624791833738</v>
      </c>
      <c r="GD70" s="20">
        <f t="shared" si="73"/>
        <v>2.0133333333333332</v>
      </c>
      <c r="GE70" s="20">
        <f t="shared" si="74"/>
        <v>7.6</v>
      </c>
      <c r="GF70" s="15">
        <f t="shared" si="75"/>
        <v>0.69979172327861416</v>
      </c>
      <c r="GG70" s="15">
        <f>((GC70*GC70)/(AR70*GA70*GA70)+(FZ70*FZ70)/(AR70*FX70*FX70))</f>
        <v>2.0000000000000004E-2</v>
      </c>
      <c r="GK70" s="15"/>
      <c r="GN70" s="15"/>
      <c r="GQ70" s="15"/>
      <c r="GR70" s="15"/>
      <c r="HE70" s="20">
        <v>340</v>
      </c>
      <c r="HF70" s="20">
        <f t="shared" ref="HF70:HF77" si="87">HE70*0.1</f>
        <v>34</v>
      </c>
      <c r="HG70" s="15">
        <f>HF70*SQRT(AR70)</f>
        <v>48.083261120685236</v>
      </c>
      <c r="HH70" s="20">
        <v>1360</v>
      </c>
      <c r="HI70" s="20">
        <f t="shared" ref="HI70:HI77" si="88">HH70*0.1</f>
        <v>136</v>
      </c>
      <c r="HJ70" s="15">
        <f>HI70*SQRT(AR70)</f>
        <v>192.33304448274095</v>
      </c>
      <c r="HK70" s="15">
        <f t="shared" ref="HK70:HK84" si="89">HH70/HE70</f>
        <v>4</v>
      </c>
      <c r="HL70" s="15">
        <f t="shared" ref="HL70:HL84" si="90">HH70-HE70</f>
        <v>1020</v>
      </c>
      <c r="HM70" s="15">
        <f t="shared" ref="HM70:HM84" si="91">LN(HH70)-LN(HE70)</f>
        <v>1.3862943611198899</v>
      </c>
      <c r="HN70" s="15">
        <f>((HJ70*HJ70)/(AR70*HH70*HH70)+(HG70*HG70)/(AR70*HE70*HE70))</f>
        <v>2.0000000000000004E-2</v>
      </c>
      <c r="HP70" s="15" t="s">
        <v>666</v>
      </c>
      <c r="HV70" s="15">
        <f t="shared" ref="HV70:HV84" si="92">HX70/HW70/100</f>
        <v>322.99142706469343</v>
      </c>
      <c r="HW70" s="15">
        <f t="shared" ref="HW70:HW84" si="93">HM70</f>
        <v>1.3862943611198899</v>
      </c>
      <c r="HX70" s="15">
        <f>CA70</f>
        <v>44776.119402985074</v>
      </c>
      <c r="HY70" s="15">
        <f>BY70</f>
        <v>22388.059701492537</v>
      </c>
      <c r="HZ70" s="15">
        <f>BZ70</f>
        <v>20.352781546811396</v>
      </c>
      <c r="IA70" s="15">
        <f>CA70</f>
        <v>44776.119402985074</v>
      </c>
    </row>
    <row r="71" spans="1:235" s="20" customFormat="1" x14ac:dyDescent="0.25">
      <c r="A71" s="31">
        <v>69</v>
      </c>
      <c r="B71" s="61">
        <v>14</v>
      </c>
      <c r="C71" s="61">
        <v>14</v>
      </c>
      <c r="D71" s="20" t="s">
        <v>750</v>
      </c>
      <c r="E71" s="61">
        <v>4</v>
      </c>
      <c r="F71" s="20" t="s">
        <v>733</v>
      </c>
      <c r="G71" s="20" t="s">
        <v>724</v>
      </c>
      <c r="H71" s="20" t="s">
        <v>725</v>
      </c>
      <c r="I71" s="61">
        <v>2019</v>
      </c>
      <c r="J71" s="20" t="s">
        <v>726</v>
      </c>
      <c r="K71" s="1" t="s">
        <v>728</v>
      </c>
      <c r="L71" s="20" t="s">
        <v>727</v>
      </c>
      <c r="M71" s="20" t="s">
        <v>480</v>
      </c>
      <c r="N71" s="20" t="s">
        <v>520</v>
      </c>
      <c r="O71" s="31">
        <v>2</v>
      </c>
      <c r="P71" s="20">
        <v>26.75</v>
      </c>
      <c r="Q71" s="20">
        <v>111.87</v>
      </c>
      <c r="S71" s="20">
        <v>1431</v>
      </c>
      <c r="T71" s="20">
        <v>18.100000000000001</v>
      </c>
      <c r="U71" s="20" t="s">
        <v>549</v>
      </c>
      <c r="V71" s="33">
        <v>1</v>
      </c>
      <c r="W71" s="21" t="s">
        <v>1163</v>
      </c>
      <c r="X71" s="20" t="s">
        <v>729</v>
      </c>
      <c r="Y71" s="61">
        <v>11</v>
      </c>
      <c r="Z71" s="20">
        <v>5.7</v>
      </c>
      <c r="AA71" s="20" t="s">
        <v>574</v>
      </c>
      <c r="AB71" s="15">
        <f t="shared" si="68"/>
        <v>5.7</v>
      </c>
      <c r="AC71" s="1">
        <v>4</v>
      </c>
      <c r="AD71" s="20">
        <v>13.6</v>
      </c>
      <c r="AM71" s="61"/>
      <c r="AN71" s="20">
        <v>1.19</v>
      </c>
      <c r="AP71" s="20" t="s">
        <v>749</v>
      </c>
      <c r="AQ71" s="61">
        <v>1</v>
      </c>
      <c r="AR71" s="61">
        <v>2</v>
      </c>
      <c r="BG71" s="20" t="s">
        <v>738</v>
      </c>
      <c r="BP71" s="21">
        <v>210</v>
      </c>
      <c r="BQ71" s="21">
        <v>134</v>
      </c>
      <c r="BR71" s="21">
        <v>130</v>
      </c>
      <c r="BS71" s="20">
        <f t="shared" si="80"/>
        <v>15671.641791044776</v>
      </c>
      <c r="BT71" s="15">
        <f t="shared" si="81"/>
        <v>15671.641791044776</v>
      </c>
      <c r="BU71" s="15" t="s">
        <v>766</v>
      </c>
      <c r="BY71" s="15">
        <f t="shared" si="82"/>
        <v>15671.641791044776</v>
      </c>
      <c r="BZ71" s="15">
        <f t="shared" si="83"/>
        <v>14.246947082767978</v>
      </c>
      <c r="CA71" s="15">
        <f t="shared" si="84"/>
        <v>31343.283582089553</v>
      </c>
      <c r="EV71" s="15"/>
      <c r="EZ71" s="21">
        <v>1.19</v>
      </c>
      <c r="FA71" s="21">
        <f>EZ71*0.05</f>
        <v>5.9499999999999997E-2</v>
      </c>
      <c r="FB71" s="15">
        <f>FA71*SQRT(AR71)</f>
        <v>8.4145706961199163E-2</v>
      </c>
      <c r="FC71" s="21">
        <v>1.36</v>
      </c>
      <c r="FD71" s="21">
        <f>FC71*0.05</f>
        <v>6.8000000000000005E-2</v>
      </c>
      <c r="FE71" s="15">
        <f>FD71*SQRT(AR71)</f>
        <v>9.6166522241370483E-2</v>
      </c>
      <c r="FF71" s="21">
        <f>FC71/EZ71</f>
        <v>1.142857142857143</v>
      </c>
      <c r="FG71" s="21">
        <f>FC71-EZ71</f>
        <v>0.17000000000000015</v>
      </c>
      <c r="FH71" s="15">
        <f>LN(FC71)-LN(EZ71)</f>
        <v>0.13353139262452274</v>
      </c>
      <c r="FI71" s="15">
        <f>((FE71*FE71)/(AR71*FC71*FC71)+(FB71*FB71)/(AR71*EZ71*EZ71))</f>
        <v>5.000000000000001E-3</v>
      </c>
      <c r="FJ71" s="15"/>
      <c r="FK71" s="16">
        <f t="shared" si="69"/>
        <v>4.3499999999999996</v>
      </c>
      <c r="FL71" s="16">
        <f t="shared" si="70"/>
        <v>5.88</v>
      </c>
      <c r="FM71" s="20">
        <v>4.3499999999999996</v>
      </c>
      <c r="FN71" s="20">
        <v>0.4</v>
      </c>
      <c r="FO71" s="15">
        <f>FN71*SQRT(AR71)</f>
        <v>0.56568542494923812</v>
      </c>
      <c r="FP71" s="20">
        <v>5.88</v>
      </c>
      <c r="FQ71" s="20">
        <v>0.5</v>
      </c>
      <c r="FR71" s="15">
        <f>FQ71*SQRT(AR71)</f>
        <v>0.70710678118654757</v>
      </c>
      <c r="FS71" s="20">
        <f t="shared" si="76"/>
        <v>1.3517241379310345</v>
      </c>
      <c r="FT71" s="20">
        <f t="shared" si="77"/>
        <v>1.5300000000000002</v>
      </c>
      <c r="FU71" s="15">
        <f t="shared" si="78"/>
        <v>0.30138091680994283</v>
      </c>
      <c r="FV71" s="15">
        <f>((FR71*FR71)/(AR71*FP71*FP71)+(FO71*FO71)/(AR71*FM71*FM71))</f>
        <v>1.5686325813621178E-2</v>
      </c>
      <c r="FX71" s="20">
        <v>12</v>
      </c>
      <c r="FY71" s="20">
        <f t="shared" si="85"/>
        <v>1.2000000000000002</v>
      </c>
      <c r="FZ71" s="15">
        <f>FY71*SQRT(AR71)</f>
        <v>1.6970562748477145</v>
      </c>
      <c r="GA71" s="20">
        <v>14.7</v>
      </c>
      <c r="GB71" s="20">
        <f t="shared" si="86"/>
        <v>1.47</v>
      </c>
      <c r="GC71" s="15">
        <f>GB71*SQRT(AR71)</f>
        <v>2.0788939366884498</v>
      </c>
      <c r="GD71" s="20">
        <f t="shared" si="73"/>
        <v>1.2249999999999999</v>
      </c>
      <c r="GE71" s="20">
        <f t="shared" si="74"/>
        <v>2.6999999999999993</v>
      </c>
      <c r="GF71" s="15">
        <f t="shared" si="75"/>
        <v>0.20294084399669021</v>
      </c>
      <c r="GG71" s="15">
        <f>((GC71*GC71)/(AR71*GA71*GA71)+(FZ71*FZ71)/(AR71*FX71*FX71))</f>
        <v>2.0000000000000007E-2</v>
      </c>
      <c r="GK71" s="15"/>
      <c r="GN71" s="15"/>
      <c r="GQ71" s="15"/>
      <c r="GR71" s="15"/>
      <c r="HE71" s="20">
        <v>970</v>
      </c>
      <c r="HF71" s="20">
        <f t="shared" si="87"/>
        <v>97</v>
      </c>
      <c r="HG71" s="15">
        <f>HF71*SQRT(AR71)</f>
        <v>137.17871555019022</v>
      </c>
      <c r="HH71" s="20">
        <v>1580</v>
      </c>
      <c r="HI71" s="20">
        <f t="shared" si="88"/>
        <v>158</v>
      </c>
      <c r="HJ71" s="15">
        <f>HI71*SQRT(AR71)</f>
        <v>223.44574285494903</v>
      </c>
      <c r="HK71" s="15">
        <f t="shared" si="89"/>
        <v>1.6288659793814433</v>
      </c>
      <c r="HL71" s="15">
        <f t="shared" si="90"/>
        <v>610</v>
      </c>
      <c r="HM71" s="15">
        <f t="shared" si="91"/>
        <v>0.48788405452358408</v>
      </c>
      <c r="HN71" s="15">
        <f>((HJ71*HJ71)/(AR71*HH71*HH71)+(HG71*HG71)/(AR71*HE71*HE71))</f>
        <v>2.0000000000000004E-2</v>
      </c>
      <c r="HP71" s="15" t="s">
        <v>666</v>
      </c>
      <c r="HV71" s="15">
        <f t="shared" si="92"/>
        <v>642.43303898702095</v>
      </c>
      <c r="HW71" s="15">
        <f t="shared" si="93"/>
        <v>0.48788405452358408</v>
      </c>
      <c r="HX71" s="15">
        <f>CA71</f>
        <v>31343.283582089553</v>
      </c>
      <c r="HY71" s="15">
        <f>BY71</f>
        <v>15671.641791044776</v>
      </c>
      <c r="HZ71" s="15">
        <f>BZ71</f>
        <v>14.246947082767978</v>
      </c>
      <c r="IA71" s="15">
        <f>CA71</f>
        <v>31343.283582089553</v>
      </c>
    </row>
    <row r="72" spans="1:235" s="20" customFormat="1" x14ac:dyDescent="0.25">
      <c r="A72" s="31">
        <v>70</v>
      </c>
      <c r="B72" s="61">
        <v>14</v>
      </c>
      <c r="C72" s="61">
        <v>14</v>
      </c>
      <c r="D72" s="20" t="s">
        <v>751</v>
      </c>
      <c r="E72" s="61">
        <v>4</v>
      </c>
      <c r="F72" s="20" t="s">
        <v>732</v>
      </c>
      <c r="G72" s="20" t="s">
        <v>724</v>
      </c>
      <c r="H72" s="20" t="s">
        <v>725</v>
      </c>
      <c r="I72" s="61">
        <v>2019</v>
      </c>
      <c r="J72" s="20" t="s">
        <v>726</v>
      </c>
      <c r="K72" s="1" t="s">
        <v>728</v>
      </c>
      <c r="L72" s="20" t="s">
        <v>727</v>
      </c>
      <c r="M72" s="20" t="s">
        <v>480</v>
      </c>
      <c r="N72" s="20" t="s">
        <v>520</v>
      </c>
      <c r="O72" s="31">
        <v>2</v>
      </c>
      <c r="P72" s="20">
        <v>26.75</v>
      </c>
      <c r="Q72" s="20">
        <v>111.87</v>
      </c>
      <c r="S72" s="20">
        <v>1431</v>
      </c>
      <c r="T72" s="20">
        <v>18.100000000000001</v>
      </c>
      <c r="U72" s="20" t="s">
        <v>549</v>
      </c>
      <c r="V72" s="33">
        <v>1</v>
      </c>
      <c r="W72" s="21" t="s">
        <v>1163</v>
      </c>
      <c r="X72" s="20" t="s">
        <v>731</v>
      </c>
      <c r="Y72" s="1">
        <v>12</v>
      </c>
      <c r="Z72" s="20">
        <v>5.7</v>
      </c>
      <c r="AA72" s="20" t="s">
        <v>574</v>
      </c>
      <c r="AB72" s="15">
        <f t="shared" si="68"/>
        <v>5.7</v>
      </c>
      <c r="AC72" s="1">
        <v>4</v>
      </c>
      <c r="AD72" s="20">
        <v>13.6</v>
      </c>
      <c r="AM72" s="61"/>
      <c r="AN72" s="20">
        <v>1.19</v>
      </c>
      <c r="AP72" s="20" t="s">
        <v>749</v>
      </c>
      <c r="AQ72" s="61">
        <v>1</v>
      </c>
      <c r="AR72" s="61">
        <v>2</v>
      </c>
      <c r="BG72" s="20" t="s">
        <v>738</v>
      </c>
      <c r="BP72" s="21">
        <v>300</v>
      </c>
      <c r="BQ72" s="21">
        <v>193</v>
      </c>
      <c r="BR72" s="21">
        <v>187</v>
      </c>
      <c r="BS72" s="20">
        <f t="shared" si="80"/>
        <v>22388.059701492537</v>
      </c>
      <c r="BT72" s="15">
        <f t="shared" si="81"/>
        <v>22388.059701492537</v>
      </c>
      <c r="BU72" s="15" t="s">
        <v>766</v>
      </c>
      <c r="BY72" s="15">
        <f t="shared" si="82"/>
        <v>22388.059701492537</v>
      </c>
      <c r="BZ72" s="15">
        <f t="shared" si="83"/>
        <v>20.352781546811396</v>
      </c>
      <c r="CA72" s="15">
        <f t="shared" si="84"/>
        <v>44776.119402985074</v>
      </c>
      <c r="EV72" s="15"/>
      <c r="EZ72" s="21">
        <v>1.19</v>
      </c>
      <c r="FA72" s="21">
        <f>EZ72*0.05</f>
        <v>5.9499999999999997E-2</v>
      </c>
      <c r="FB72" s="15">
        <f>FA72*SQRT(AR72)</f>
        <v>8.4145706961199163E-2</v>
      </c>
      <c r="FC72" s="21">
        <v>1.39</v>
      </c>
      <c r="FD72" s="21">
        <f>FC72*0.05</f>
        <v>6.9499999999999992E-2</v>
      </c>
      <c r="FE72" s="15">
        <f>FD72*SQRT(AR72)</f>
        <v>9.8287842584930105E-2</v>
      </c>
      <c r="FF72" s="21">
        <f>FC72/EZ72</f>
        <v>1.1680672268907564</v>
      </c>
      <c r="FG72" s="21">
        <f>FC72-EZ72</f>
        <v>0.19999999999999996</v>
      </c>
      <c r="FH72" s="15">
        <f>LN(FC72)-LN(EZ72)</f>
        <v>0.15535044001916232</v>
      </c>
      <c r="FI72" s="15">
        <f>((FE72*FE72)/(AR72*FC72*FC72)+(FB72*FB72)/(AR72*EZ72*EZ72))</f>
        <v>5.000000000000001E-3</v>
      </c>
      <c r="FJ72" s="15"/>
      <c r="FK72" s="16">
        <f t="shared" si="69"/>
        <v>5.75</v>
      </c>
      <c r="FL72" s="16">
        <f t="shared" si="70"/>
        <v>6.66</v>
      </c>
      <c r="FM72" s="20">
        <v>5.75</v>
      </c>
      <c r="FN72" s="20">
        <v>0.5</v>
      </c>
      <c r="FO72" s="15">
        <f>FN72*SQRT(AR72)</f>
        <v>0.70710678118654757</v>
      </c>
      <c r="FP72" s="20">
        <v>6.66</v>
      </c>
      <c r="FQ72" s="20">
        <v>0.6</v>
      </c>
      <c r="FR72" s="15">
        <f>FQ72*SQRT(AR72)</f>
        <v>0.84852813742385702</v>
      </c>
      <c r="FS72" s="20">
        <f t="shared" si="76"/>
        <v>1.1582608695652175</v>
      </c>
      <c r="FT72" s="20">
        <f t="shared" si="77"/>
        <v>0.91000000000000014</v>
      </c>
      <c r="FU72" s="15">
        <f t="shared" si="78"/>
        <v>0.14691962974303863</v>
      </c>
      <c r="FV72" s="15">
        <f>((FR72*FR72)/(AR72*FP72*FP72)+(FO72*FO72)/(AR72*FM72*FM72))</f>
        <v>1.5677661005408412E-2</v>
      </c>
      <c r="FX72" s="20">
        <v>7.5</v>
      </c>
      <c r="FY72" s="20">
        <f t="shared" si="85"/>
        <v>0.75</v>
      </c>
      <c r="FZ72" s="15">
        <f>FY72*SQRT(AR72)</f>
        <v>1.0606601717798214</v>
      </c>
      <c r="GA72" s="20">
        <v>15.1</v>
      </c>
      <c r="GB72" s="20">
        <f t="shared" si="86"/>
        <v>1.51</v>
      </c>
      <c r="GC72" s="15">
        <f>GB72*SQRT(AR72)</f>
        <v>2.1354624791833738</v>
      </c>
      <c r="GD72" s="20">
        <f t="shared" si="73"/>
        <v>2.0133333333333332</v>
      </c>
      <c r="GE72" s="20">
        <f t="shared" si="74"/>
        <v>7.6</v>
      </c>
      <c r="GF72" s="15">
        <f t="shared" si="75"/>
        <v>0.69979172327861416</v>
      </c>
      <c r="GG72" s="15">
        <f>((GC72*GC72)/(AR72*GA72*GA72)+(FZ72*FZ72)/(AR72*FX72*FX72))</f>
        <v>2.0000000000000004E-2</v>
      </c>
      <c r="GK72" s="15"/>
      <c r="GN72" s="15"/>
      <c r="GQ72" s="15"/>
      <c r="GR72" s="15"/>
      <c r="HE72" s="20">
        <v>250</v>
      </c>
      <c r="HF72" s="20">
        <f t="shared" si="87"/>
        <v>25</v>
      </c>
      <c r="HG72" s="15">
        <f>HF72*SQRT(AR72)</f>
        <v>35.355339059327378</v>
      </c>
      <c r="HH72" s="20">
        <v>3890</v>
      </c>
      <c r="HI72" s="20">
        <f t="shared" si="88"/>
        <v>389</v>
      </c>
      <c r="HJ72" s="15">
        <f>HI72*SQRT(AR72)</f>
        <v>550.12907576313398</v>
      </c>
      <c r="HK72" s="15">
        <f t="shared" si="89"/>
        <v>15.56</v>
      </c>
      <c r="HL72" s="15">
        <f t="shared" si="90"/>
        <v>3640</v>
      </c>
      <c r="HM72" s="15">
        <f t="shared" si="91"/>
        <v>2.7447035187502458</v>
      </c>
      <c r="HN72" s="15">
        <f>((HJ72*HJ72)/(AR72*HH72*HH72)+(HG72*HG72)/(AR72*HE72*HE72))</f>
        <v>0.02</v>
      </c>
      <c r="HP72" s="15" t="s">
        <v>666</v>
      </c>
      <c r="HV72" s="15">
        <f t="shared" si="92"/>
        <v>163.13645206886724</v>
      </c>
      <c r="HW72" s="15">
        <f t="shared" si="93"/>
        <v>2.7447035187502458</v>
      </c>
      <c r="HX72" s="15">
        <f>CA72</f>
        <v>44776.119402985074</v>
      </c>
      <c r="HY72" s="15">
        <f>BY72</f>
        <v>22388.059701492537</v>
      </c>
      <c r="HZ72" s="15">
        <f>BZ72</f>
        <v>20.352781546811396</v>
      </c>
      <c r="IA72" s="15">
        <f>CA72</f>
        <v>44776.119402985074</v>
      </c>
    </row>
    <row r="73" spans="1:235" s="20" customFormat="1" x14ac:dyDescent="0.25">
      <c r="A73" s="31">
        <v>71</v>
      </c>
      <c r="B73" s="61">
        <v>14</v>
      </c>
      <c r="C73" s="61">
        <v>14</v>
      </c>
      <c r="D73" s="20" t="s">
        <v>752</v>
      </c>
      <c r="E73" s="61">
        <v>4</v>
      </c>
      <c r="F73" s="20" t="s">
        <v>733</v>
      </c>
      <c r="G73" s="20" t="s">
        <v>724</v>
      </c>
      <c r="H73" s="20" t="s">
        <v>725</v>
      </c>
      <c r="I73" s="61">
        <v>2019</v>
      </c>
      <c r="J73" s="20" t="s">
        <v>726</v>
      </c>
      <c r="K73" s="1" t="s">
        <v>728</v>
      </c>
      <c r="L73" s="20" t="s">
        <v>727</v>
      </c>
      <c r="M73" s="20" t="s">
        <v>480</v>
      </c>
      <c r="N73" s="20" t="s">
        <v>520</v>
      </c>
      <c r="O73" s="31">
        <v>2</v>
      </c>
      <c r="P73" s="20">
        <v>26.75</v>
      </c>
      <c r="Q73" s="20">
        <v>111.87</v>
      </c>
      <c r="S73" s="20">
        <v>1431</v>
      </c>
      <c r="T73" s="20">
        <v>18.100000000000001</v>
      </c>
      <c r="U73" s="20" t="s">
        <v>549</v>
      </c>
      <c r="V73" s="33">
        <v>1</v>
      </c>
      <c r="W73" s="21" t="s">
        <v>1163</v>
      </c>
      <c r="X73" s="20" t="s">
        <v>731</v>
      </c>
      <c r="Y73" s="1">
        <v>12</v>
      </c>
      <c r="Z73" s="20">
        <v>5.7</v>
      </c>
      <c r="AA73" s="20" t="s">
        <v>574</v>
      </c>
      <c r="AB73" s="15">
        <f t="shared" si="68"/>
        <v>5.7</v>
      </c>
      <c r="AC73" s="1">
        <v>4</v>
      </c>
      <c r="AD73" s="20">
        <v>13.6</v>
      </c>
      <c r="AM73" s="61"/>
      <c r="AN73" s="20">
        <v>1.19</v>
      </c>
      <c r="AP73" s="20" t="s">
        <v>749</v>
      </c>
      <c r="AQ73" s="61">
        <v>1</v>
      </c>
      <c r="AR73" s="61">
        <v>2</v>
      </c>
      <c r="BG73" s="20" t="s">
        <v>738</v>
      </c>
      <c r="BP73" s="21">
        <v>210</v>
      </c>
      <c r="BQ73" s="21">
        <v>134</v>
      </c>
      <c r="BR73" s="21">
        <v>130</v>
      </c>
      <c r="BS73" s="20">
        <f t="shared" si="80"/>
        <v>15671.641791044776</v>
      </c>
      <c r="BT73" s="15">
        <f t="shared" si="81"/>
        <v>15671.641791044776</v>
      </c>
      <c r="BU73" s="15" t="s">
        <v>766</v>
      </c>
      <c r="BY73" s="15">
        <f t="shared" si="82"/>
        <v>15671.641791044776</v>
      </c>
      <c r="BZ73" s="15">
        <f t="shared" si="83"/>
        <v>14.246947082767978</v>
      </c>
      <c r="CA73" s="15">
        <f t="shared" si="84"/>
        <v>31343.283582089553</v>
      </c>
      <c r="EV73" s="15"/>
      <c r="EZ73" s="21">
        <v>1.19</v>
      </c>
      <c r="FA73" s="21">
        <f>EZ73*0.05</f>
        <v>5.9499999999999997E-2</v>
      </c>
      <c r="FB73" s="15">
        <f>FA73*SQRT(AR73)</f>
        <v>8.4145706961199163E-2</v>
      </c>
      <c r="FC73" s="21">
        <v>1.36</v>
      </c>
      <c r="FD73" s="21">
        <f>FC73*0.05</f>
        <v>6.8000000000000005E-2</v>
      </c>
      <c r="FE73" s="15">
        <f>FD73*SQRT(AR73)</f>
        <v>9.6166522241370483E-2</v>
      </c>
      <c r="FF73" s="21">
        <f>FC73/EZ73</f>
        <v>1.142857142857143</v>
      </c>
      <c r="FG73" s="21">
        <f>FC73-EZ73</f>
        <v>0.17000000000000015</v>
      </c>
      <c r="FH73" s="15">
        <f>LN(FC73)-LN(EZ73)</f>
        <v>0.13353139262452274</v>
      </c>
      <c r="FI73" s="15">
        <f>((FE73*FE73)/(AR73*FC73*FC73)+(FB73*FB73)/(AR73*EZ73*EZ73))</f>
        <v>5.000000000000001E-3</v>
      </c>
      <c r="FJ73" s="15"/>
      <c r="FK73" s="16">
        <f t="shared" si="69"/>
        <v>4.3499999999999996</v>
      </c>
      <c r="FL73" s="16">
        <f t="shared" si="70"/>
        <v>5.88</v>
      </c>
      <c r="FM73" s="20">
        <v>4.3499999999999996</v>
      </c>
      <c r="FN73" s="20">
        <v>0.4</v>
      </c>
      <c r="FO73" s="15">
        <f>FN73*SQRT(AR73)</f>
        <v>0.56568542494923812</v>
      </c>
      <c r="FP73" s="20">
        <v>5.88</v>
      </c>
      <c r="FQ73" s="20">
        <v>0.5</v>
      </c>
      <c r="FR73" s="15">
        <f>FQ73*SQRT(AR73)</f>
        <v>0.70710678118654757</v>
      </c>
      <c r="FS73" s="20">
        <f t="shared" si="76"/>
        <v>1.3517241379310345</v>
      </c>
      <c r="FT73" s="20">
        <f t="shared" si="77"/>
        <v>1.5300000000000002</v>
      </c>
      <c r="FU73" s="15">
        <f t="shared" si="78"/>
        <v>0.30138091680994283</v>
      </c>
      <c r="FV73" s="15">
        <f>((FR73*FR73)/(AR73*FP73*FP73)+(FO73*FO73)/(AR73*FM73*FM73))</f>
        <v>1.5686325813621178E-2</v>
      </c>
      <c r="FX73" s="20">
        <v>12</v>
      </c>
      <c r="FY73" s="20">
        <f t="shared" si="85"/>
        <v>1.2000000000000002</v>
      </c>
      <c r="FZ73" s="15">
        <f>FY73*SQRT(AR73)</f>
        <v>1.6970562748477145</v>
      </c>
      <c r="GA73" s="20">
        <v>14.7</v>
      </c>
      <c r="GB73" s="20">
        <f t="shared" si="86"/>
        <v>1.47</v>
      </c>
      <c r="GC73" s="15">
        <f>GB73*SQRT(AR73)</f>
        <v>2.0788939366884498</v>
      </c>
      <c r="GD73" s="20">
        <f t="shared" si="73"/>
        <v>1.2249999999999999</v>
      </c>
      <c r="GE73" s="20">
        <f t="shared" si="74"/>
        <v>2.6999999999999993</v>
      </c>
      <c r="GF73" s="15">
        <f t="shared" si="75"/>
        <v>0.20294084399669021</v>
      </c>
      <c r="GG73" s="15">
        <f>((GC73*GC73)/(AR73*GA73*GA73)+(FZ73*FZ73)/(AR73*FX73*FX73))</f>
        <v>2.0000000000000007E-2</v>
      </c>
      <c r="GK73" s="15"/>
      <c r="GN73" s="15"/>
      <c r="GQ73" s="15"/>
      <c r="GR73" s="15"/>
      <c r="HE73" s="20">
        <v>2650</v>
      </c>
      <c r="HF73" s="20">
        <f t="shared" si="87"/>
        <v>265</v>
      </c>
      <c r="HG73" s="15">
        <f>HF73*SQRT(AR73)</f>
        <v>374.7665940288702</v>
      </c>
      <c r="HH73" s="20">
        <v>5190</v>
      </c>
      <c r="HI73" s="20">
        <f t="shared" si="88"/>
        <v>519</v>
      </c>
      <c r="HJ73" s="15">
        <f>HI73*SQRT(AR73)</f>
        <v>733.97683887163635</v>
      </c>
      <c r="HK73" s="15">
        <f t="shared" si="89"/>
        <v>1.9584905660377359</v>
      </c>
      <c r="HL73" s="15">
        <f t="shared" si="90"/>
        <v>2540</v>
      </c>
      <c r="HM73" s="15">
        <f t="shared" si="91"/>
        <v>0.67217405717966638</v>
      </c>
      <c r="HN73" s="15">
        <f>((HJ73*HJ73)/(AR73*HH73*HH73)+(HG73*HG73)/(AR73*HE73*HE73))</f>
        <v>0.02</v>
      </c>
      <c r="HP73" s="15" t="s">
        <v>604</v>
      </c>
      <c r="HV73" s="15">
        <f t="shared" si="92"/>
        <v>466.29713312056259</v>
      </c>
      <c r="HW73" s="15">
        <f t="shared" si="93"/>
        <v>0.67217405717966638</v>
      </c>
      <c r="HX73" s="15">
        <f>CA73</f>
        <v>31343.283582089553</v>
      </c>
      <c r="HY73" s="15">
        <f>BY73</f>
        <v>15671.641791044776</v>
      </c>
      <c r="HZ73" s="15">
        <f>BZ73</f>
        <v>14.246947082767978</v>
      </c>
      <c r="IA73" s="15">
        <f>CA73</f>
        <v>31343.283582089553</v>
      </c>
    </row>
    <row r="74" spans="1:235" s="20" customFormat="1" x14ac:dyDescent="0.25">
      <c r="A74" s="31">
        <v>72</v>
      </c>
      <c r="B74" s="61">
        <v>15</v>
      </c>
      <c r="C74" s="61">
        <v>15</v>
      </c>
      <c r="D74" s="20" t="s">
        <v>753</v>
      </c>
      <c r="E74" s="61">
        <v>4</v>
      </c>
      <c r="F74" s="20" t="s">
        <v>732</v>
      </c>
      <c r="G74" s="20" t="s">
        <v>739</v>
      </c>
      <c r="H74" s="20" t="s">
        <v>740</v>
      </c>
      <c r="I74" s="61">
        <v>2016</v>
      </c>
      <c r="J74" s="20" t="s">
        <v>741</v>
      </c>
      <c r="K74" s="1" t="s">
        <v>656</v>
      </c>
      <c r="L74" s="20" t="s">
        <v>742</v>
      </c>
      <c r="M74" s="20" t="s">
        <v>480</v>
      </c>
      <c r="N74" s="20" t="s">
        <v>520</v>
      </c>
      <c r="O74" s="31">
        <v>2</v>
      </c>
      <c r="P74" s="20">
        <v>31.5</v>
      </c>
      <c r="Q74" s="20">
        <v>120.01</v>
      </c>
      <c r="S74" s="20">
        <v>1086</v>
      </c>
      <c r="T74" s="22" t="s">
        <v>975</v>
      </c>
      <c r="U74" s="20" t="s">
        <v>549</v>
      </c>
      <c r="V74" s="33">
        <v>1</v>
      </c>
      <c r="W74" s="21" t="s">
        <v>1164</v>
      </c>
      <c r="X74" s="20" t="s">
        <v>744</v>
      </c>
      <c r="Y74" s="61">
        <v>3</v>
      </c>
      <c r="Z74" s="20">
        <v>6.2</v>
      </c>
      <c r="AA74" s="20" t="s">
        <v>574</v>
      </c>
      <c r="AB74" s="15">
        <f t="shared" si="68"/>
        <v>6.2</v>
      </c>
      <c r="AC74" s="1">
        <v>5</v>
      </c>
      <c r="AD74" s="20">
        <f>11.8*1.742</f>
        <v>20.555600000000002</v>
      </c>
      <c r="AM74" s="61"/>
      <c r="AN74" s="20">
        <v>1.1200000000000001</v>
      </c>
      <c r="AP74" s="20" t="s">
        <v>743</v>
      </c>
      <c r="AQ74" s="61">
        <v>3</v>
      </c>
      <c r="AR74" s="61">
        <v>3</v>
      </c>
      <c r="BG74" s="20" t="s">
        <v>746</v>
      </c>
      <c r="BP74" s="21">
        <v>563</v>
      </c>
      <c r="BQ74" s="21">
        <v>1058</v>
      </c>
      <c r="BR74" s="21">
        <v>622</v>
      </c>
      <c r="BS74" s="20">
        <f t="shared" si="80"/>
        <v>42014.925373134327</v>
      </c>
      <c r="BT74" s="15">
        <f t="shared" si="81"/>
        <v>42014.925373134327</v>
      </c>
      <c r="BU74" s="15" t="s">
        <v>766</v>
      </c>
      <c r="BY74" s="15">
        <f t="shared" si="82"/>
        <v>42014.925373134327</v>
      </c>
      <c r="BZ74" s="15">
        <f t="shared" si="83"/>
        <v>38.195386702849383</v>
      </c>
      <c r="CA74" s="15">
        <f t="shared" si="84"/>
        <v>84029.850746268654</v>
      </c>
      <c r="EV74" s="15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16">
        <f t="shared" si="69"/>
        <v>5.0999999999999996</v>
      </c>
      <c r="FL74" s="16">
        <f t="shared" si="70"/>
        <v>5.9</v>
      </c>
      <c r="FM74" s="20">
        <v>5.0999999999999996</v>
      </c>
      <c r="FN74" s="20">
        <v>0.5</v>
      </c>
      <c r="FO74" s="15">
        <f>FN74*SQRT(AR74)</f>
        <v>0.8660254037844386</v>
      </c>
      <c r="FP74" s="20">
        <v>5.9</v>
      </c>
      <c r="FQ74" s="20">
        <v>0.5</v>
      </c>
      <c r="FR74" s="15">
        <f>FQ74*SQRT(AR74)</f>
        <v>0.8660254037844386</v>
      </c>
      <c r="FS74" s="20">
        <f t="shared" si="76"/>
        <v>1.1568627450980393</v>
      </c>
      <c r="FT74" s="20">
        <f t="shared" si="77"/>
        <v>0.80000000000000071</v>
      </c>
      <c r="FU74" s="15">
        <f t="shared" si="78"/>
        <v>0.14571181118139376</v>
      </c>
      <c r="FV74" s="15">
        <f>((FR74*FR74)/(AR74*FP74*FP74)+(FO74*FO74)/(AR74*FM74*FM74))</f>
        <v>1.6793532109995478E-2</v>
      </c>
      <c r="FX74" s="20">
        <f>12.7*1.742</f>
        <v>22.1234</v>
      </c>
      <c r="FY74" s="20">
        <f t="shared" si="85"/>
        <v>2.2123400000000002</v>
      </c>
      <c r="FZ74" s="15">
        <f>FY74*SQRT(AR74)</f>
        <v>3.8318852836169301</v>
      </c>
      <c r="GA74" s="20">
        <f>15.9*1.742</f>
        <v>27.697800000000001</v>
      </c>
      <c r="GB74" s="20">
        <f t="shared" si="86"/>
        <v>2.7697800000000004</v>
      </c>
      <c r="GC74" s="15">
        <f>GB74*SQRT(AR74)</f>
        <v>4.7973996857881254</v>
      </c>
      <c r="GD74" s="20">
        <f t="shared" si="73"/>
        <v>1.2519685039370079</v>
      </c>
      <c r="GE74" s="20">
        <f t="shared" si="74"/>
        <v>5.5744000000000007</v>
      </c>
      <c r="GF74" s="15">
        <f t="shared" si="75"/>
        <v>0.22471711576164033</v>
      </c>
      <c r="GG74" s="15">
        <f>((GC74*GC74)/(AR74*GA74*GA74)+(FZ74*FZ74)/(AR74*FX74*FX74))</f>
        <v>2.0000000000000004E-2</v>
      </c>
      <c r="GK74" s="15"/>
      <c r="GN74" s="15"/>
      <c r="GQ74" s="15"/>
      <c r="GR74" s="15"/>
      <c r="HE74" s="20">
        <v>14800</v>
      </c>
      <c r="HF74" s="20">
        <f t="shared" si="87"/>
        <v>1480</v>
      </c>
      <c r="HG74" s="15">
        <f>HF74*SQRT(AR74)</f>
        <v>2563.4351952019383</v>
      </c>
      <c r="HH74" s="20">
        <v>68300</v>
      </c>
      <c r="HI74" s="20">
        <f t="shared" si="88"/>
        <v>6830</v>
      </c>
      <c r="HJ74" s="15">
        <f>HI74*SQRT(AR74)</f>
        <v>11829.907015695431</v>
      </c>
      <c r="HK74" s="15">
        <f t="shared" si="89"/>
        <v>4.6148648648648649</v>
      </c>
      <c r="HL74" s="15">
        <f t="shared" si="90"/>
        <v>53500</v>
      </c>
      <c r="HM74" s="15">
        <f t="shared" si="91"/>
        <v>1.5292825858066745</v>
      </c>
      <c r="HN74" s="15">
        <f>((HJ74*HJ74)/(AR74*HH74*HH74)+(HG74*HG74)/(AR74*HE74*HE74))</f>
        <v>1.9999999999999997E-2</v>
      </c>
      <c r="HP74" s="15" t="s">
        <v>666</v>
      </c>
      <c r="HV74" s="15">
        <f t="shared" si="92"/>
        <v>549.4723573403154</v>
      </c>
      <c r="HW74" s="15">
        <f t="shared" si="93"/>
        <v>1.5292825858066745</v>
      </c>
      <c r="HX74" s="15">
        <f>CA74</f>
        <v>84029.850746268654</v>
      </c>
      <c r="HY74" s="15">
        <f>BY74</f>
        <v>42014.925373134327</v>
      </c>
      <c r="HZ74" s="15">
        <f>BZ74</f>
        <v>38.195386702849383</v>
      </c>
      <c r="IA74" s="15">
        <f>CA74</f>
        <v>84029.850746268654</v>
      </c>
    </row>
    <row r="75" spans="1:235" s="20" customFormat="1" x14ac:dyDescent="0.25">
      <c r="A75" s="31">
        <v>73</v>
      </c>
      <c r="B75" s="61">
        <v>15</v>
      </c>
      <c r="C75" s="61">
        <v>15</v>
      </c>
      <c r="D75" s="20" t="s">
        <v>754</v>
      </c>
      <c r="E75" s="61">
        <v>4</v>
      </c>
      <c r="F75" s="20" t="s">
        <v>733</v>
      </c>
      <c r="G75" s="20" t="s">
        <v>739</v>
      </c>
      <c r="H75" s="20" t="s">
        <v>740</v>
      </c>
      <c r="I75" s="61">
        <v>2016</v>
      </c>
      <c r="J75" s="20" t="s">
        <v>741</v>
      </c>
      <c r="K75" s="1" t="s">
        <v>656</v>
      </c>
      <c r="L75" s="20" t="s">
        <v>742</v>
      </c>
      <c r="M75" s="20" t="s">
        <v>480</v>
      </c>
      <c r="N75" s="20" t="s">
        <v>520</v>
      </c>
      <c r="O75" s="31">
        <v>2</v>
      </c>
      <c r="P75" s="20">
        <v>31.5</v>
      </c>
      <c r="Q75" s="20">
        <v>120.01</v>
      </c>
      <c r="S75" s="20">
        <v>1086</v>
      </c>
      <c r="T75" s="22" t="s">
        <v>975</v>
      </c>
      <c r="U75" s="20" t="s">
        <v>549</v>
      </c>
      <c r="V75" s="33">
        <v>1</v>
      </c>
      <c r="W75" s="21" t="s">
        <v>1164</v>
      </c>
      <c r="X75" s="20" t="s">
        <v>744</v>
      </c>
      <c r="Y75" s="61">
        <v>3</v>
      </c>
      <c r="Z75" s="20">
        <v>6.2</v>
      </c>
      <c r="AA75" s="20" t="s">
        <v>574</v>
      </c>
      <c r="AB75" s="15">
        <f t="shared" si="68"/>
        <v>6.2</v>
      </c>
      <c r="AC75" s="1">
        <v>5</v>
      </c>
      <c r="AD75" s="20">
        <f>11.8*1.742</f>
        <v>20.555600000000002</v>
      </c>
      <c r="AM75" s="61"/>
      <c r="AN75" s="20">
        <v>1.1200000000000001</v>
      </c>
      <c r="AP75" s="20" t="s">
        <v>743</v>
      </c>
      <c r="AQ75" s="61">
        <v>3</v>
      </c>
      <c r="AR75" s="61">
        <v>3</v>
      </c>
      <c r="BG75" s="20" t="s">
        <v>746</v>
      </c>
      <c r="BP75" s="21">
        <v>281</v>
      </c>
      <c r="BQ75" s="21">
        <v>529</v>
      </c>
      <c r="BR75" s="21">
        <v>311</v>
      </c>
      <c r="BS75" s="20">
        <f t="shared" si="80"/>
        <v>20970.149253731342</v>
      </c>
      <c r="BT75" s="15">
        <f t="shared" si="81"/>
        <v>20970.149253731342</v>
      </c>
      <c r="BU75" s="15" t="s">
        <v>766</v>
      </c>
      <c r="BY75" s="15">
        <f t="shared" si="82"/>
        <v>20970.149253731342</v>
      </c>
      <c r="BZ75" s="15">
        <f t="shared" si="83"/>
        <v>19.063772048846673</v>
      </c>
      <c r="CA75" s="15">
        <f t="shared" si="84"/>
        <v>41940.298507462685</v>
      </c>
      <c r="EV75" s="15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16">
        <f t="shared" si="69"/>
        <v>4.5</v>
      </c>
      <c r="FL75" s="16">
        <f t="shared" si="70"/>
        <v>5.6</v>
      </c>
      <c r="FM75" s="20">
        <v>4.5</v>
      </c>
      <c r="FN75" s="20">
        <v>0.4</v>
      </c>
      <c r="FO75" s="15">
        <f>FN75*SQRT(AR75)</f>
        <v>0.69282032302755092</v>
      </c>
      <c r="FP75" s="20">
        <v>5.6</v>
      </c>
      <c r="FQ75" s="20">
        <v>0.5</v>
      </c>
      <c r="FR75" s="15">
        <f>FQ75*SQRT(AR75)</f>
        <v>0.8660254037844386</v>
      </c>
      <c r="FS75" s="20">
        <f t="shared" si="76"/>
        <v>1.2444444444444445</v>
      </c>
      <c r="FT75" s="20">
        <f t="shared" si="77"/>
        <v>1.0999999999999996</v>
      </c>
      <c r="FU75" s="15">
        <f t="shared" si="78"/>
        <v>0.21868920096482936</v>
      </c>
      <c r="FV75" s="15">
        <f>((FR75*FR75)/(AR75*FP75*FP75)+(FO75*FO75)/(AR75*FM75*FM75))</f>
        <v>1.5873173343411439E-2</v>
      </c>
      <c r="FX75" s="20">
        <f>13.8*1.742</f>
        <v>24.0396</v>
      </c>
      <c r="FY75" s="20">
        <f t="shared" si="85"/>
        <v>2.4039600000000001</v>
      </c>
      <c r="FZ75" s="15">
        <f>FY75*SQRT(AR75)</f>
        <v>4.1637808593632784</v>
      </c>
      <c r="GA75" s="20">
        <f>13.9*1.742</f>
        <v>24.213799999999999</v>
      </c>
      <c r="GB75" s="20">
        <f t="shared" si="86"/>
        <v>2.4213800000000001</v>
      </c>
      <c r="GC75" s="15">
        <f>GB75*SQRT(AR75)</f>
        <v>4.1939531844311277</v>
      </c>
      <c r="GD75" s="20">
        <f t="shared" si="73"/>
        <v>1.0072463768115942</v>
      </c>
      <c r="GE75" s="20">
        <f t="shared" si="74"/>
        <v>0.17419999999999902</v>
      </c>
      <c r="GF75" s="15">
        <f t="shared" si="75"/>
        <v>7.2202479734868596E-3</v>
      </c>
      <c r="GG75" s="15">
        <f>((GC75*GC75)/(AR75*GA75*GA75)+(FZ75*FZ75)/(AR75*FX75*FX75))</f>
        <v>0.02</v>
      </c>
      <c r="GK75" s="15"/>
      <c r="GN75" s="15"/>
      <c r="GQ75" s="15"/>
      <c r="GR75" s="15"/>
      <c r="HE75" s="20">
        <v>69500</v>
      </c>
      <c r="HF75" s="20">
        <f t="shared" si="87"/>
        <v>6950</v>
      </c>
      <c r="HG75" s="15">
        <f>HF75*SQRT(AR75)</f>
        <v>12037.753112603696</v>
      </c>
      <c r="HH75" s="20">
        <v>76700</v>
      </c>
      <c r="HI75" s="20">
        <f t="shared" si="88"/>
        <v>7670</v>
      </c>
      <c r="HJ75" s="15">
        <f>HI75*SQRT(AR75)</f>
        <v>13284.829694053287</v>
      </c>
      <c r="HK75" s="15">
        <f t="shared" si="89"/>
        <v>1.1035971223021583</v>
      </c>
      <c r="HL75" s="15">
        <f t="shared" si="90"/>
        <v>7200</v>
      </c>
      <c r="HM75" s="15">
        <f t="shared" si="91"/>
        <v>9.8574955802464004E-2</v>
      </c>
      <c r="HN75" s="15">
        <f>((HJ75*HJ75)/(AR75*HH75*HH75)+(HG75*HG75)/(AR75*HE75*HE75))</f>
        <v>1.9999999999999997E-2</v>
      </c>
      <c r="HP75" s="15" t="s">
        <v>666</v>
      </c>
      <c r="HV75" s="15">
        <f t="shared" si="92"/>
        <v>4254.6606453983659</v>
      </c>
      <c r="HW75" s="15">
        <f t="shared" si="93"/>
        <v>9.8574955802464004E-2</v>
      </c>
      <c r="HX75" s="15">
        <f>CA75</f>
        <v>41940.298507462685</v>
      </c>
      <c r="HY75" s="15">
        <f>BY75</f>
        <v>20970.149253731342</v>
      </c>
      <c r="HZ75" s="15">
        <f>BZ75</f>
        <v>19.063772048846673</v>
      </c>
      <c r="IA75" s="15">
        <f>CA75</f>
        <v>41940.298507462685</v>
      </c>
    </row>
    <row r="76" spans="1:235" s="20" customFormat="1" x14ac:dyDescent="0.25">
      <c r="A76" s="31">
        <v>74</v>
      </c>
      <c r="B76" s="61">
        <v>15</v>
      </c>
      <c r="C76" s="61">
        <v>15</v>
      </c>
      <c r="D76" s="20" t="s">
        <v>755</v>
      </c>
      <c r="E76" s="61">
        <v>4</v>
      </c>
      <c r="F76" s="20" t="s">
        <v>732</v>
      </c>
      <c r="G76" s="20" t="s">
        <v>739</v>
      </c>
      <c r="H76" s="20" t="s">
        <v>740</v>
      </c>
      <c r="I76" s="61">
        <v>2016</v>
      </c>
      <c r="J76" s="20" t="s">
        <v>741</v>
      </c>
      <c r="K76" s="1" t="s">
        <v>656</v>
      </c>
      <c r="L76" s="20" t="s">
        <v>742</v>
      </c>
      <c r="M76" s="20" t="s">
        <v>480</v>
      </c>
      <c r="N76" s="20" t="s">
        <v>520</v>
      </c>
      <c r="O76" s="31">
        <v>2</v>
      </c>
      <c r="P76" s="20">
        <v>31.5</v>
      </c>
      <c r="Q76" s="20">
        <v>120.01</v>
      </c>
      <c r="S76" s="20">
        <v>1086</v>
      </c>
      <c r="T76" s="22" t="s">
        <v>975</v>
      </c>
      <c r="U76" s="20" t="s">
        <v>549</v>
      </c>
      <c r="V76" s="33">
        <v>1</v>
      </c>
      <c r="W76" s="21" t="s">
        <v>1164</v>
      </c>
      <c r="X76" s="20" t="s">
        <v>745</v>
      </c>
      <c r="Y76" s="61">
        <v>3</v>
      </c>
      <c r="Z76" s="20">
        <v>6.2</v>
      </c>
      <c r="AA76" s="20" t="s">
        <v>574</v>
      </c>
      <c r="AB76" s="15">
        <f t="shared" si="68"/>
        <v>6.2</v>
      </c>
      <c r="AC76" s="1">
        <v>5</v>
      </c>
      <c r="AD76" s="20">
        <f>11.8*1.742</f>
        <v>20.555600000000002</v>
      </c>
      <c r="AM76" s="61"/>
      <c r="AN76" s="20">
        <v>1.1200000000000001</v>
      </c>
      <c r="AP76" s="20" t="s">
        <v>743</v>
      </c>
      <c r="AQ76" s="61">
        <v>3</v>
      </c>
      <c r="AR76" s="61">
        <v>3</v>
      </c>
      <c r="BG76" s="20" t="s">
        <v>746</v>
      </c>
      <c r="BP76" s="21">
        <v>563</v>
      </c>
      <c r="BQ76" s="21">
        <v>1058</v>
      </c>
      <c r="BR76" s="21">
        <v>622</v>
      </c>
      <c r="BS76" s="20">
        <f t="shared" si="80"/>
        <v>42014.925373134327</v>
      </c>
      <c r="BT76" s="15">
        <f t="shared" si="81"/>
        <v>42014.925373134327</v>
      </c>
      <c r="BU76" s="15" t="s">
        <v>766</v>
      </c>
      <c r="BY76" s="15">
        <f t="shared" si="82"/>
        <v>42014.925373134327</v>
      </c>
      <c r="BZ76" s="15">
        <f t="shared" si="83"/>
        <v>38.195386702849383</v>
      </c>
      <c r="CA76" s="15">
        <f t="shared" si="84"/>
        <v>84029.850746268654</v>
      </c>
      <c r="EV76" s="15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16">
        <f t="shared" si="69"/>
        <v>5.0999999999999996</v>
      </c>
      <c r="FL76" s="16">
        <f t="shared" si="70"/>
        <v>5.9</v>
      </c>
      <c r="FM76" s="20">
        <v>5.0999999999999996</v>
      </c>
      <c r="FN76" s="20">
        <v>0.5</v>
      </c>
      <c r="FO76" s="15">
        <f>FN76*SQRT(AR76)</f>
        <v>0.8660254037844386</v>
      </c>
      <c r="FP76" s="20">
        <v>5.9</v>
      </c>
      <c r="FQ76" s="20">
        <v>0.5</v>
      </c>
      <c r="FR76" s="15">
        <f>FQ76*SQRT(AR76)</f>
        <v>0.8660254037844386</v>
      </c>
      <c r="FS76" s="20">
        <f t="shared" si="76"/>
        <v>1.1568627450980393</v>
      </c>
      <c r="FT76" s="20">
        <f t="shared" si="77"/>
        <v>0.80000000000000071</v>
      </c>
      <c r="FU76" s="15">
        <f t="shared" si="78"/>
        <v>0.14571181118139376</v>
      </c>
      <c r="FV76" s="15">
        <f>((FR76*FR76)/(AR76*FP76*FP76)+(FO76*FO76)/(AR76*FM76*FM76))</f>
        <v>1.6793532109995478E-2</v>
      </c>
      <c r="FX76" s="20">
        <f>12.7*1.742</f>
        <v>22.1234</v>
      </c>
      <c r="FY76" s="20">
        <f t="shared" si="85"/>
        <v>2.2123400000000002</v>
      </c>
      <c r="FZ76" s="15">
        <f>FY76*SQRT(AR76)</f>
        <v>3.8318852836169301</v>
      </c>
      <c r="GA76" s="20">
        <f>15.9*1.742</f>
        <v>27.697800000000001</v>
      </c>
      <c r="GB76" s="20">
        <f t="shared" si="86"/>
        <v>2.7697800000000004</v>
      </c>
      <c r="GC76" s="15">
        <f>GB76*SQRT(AR76)</f>
        <v>4.7973996857881254</v>
      </c>
      <c r="GD76" s="20">
        <f t="shared" si="73"/>
        <v>1.2519685039370079</v>
      </c>
      <c r="GE76" s="20">
        <f t="shared" si="74"/>
        <v>5.5744000000000007</v>
      </c>
      <c r="GF76" s="15">
        <f t="shared" si="75"/>
        <v>0.22471711576164033</v>
      </c>
      <c r="GG76" s="15">
        <f>((GC76*GC76)/(AR76*GA76*GA76)+(FZ76*FZ76)/(AR76*FX76*FX76))</f>
        <v>2.0000000000000004E-2</v>
      </c>
      <c r="GK76" s="15"/>
      <c r="GN76" s="15"/>
      <c r="GQ76" s="15"/>
      <c r="GR76" s="15"/>
      <c r="HE76" s="20">
        <v>30200</v>
      </c>
      <c r="HF76" s="20">
        <f t="shared" si="87"/>
        <v>3020</v>
      </c>
      <c r="HG76" s="15">
        <f>HF76*SQRT(AR76)</f>
        <v>5230.7934388580088</v>
      </c>
      <c r="HH76" s="20">
        <v>50400</v>
      </c>
      <c r="HI76" s="20">
        <f t="shared" si="88"/>
        <v>5040</v>
      </c>
      <c r="HJ76" s="15">
        <f>HI76*SQRT(AR76)</f>
        <v>8729.5360701471418</v>
      </c>
      <c r="HK76" s="15">
        <f t="shared" si="89"/>
        <v>1.6688741721854305</v>
      </c>
      <c r="HL76" s="15">
        <f t="shared" si="90"/>
        <v>20200</v>
      </c>
      <c r="HM76" s="15">
        <f t="shared" si="91"/>
        <v>0.51214925069649908</v>
      </c>
      <c r="HN76" s="15">
        <f>((HJ76*HJ76)/(AR76*HH76*HH76)+(HG76*HG76)/(AR76*HE76*HE76))</f>
        <v>1.9999999999999997E-2</v>
      </c>
      <c r="HP76" s="15" t="s">
        <v>666</v>
      </c>
      <c r="HV76" s="15">
        <f t="shared" si="92"/>
        <v>1640.7297410274832</v>
      </c>
      <c r="HW76" s="15">
        <f t="shared" si="93"/>
        <v>0.51214925069649908</v>
      </c>
      <c r="HX76" s="15">
        <f>CA76</f>
        <v>84029.850746268654</v>
      </c>
      <c r="HY76" s="15">
        <f>BY76</f>
        <v>42014.925373134327</v>
      </c>
      <c r="HZ76" s="15">
        <f>BZ76</f>
        <v>38.195386702849383</v>
      </c>
      <c r="IA76" s="15">
        <f>CA76</f>
        <v>84029.850746268654</v>
      </c>
    </row>
    <row r="77" spans="1:235" s="20" customFormat="1" x14ac:dyDescent="0.25">
      <c r="A77" s="31">
        <v>75</v>
      </c>
      <c r="B77" s="61">
        <v>15</v>
      </c>
      <c r="C77" s="61">
        <v>15</v>
      </c>
      <c r="D77" s="20" t="s">
        <v>756</v>
      </c>
      <c r="E77" s="61">
        <v>4</v>
      </c>
      <c r="F77" s="20" t="s">
        <v>733</v>
      </c>
      <c r="G77" s="20" t="s">
        <v>739</v>
      </c>
      <c r="H77" s="20" t="s">
        <v>740</v>
      </c>
      <c r="I77" s="61">
        <v>2016</v>
      </c>
      <c r="J77" s="20" t="s">
        <v>741</v>
      </c>
      <c r="K77" s="1" t="s">
        <v>656</v>
      </c>
      <c r="L77" s="20" t="s">
        <v>742</v>
      </c>
      <c r="M77" s="20" t="s">
        <v>480</v>
      </c>
      <c r="N77" s="20" t="s">
        <v>520</v>
      </c>
      <c r="O77" s="31">
        <v>2</v>
      </c>
      <c r="P77" s="20">
        <v>31.5</v>
      </c>
      <c r="Q77" s="20">
        <v>120.01</v>
      </c>
      <c r="S77" s="20">
        <v>1086</v>
      </c>
      <c r="T77" s="22" t="s">
        <v>975</v>
      </c>
      <c r="U77" s="20" t="s">
        <v>549</v>
      </c>
      <c r="V77" s="33">
        <v>1</v>
      </c>
      <c r="W77" s="21" t="s">
        <v>1164</v>
      </c>
      <c r="X77" s="20" t="s">
        <v>745</v>
      </c>
      <c r="Y77" s="61">
        <v>3</v>
      </c>
      <c r="Z77" s="20">
        <v>6.2</v>
      </c>
      <c r="AA77" s="20" t="s">
        <v>574</v>
      </c>
      <c r="AB77" s="15">
        <f t="shared" si="68"/>
        <v>6.2</v>
      </c>
      <c r="AC77" s="1">
        <v>5</v>
      </c>
      <c r="AD77" s="20">
        <f>11.8*1.742</f>
        <v>20.555600000000002</v>
      </c>
      <c r="AM77" s="61"/>
      <c r="AN77" s="20">
        <v>1.1200000000000001</v>
      </c>
      <c r="AP77" s="20" t="s">
        <v>743</v>
      </c>
      <c r="AQ77" s="61">
        <v>3</v>
      </c>
      <c r="AR77" s="61">
        <v>3</v>
      </c>
      <c r="BG77" s="20" t="s">
        <v>746</v>
      </c>
      <c r="BP77" s="21">
        <v>281</v>
      </c>
      <c r="BQ77" s="21">
        <v>529</v>
      </c>
      <c r="BR77" s="21">
        <v>311</v>
      </c>
      <c r="BS77" s="20">
        <f t="shared" si="80"/>
        <v>20970.149253731342</v>
      </c>
      <c r="BT77" s="15">
        <f t="shared" si="81"/>
        <v>20970.149253731342</v>
      </c>
      <c r="BU77" s="15" t="s">
        <v>766</v>
      </c>
      <c r="BY77" s="15">
        <f t="shared" si="82"/>
        <v>20970.149253731342</v>
      </c>
      <c r="BZ77" s="15">
        <f t="shared" si="83"/>
        <v>19.063772048846673</v>
      </c>
      <c r="CA77" s="15">
        <f t="shared" si="84"/>
        <v>41940.298507462685</v>
      </c>
      <c r="EV77" s="15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16">
        <f t="shared" si="69"/>
        <v>4.5</v>
      </c>
      <c r="FL77" s="16">
        <f t="shared" si="70"/>
        <v>5.6</v>
      </c>
      <c r="FM77" s="20">
        <v>4.5</v>
      </c>
      <c r="FN77" s="20">
        <v>0.4</v>
      </c>
      <c r="FO77" s="15">
        <f>FN77*SQRT(AR77)</f>
        <v>0.69282032302755092</v>
      </c>
      <c r="FP77" s="20">
        <v>5.6</v>
      </c>
      <c r="FQ77" s="20">
        <v>0.5</v>
      </c>
      <c r="FR77" s="15">
        <f>FQ77*SQRT(AR77)</f>
        <v>0.8660254037844386</v>
      </c>
      <c r="FS77" s="20">
        <f t="shared" si="76"/>
        <v>1.2444444444444445</v>
      </c>
      <c r="FT77" s="20">
        <f t="shared" si="77"/>
        <v>1.0999999999999996</v>
      </c>
      <c r="FU77" s="15">
        <f t="shared" si="78"/>
        <v>0.21868920096482936</v>
      </c>
      <c r="FV77" s="15">
        <f>((FR77*FR77)/(AR77*FP77*FP77)+(FO77*FO77)/(AR77*FM77*FM77))</f>
        <v>1.5873173343411439E-2</v>
      </c>
      <c r="FX77" s="20">
        <f>13.8*1.742</f>
        <v>24.0396</v>
      </c>
      <c r="FY77" s="20">
        <f t="shared" si="85"/>
        <v>2.4039600000000001</v>
      </c>
      <c r="FZ77" s="15">
        <f>FY77*SQRT(AR77)</f>
        <v>4.1637808593632784</v>
      </c>
      <c r="GA77" s="20">
        <f>13.9*1.742</f>
        <v>24.213799999999999</v>
      </c>
      <c r="GB77" s="20">
        <f t="shared" si="86"/>
        <v>2.4213800000000001</v>
      </c>
      <c r="GC77" s="15">
        <f>GB77*SQRT(AR77)</f>
        <v>4.1939531844311277</v>
      </c>
      <c r="GD77" s="20">
        <f t="shared" si="73"/>
        <v>1.0072463768115942</v>
      </c>
      <c r="GE77" s="20">
        <f t="shared" si="74"/>
        <v>0.17419999999999902</v>
      </c>
      <c r="GF77" s="15">
        <f t="shared" si="75"/>
        <v>7.2202479734868596E-3</v>
      </c>
      <c r="GG77" s="15">
        <f>((GC77*GC77)/(AR77*GA77*GA77)+(FZ77*FZ77)/(AR77*FX77*FX77))</f>
        <v>0.02</v>
      </c>
      <c r="GK77" s="15"/>
      <c r="GN77" s="15"/>
      <c r="GQ77" s="15"/>
      <c r="GR77" s="15"/>
      <c r="HE77" s="20">
        <v>48700</v>
      </c>
      <c r="HF77" s="20">
        <f t="shared" si="87"/>
        <v>4870</v>
      </c>
      <c r="HG77" s="15">
        <f>HF77*SQRT(AR77)</f>
        <v>8435.0874328604314</v>
      </c>
      <c r="HH77" s="20">
        <v>50200</v>
      </c>
      <c r="HI77" s="20">
        <f t="shared" si="88"/>
        <v>5020</v>
      </c>
      <c r="HJ77" s="15">
        <f>HI77*SQRT(AR77)</f>
        <v>8694.8950539957641</v>
      </c>
      <c r="HK77" s="15">
        <f t="shared" si="89"/>
        <v>1.0308008213552362</v>
      </c>
      <c r="HL77" s="15">
        <f t="shared" si="90"/>
        <v>1500</v>
      </c>
      <c r="HM77" s="15">
        <f t="shared" si="91"/>
        <v>3.0335996609139215E-2</v>
      </c>
      <c r="HN77" s="15">
        <f>((HJ77*HJ77)/(AR77*HH77*HH77)+(HG77*HG77)/(AR77*HE77*HE77))</f>
        <v>1.9999999999999997E-2</v>
      </c>
      <c r="HP77" s="15" t="s">
        <v>604</v>
      </c>
      <c r="HV77" s="15">
        <f t="shared" si="92"/>
        <v>13825.258173594168</v>
      </c>
      <c r="HW77" s="15">
        <f t="shared" si="93"/>
        <v>3.0335996609139215E-2</v>
      </c>
      <c r="HX77" s="15">
        <f>CA77</f>
        <v>41940.298507462685</v>
      </c>
      <c r="HY77" s="15">
        <f>BY77</f>
        <v>20970.149253731342</v>
      </c>
      <c r="HZ77" s="15">
        <f>BZ77</f>
        <v>19.063772048846673</v>
      </c>
      <c r="IA77" s="15">
        <f>CA77</f>
        <v>41940.298507462685</v>
      </c>
    </row>
    <row r="78" spans="1:235" s="15" customFormat="1" x14ac:dyDescent="0.25">
      <c r="A78" s="31">
        <v>76</v>
      </c>
      <c r="B78" s="1">
        <v>16</v>
      </c>
      <c r="C78" s="1">
        <v>16</v>
      </c>
      <c r="D78" s="15" t="s">
        <v>760</v>
      </c>
      <c r="E78" s="1">
        <v>1</v>
      </c>
      <c r="F78" s="15" t="s">
        <v>761</v>
      </c>
      <c r="G78" s="15" t="s">
        <v>758</v>
      </c>
      <c r="H78" s="15" t="s">
        <v>759</v>
      </c>
      <c r="I78" s="1">
        <v>2020</v>
      </c>
      <c r="J78" s="15" t="s">
        <v>757</v>
      </c>
      <c r="K78" s="1"/>
      <c r="L78" s="15" t="s">
        <v>765</v>
      </c>
      <c r="M78" s="15" t="s">
        <v>764</v>
      </c>
      <c r="N78" s="15" t="s">
        <v>23</v>
      </c>
      <c r="O78" s="31">
        <v>2</v>
      </c>
      <c r="P78" s="15">
        <v>23.17</v>
      </c>
      <c r="Q78" s="15">
        <v>92</v>
      </c>
      <c r="S78" s="15">
        <v>3031</v>
      </c>
      <c r="T78" s="15">
        <v>23.8</v>
      </c>
      <c r="U78" s="15" t="s">
        <v>807</v>
      </c>
      <c r="V78" s="31">
        <v>2</v>
      </c>
      <c r="X78" s="15" t="s">
        <v>731</v>
      </c>
      <c r="Y78" s="1">
        <v>12</v>
      </c>
      <c r="Z78" s="15">
        <v>5.45</v>
      </c>
      <c r="AA78" s="15" t="s">
        <v>574</v>
      </c>
      <c r="AB78" s="15">
        <f t="shared" si="68"/>
        <v>5.45</v>
      </c>
      <c r="AC78" s="1">
        <v>3</v>
      </c>
      <c r="AD78" s="15">
        <v>0.13</v>
      </c>
      <c r="AM78" s="1">
        <v>2</v>
      </c>
      <c r="AQ78" s="1"/>
      <c r="AR78" s="1">
        <v>4</v>
      </c>
      <c r="AT78" s="15" t="s">
        <v>576</v>
      </c>
      <c r="AW78" s="15">
        <v>1</v>
      </c>
      <c r="AX78" s="15">
        <f>AW78*2250</f>
        <v>2250</v>
      </c>
      <c r="AY78" s="15" t="s">
        <v>766</v>
      </c>
      <c r="AZ78" s="15">
        <f>AX78</f>
        <v>2250</v>
      </c>
      <c r="BA78" s="15">
        <f>AZ78/2.93/1000</f>
        <v>0.76791808873720124</v>
      </c>
      <c r="BB78" s="15">
        <f>AZ78*0.6</f>
        <v>1350</v>
      </c>
      <c r="FK78" s="16">
        <f t="shared" si="69"/>
        <v>5.46</v>
      </c>
      <c r="FL78" s="16">
        <f t="shared" si="70"/>
        <v>5.98</v>
      </c>
      <c r="FM78" s="15">
        <v>5.46</v>
      </c>
      <c r="FN78" s="15">
        <f t="shared" ref="FN78:FN84" si="94">FM78*0.0006</f>
        <v>3.2759999999999998E-3</v>
      </c>
      <c r="FO78" s="15">
        <f>FN78*SQRT(AR78)</f>
        <v>6.5519999999999997E-3</v>
      </c>
      <c r="FP78" s="15">
        <v>5.98</v>
      </c>
      <c r="FQ78" s="15">
        <f t="shared" ref="FQ78:FQ84" si="95">FP78*0.0006</f>
        <v>3.588E-3</v>
      </c>
      <c r="FR78" s="15">
        <f>FQ78*SQRT(AR78)</f>
        <v>7.1760000000000001E-3</v>
      </c>
      <c r="FS78" s="15">
        <f t="shared" si="76"/>
        <v>1.0952380952380953</v>
      </c>
      <c r="FT78" s="15">
        <f t="shared" si="77"/>
        <v>0.52000000000000046</v>
      </c>
      <c r="FU78" s="15">
        <f t="shared" si="78"/>
        <v>9.0971778205726883E-2</v>
      </c>
      <c r="FV78" s="15">
        <f>((FR78*FR78)/(AR78*FP78*FP78)+(FO78*FO78)/(AR78*FM78*FM78))</f>
        <v>7.1999999999999999E-7</v>
      </c>
      <c r="GI78" s="15">
        <f t="shared" ref="GI78:GI84" si="96">3.72+1.11+0.271+0.218</f>
        <v>5.319</v>
      </c>
      <c r="GJ78" s="15">
        <f t="shared" ref="GJ78:GJ84" si="97">GI78*0.0992</f>
        <v>0.52764480000000002</v>
      </c>
      <c r="GK78" s="15">
        <f>GJ78*SQRT(AR78)</f>
        <v>1.0552896</v>
      </c>
      <c r="GL78" s="15">
        <f>1.99+1.61+0.229+0.184</f>
        <v>4.0129999999999999</v>
      </c>
      <c r="GM78" s="15">
        <f t="shared" ref="GM78:GM84" si="98">GL78*0.035</f>
        <v>0.140455</v>
      </c>
      <c r="GN78" s="15">
        <f>GM78*SQRT(AR78)</f>
        <v>0.28090999999999999</v>
      </c>
      <c r="GO78" s="15">
        <f t="shared" ref="GO78:GO84" si="99">GL78/GI78</f>
        <v>0.7544651250235006</v>
      </c>
      <c r="GP78" s="15">
        <f t="shared" ref="GP78:GP84" si="100">GL78-GI78</f>
        <v>-1.306</v>
      </c>
      <c r="GQ78" s="15">
        <f t="shared" ref="GQ78:GQ84" si="101">LN(GL78)-LN(GI78)</f>
        <v>-0.28174622447540099</v>
      </c>
      <c r="GR78" s="15">
        <f>((GN78*GN78)/(AR78*GL78*GL78)+(GK78*GK78)/(AR78*GI78*GI78))</f>
        <v>1.106564E-2</v>
      </c>
      <c r="GT78" s="15">
        <f t="shared" ref="GT78:GT84" si="102">(1.11+0.271+0.218)*100/5.319</f>
        <v>30.062041737168649</v>
      </c>
      <c r="GU78" s="15">
        <f t="shared" ref="GU78:GU84" si="103">GT78*0.05</f>
        <v>1.5031020868584326</v>
      </c>
      <c r="GV78" s="15">
        <f>GU78*SQRT(AR78)</f>
        <v>3.0062041737168652</v>
      </c>
      <c r="GW78" s="15">
        <f>(1.61+0.229+0.184)*100/4.013</f>
        <v>50.411163717916772</v>
      </c>
      <c r="GX78" s="15">
        <f t="shared" ref="GX78:GX84" si="104">GW78*0.05</f>
        <v>2.5205581858958386</v>
      </c>
      <c r="GY78" s="15">
        <f>GX78*SQRT(AR78)</f>
        <v>5.0411163717916772</v>
      </c>
      <c r="GZ78" s="15">
        <f t="shared" ref="GZ78:GZ84" si="105">GW78/GT78</f>
        <v>1.6769041889655987</v>
      </c>
      <c r="HA78" s="15">
        <f t="shared" ref="HA78:HA84" si="106">GW78-GT78</f>
        <v>20.349121980748123</v>
      </c>
      <c r="HB78" s="15">
        <f t="shared" ref="HB78:HB84" si="107">LN(GW78)-LN(GT78)</f>
        <v>0.51694934880919163</v>
      </c>
      <c r="HC78" s="15">
        <f>((GY78*GY78)/(AR78*GW78*GW78)+(GV78*GV78)/(AR78*GT78*GT78))</f>
        <v>5.000000000000001E-3</v>
      </c>
      <c r="HE78" s="15">
        <v>5.92</v>
      </c>
      <c r="HF78" s="15">
        <f t="shared" ref="HF78:HF84" si="108">HE78*0.016</f>
        <v>9.4719999999999999E-2</v>
      </c>
      <c r="HG78" s="15">
        <f>HF78*SQRT(AR78)</f>
        <v>0.18944</v>
      </c>
      <c r="HH78" s="15">
        <v>8.1999999999999993</v>
      </c>
      <c r="HI78" s="15">
        <f t="shared" ref="HI78:HI84" si="109">HH78*0.0741</f>
        <v>0.60761999999999994</v>
      </c>
      <c r="HJ78" s="15">
        <f>HI78*SQRT(AR78)</f>
        <v>1.2152399999999999</v>
      </c>
      <c r="HK78" s="15">
        <f t="shared" si="89"/>
        <v>1.3851351351351351</v>
      </c>
      <c r="HL78" s="15">
        <f t="shared" si="90"/>
        <v>2.2799999999999994</v>
      </c>
      <c r="HM78" s="15">
        <f t="shared" si="91"/>
        <v>0.32579770537429309</v>
      </c>
      <c r="HN78" s="15">
        <f>((HJ78*HJ78)/(AR78*HH78*HH78)+(HG78*HG78)/(AR78*HE78*HE78))</f>
        <v>5.7468099999999998E-3</v>
      </c>
      <c r="HP78" s="15" t="s">
        <v>809</v>
      </c>
      <c r="HV78" s="15">
        <f t="shared" si="92"/>
        <v>41.436755929543786</v>
      </c>
      <c r="HW78" s="15">
        <f t="shared" si="93"/>
        <v>0.32579770537429309</v>
      </c>
      <c r="HX78" s="15">
        <f>BB78</f>
        <v>1350</v>
      </c>
      <c r="HY78" s="15">
        <f>AZ78</f>
        <v>2250</v>
      </c>
      <c r="HZ78" s="15">
        <f>BA78</f>
        <v>0.76791808873720124</v>
      </c>
      <c r="IA78" s="15">
        <f>BB78</f>
        <v>1350</v>
      </c>
    </row>
    <row r="79" spans="1:235" s="15" customFormat="1" x14ac:dyDescent="0.25">
      <c r="A79" s="31">
        <v>77</v>
      </c>
      <c r="B79" s="1">
        <v>16</v>
      </c>
      <c r="C79" s="1">
        <v>16</v>
      </c>
      <c r="D79" s="15" t="s">
        <v>42</v>
      </c>
      <c r="E79" s="1">
        <v>4</v>
      </c>
      <c r="F79" s="15" t="s">
        <v>762</v>
      </c>
      <c r="G79" s="15" t="s">
        <v>758</v>
      </c>
      <c r="H79" s="15" t="s">
        <v>759</v>
      </c>
      <c r="I79" s="1">
        <v>2020</v>
      </c>
      <c r="J79" s="15" t="s">
        <v>757</v>
      </c>
      <c r="K79" s="1"/>
      <c r="L79" s="15" t="s">
        <v>765</v>
      </c>
      <c r="M79" s="15" t="s">
        <v>764</v>
      </c>
      <c r="N79" s="15" t="s">
        <v>23</v>
      </c>
      <c r="O79" s="31">
        <v>2</v>
      </c>
      <c r="P79" s="15">
        <v>23.17</v>
      </c>
      <c r="Q79" s="15">
        <v>92</v>
      </c>
      <c r="S79" s="15">
        <v>3031</v>
      </c>
      <c r="T79" s="15">
        <v>23.8</v>
      </c>
      <c r="U79" s="15" t="s">
        <v>807</v>
      </c>
      <c r="V79" s="31">
        <v>2</v>
      </c>
      <c r="W79" s="16"/>
      <c r="X79" s="15" t="s">
        <v>731</v>
      </c>
      <c r="Y79" s="1">
        <v>12</v>
      </c>
      <c r="Z79" s="15">
        <v>5.45</v>
      </c>
      <c r="AA79" s="15" t="s">
        <v>574</v>
      </c>
      <c r="AB79" s="15">
        <f t="shared" si="68"/>
        <v>5.45</v>
      </c>
      <c r="AC79" s="1">
        <v>3</v>
      </c>
      <c r="AD79" s="15">
        <v>0.13</v>
      </c>
      <c r="AM79" s="1">
        <v>2</v>
      </c>
      <c r="AQ79" s="1"/>
      <c r="AR79" s="1">
        <v>4</v>
      </c>
      <c r="BF79" s="15">
        <v>8.44</v>
      </c>
      <c r="BG79" s="15" t="s">
        <v>770</v>
      </c>
      <c r="BP79" s="16"/>
      <c r="BQ79" s="16"/>
      <c r="BR79" s="16"/>
      <c r="BS79" s="15">
        <v>5</v>
      </c>
      <c r="BT79" s="15">
        <f>BS79*2250</f>
        <v>11250</v>
      </c>
      <c r="BU79" s="15" t="s">
        <v>766</v>
      </c>
      <c r="BW79" s="15">
        <f>BS79*187.5/1000</f>
        <v>0.9375</v>
      </c>
      <c r="BX79" s="15">
        <f>BW79/2</f>
        <v>0.46875</v>
      </c>
      <c r="BY79" s="15">
        <f>BT79</f>
        <v>11250</v>
      </c>
      <c r="BZ79" s="15">
        <f>BY79/1.1/1000</f>
        <v>10.227272727272727</v>
      </c>
      <c r="CA79" s="15">
        <f>BY79*2</f>
        <v>22500</v>
      </c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>
        <f t="shared" si="69"/>
        <v>5.46</v>
      </c>
      <c r="FL79" s="16">
        <f t="shared" si="70"/>
        <v>5.75</v>
      </c>
      <c r="FM79" s="15">
        <v>5.46</v>
      </c>
      <c r="FN79" s="15">
        <f t="shared" si="94"/>
        <v>3.2759999999999998E-3</v>
      </c>
      <c r="FO79" s="15">
        <f>FN79*SQRT(AR79)</f>
        <v>6.5519999999999997E-3</v>
      </c>
      <c r="FP79" s="15">
        <v>5.75</v>
      </c>
      <c r="FQ79" s="15">
        <f t="shared" si="95"/>
        <v>3.4499999999999995E-3</v>
      </c>
      <c r="FR79" s="15">
        <f>FQ79*SQRT(AR79)</f>
        <v>6.899999999999999E-3</v>
      </c>
      <c r="FS79" s="15">
        <f t="shared" si="76"/>
        <v>1.0531135531135531</v>
      </c>
      <c r="FT79" s="15">
        <f t="shared" si="77"/>
        <v>0.29000000000000004</v>
      </c>
      <c r="FU79" s="15">
        <f t="shared" si="78"/>
        <v>5.1751065052445533E-2</v>
      </c>
      <c r="FV79" s="15">
        <f>((FR79*FR79)/(AR79*FP79*FP79)+(FO79*FO79)/(AR79*FM79*FM79))</f>
        <v>7.1999999999999988E-7</v>
      </c>
      <c r="GI79" s="15">
        <f t="shared" si="96"/>
        <v>5.319</v>
      </c>
      <c r="GJ79" s="15">
        <f t="shared" si="97"/>
        <v>0.52764480000000002</v>
      </c>
      <c r="GK79" s="15">
        <f>GJ79*SQRT(AR79)</f>
        <v>1.0552896</v>
      </c>
      <c r="GL79" s="15">
        <f>2.76+1.84+0.508+0.404</f>
        <v>5.5119999999999996</v>
      </c>
      <c r="GM79" s="15">
        <f t="shared" si="98"/>
        <v>0.19292000000000001</v>
      </c>
      <c r="GN79" s="15">
        <f>GM79*SQRT(AR79)</f>
        <v>0.38584000000000002</v>
      </c>
      <c r="GO79" s="15">
        <f t="shared" si="99"/>
        <v>1.0362850159804473</v>
      </c>
      <c r="GP79" s="15">
        <f t="shared" si="100"/>
        <v>0.19299999999999962</v>
      </c>
      <c r="GQ79" s="15">
        <f t="shared" si="101"/>
        <v>3.5642217951176836E-2</v>
      </c>
      <c r="GR79" s="15">
        <f>((GN79*GN79)/(AR79*GL79*GL79)+(GK79*GK79)/(AR79*GI79*GI79))</f>
        <v>1.106564E-2</v>
      </c>
      <c r="GT79" s="15">
        <f t="shared" si="102"/>
        <v>30.062041737168649</v>
      </c>
      <c r="GU79" s="15">
        <f t="shared" si="103"/>
        <v>1.5031020868584326</v>
      </c>
      <c r="GV79" s="15">
        <f>GU79*SQRT(AR79)</f>
        <v>3.0062041737168652</v>
      </c>
      <c r="GW79" s="15">
        <f>(1.84+0.508+0.404)*100/5.512</f>
        <v>49.927431059506532</v>
      </c>
      <c r="GX79" s="15">
        <f t="shared" si="104"/>
        <v>2.4963715529753268</v>
      </c>
      <c r="GY79" s="15">
        <f>GX79*SQRT(AR79)</f>
        <v>4.9927431059506535</v>
      </c>
      <c r="GZ79" s="15">
        <f t="shared" si="105"/>
        <v>1.6608130444372431</v>
      </c>
      <c r="HA79" s="15">
        <f t="shared" si="106"/>
        <v>19.865389322337883</v>
      </c>
      <c r="HB79" s="15">
        <f t="shared" si="107"/>
        <v>0.5073072682681028</v>
      </c>
      <c r="HC79" s="15">
        <f>((GY79*GY79)/(AR79*GW79*GW79)+(GV79*GV79)/(AR79*GT79*GT79))</f>
        <v>5.000000000000001E-3</v>
      </c>
      <c r="HE79" s="15">
        <v>5.92</v>
      </c>
      <c r="HF79" s="15">
        <f t="shared" si="108"/>
        <v>9.4719999999999999E-2</v>
      </c>
      <c r="HG79" s="15">
        <f>HF79*SQRT(AR79)</f>
        <v>0.18944</v>
      </c>
      <c r="HH79" s="15">
        <v>43.2</v>
      </c>
      <c r="HI79" s="15">
        <f t="shared" si="109"/>
        <v>3.20112</v>
      </c>
      <c r="HJ79" s="15">
        <f>HI79*SQRT(AR79)</f>
        <v>6.4022399999999999</v>
      </c>
      <c r="HK79" s="15">
        <f t="shared" si="89"/>
        <v>7.2972972972972983</v>
      </c>
      <c r="HL79" s="15">
        <f t="shared" si="90"/>
        <v>37.28</v>
      </c>
      <c r="HM79" s="15">
        <f t="shared" si="91"/>
        <v>1.9875040463541505</v>
      </c>
      <c r="HN79" s="15">
        <f>((HJ79*HJ79)/(AR79*HH79*HH79)+(HG79*HG79)/(AR79*HE79*HE79))</f>
        <v>5.7468099999999989E-3</v>
      </c>
      <c r="HP79" s="15" t="s">
        <v>809</v>
      </c>
      <c r="HV79" s="15">
        <f t="shared" si="92"/>
        <v>113.20731669087007</v>
      </c>
      <c r="HW79" s="15">
        <f t="shared" si="93"/>
        <v>1.9875040463541505</v>
      </c>
      <c r="HX79" s="15">
        <f>CA79</f>
        <v>22500</v>
      </c>
      <c r="HY79" s="15">
        <f>BY79</f>
        <v>11250</v>
      </c>
      <c r="HZ79" s="15">
        <f>BZ79</f>
        <v>10.227272727272727</v>
      </c>
      <c r="IA79" s="15">
        <f>CA79</f>
        <v>22500</v>
      </c>
    </row>
    <row r="80" spans="1:235" s="15" customFormat="1" x14ac:dyDescent="0.25">
      <c r="A80" s="31">
        <v>78</v>
      </c>
      <c r="B80" s="1">
        <v>16</v>
      </c>
      <c r="C80" s="1">
        <v>16</v>
      </c>
      <c r="D80" s="15" t="s">
        <v>43</v>
      </c>
      <c r="E80" s="1">
        <v>4</v>
      </c>
      <c r="F80" s="15" t="s">
        <v>762</v>
      </c>
      <c r="G80" s="15" t="s">
        <v>758</v>
      </c>
      <c r="H80" s="15" t="s">
        <v>759</v>
      </c>
      <c r="I80" s="1">
        <v>2020</v>
      </c>
      <c r="J80" s="15" t="s">
        <v>757</v>
      </c>
      <c r="K80" s="1"/>
      <c r="L80" s="15" t="s">
        <v>765</v>
      </c>
      <c r="M80" s="15" t="s">
        <v>764</v>
      </c>
      <c r="N80" s="15" t="s">
        <v>23</v>
      </c>
      <c r="O80" s="31">
        <v>2</v>
      </c>
      <c r="P80" s="15">
        <v>23.17</v>
      </c>
      <c r="Q80" s="15">
        <v>92</v>
      </c>
      <c r="S80" s="15">
        <v>3031</v>
      </c>
      <c r="T80" s="15">
        <v>23.8</v>
      </c>
      <c r="U80" s="15" t="s">
        <v>807</v>
      </c>
      <c r="V80" s="31">
        <v>2</v>
      </c>
      <c r="W80" s="16"/>
      <c r="X80" s="15" t="s">
        <v>731</v>
      </c>
      <c r="Y80" s="1">
        <v>12</v>
      </c>
      <c r="Z80" s="15">
        <v>5.45</v>
      </c>
      <c r="AA80" s="15" t="s">
        <v>574</v>
      </c>
      <c r="AB80" s="15">
        <f t="shared" si="68"/>
        <v>5.45</v>
      </c>
      <c r="AC80" s="1">
        <v>3</v>
      </c>
      <c r="AD80" s="15">
        <v>0.13</v>
      </c>
      <c r="AM80" s="1">
        <v>2</v>
      </c>
      <c r="AQ80" s="1"/>
      <c r="AR80" s="1">
        <v>4</v>
      </c>
      <c r="BF80" s="15">
        <v>8.44</v>
      </c>
      <c r="BG80" s="15" t="s">
        <v>770</v>
      </c>
      <c r="BP80" s="16"/>
      <c r="BQ80" s="16"/>
      <c r="BR80" s="16"/>
      <c r="BS80" s="15">
        <v>10</v>
      </c>
      <c r="BT80" s="15">
        <f>BS80*2250</f>
        <v>22500</v>
      </c>
      <c r="BU80" s="15" t="s">
        <v>766</v>
      </c>
      <c r="BW80" s="15">
        <f>BS80*187.5/1000</f>
        <v>1.875</v>
      </c>
      <c r="BX80" s="15">
        <f>BW80/2</f>
        <v>0.9375</v>
      </c>
      <c r="BY80" s="15">
        <f>BT80</f>
        <v>22500</v>
      </c>
      <c r="BZ80" s="15">
        <f>BY80/1.1/1000</f>
        <v>20.454545454545453</v>
      </c>
      <c r="CA80" s="15">
        <f>BY80*2</f>
        <v>45000</v>
      </c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>
        <f t="shared" si="69"/>
        <v>5.46</v>
      </c>
      <c r="FL80" s="16">
        <f t="shared" si="70"/>
        <v>6.12</v>
      </c>
      <c r="FM80" s="15">
        <v>5.46</v>
      </c>
      <c r="FN80" s="15">
        <f t="shared" si="94"/>
        <v>3.2759999999999998E-3</v>
      </c>
      <c r="FO80" s="15">
        <f>FN80*SQRT(AR80)</f>
        <v>6.5519999999999997E-3</v>
      </c>
      <c r="FP80" s="15">
        <v>6.12</v>
      </c>
      <c r="FQ80" s="15">
        <f t="shared" si="95"/>
        <v>3.6719999999999999E-3</v>
      </c>
      <c r="FR80" s="15">
        <f>FQ80*SQRT(AR80)</f>
        <v>7.3439999999999998E-3</v>
      </c>
      <c r="FS80" s="15">
        <f t="shared" si="76"/>
        <v>1.1208791208791209</v>
      </c>
      <c r="FT80" s="15">
        <f t="shared" si="77"/>
        <v>0.66000000000000014</v>
      </c>
      <c r="FU80" s="15">
        <f t="shared" si="78"/>
        <v>0.11411330676742115</v>
      </c>
      <c r="FV80" s="15">
        <f>((FR80*FR80)/(AR80*FP80*FP80)+(FO80*FO80)/(AR80*FM80*FM80))</f>
        <v>7.1999999999999988E-7</v>
      </c>
      <c r="GI80" s="15">
        <f t="shared" si="96"/>
        <v>5.319</v>
      </c>
      <c r="GJ80" s="15">
        <f t="shared" si="97"/>
        <v>0.52764480000000002</v>
      </c>
      <c r="GK80" s="15">
        <f>GJ80*SQRT(AR80)</f>
        <v>1.0552896</v>
      </c>
      <c r="GL80" s="15">
        <f>2.22+2.38+0.648+0.519</f>
        <v>5.7669999999999995</v>
      </c>
      <c r="GM80" s="15">
        <f t="shared" si="98"/>
        <v>0.201845</v>
      </c>
      <c r="GN80" s="15">
        <f>GM80*SQRT(AR80)</f>
        <v>0.40368999999999999</v>
      </c>
      <c r="GO80" s="15">
        <f t="shared" si="99"/>
        <v>1.0842263583380334</v>
      </c>
      <c r="GP80" s="15">
        <f t="shared" si="100"/>
        <v>0.44799999999999951</v>
      </c>
      <c r="GQ80" s="15">
        <f t="shared" si="101"/>
        <v>8.0866698873094833E-2</v>
      </c>
      <c r="GR80" s="15">
        <f>((GN80*GN80)/(AR80*GL80*GL80)+(GK80*GK80)/(AR80*GI80*GI80))</f>
        <v>1.106564E-2</v>
      </c>
      <c r="GT80" s="15">
        <f t="shared" si="102"/>
        <v>30.062041737168649</v>
      </c>
      <c r="GU80" s="15">
        <f t="shared" si="103"/>
        <v>1.5031020868584326</v>
      </c>
      <c r="GV80" s="15">
        <f>GU80*SQRT(AR80)</f>
        <v>3.0062041737168652</v>
      </c>
      <c r="GW80" s="15">
        <f>(2.38+0.648+0.519)*100/5.767</f>
        <v>61.505115311253682</v>
      </c>
      <c r="GX80" s="15">
        <f t="shared" si="104"/>
        <v>3.0752557655626842</v>
      </c>
      <c r="GY80" s="15">
        <f>GX80*SQRT(AR80)</f>
        <v>6.1505115311253684</v>
      </c>
      <c r="GZ80" s="15">
        <f t="shared" si="105"/>
        <v>2.0459393892467683</v>
      </c>
      <c r="HA80" s="15">
        <f t="shared" si="106"/>
        <v>31.443073574085034</v>
      </c>
      <c r="HB80" s="15">
        <f t="shared" si="107"/>
        <v>0.71585704306657227</v>
      </c>
      <c r="HC80" s="15">
        <f>((GY80*GY80)/(AR80*GW80*GW80)+(GV80*GV80)/(AR80*GT80*GT80))</f>
        <v>5.000000000000001E-3</v>
      </c>
      <c r="HE80" s="15">
        <v>5.92</v>
      </c>
      <c r="HF80" s="15">
        <f t="shared" si="108"/>
        <v>9.4719999999999999E-2</v>
      </c>
      <c r="HG80" s="15">
        <f>HF80*SQRT(AR80)</f>
        <v>0.18944</v>
      </c>
      <c r="HH80" s="15">
        <v>60.5</v>
      </c>
      <c r="HI80" s="15">
        <f t="shared" si="109"/>
        <v>4.4830499999999995</v>
      </c>
      <c r="HJ80" s="15">
        <f>HI80*SQRT(AR80)</f>
        <v>8.9660999999999991</v>
      </c>
      <c r="HK80" s="15">
        <f t="shared" si="89"/>
        <v>10.219594594594595</v>
      </c>
      <c r="HL80" s="15">
        <f t="shared" si="90"/>
        <v>54.58</v>
      </c>
      <c r="HM80" s="15">
        <f t="shared" si="91"/>
        <v>2.3243069161408814</v>
      </c>
      <c r="HN80" s="15">
        <f>((HJ80*HJ80)/(AR80*HH80*HH80)+(HG80*HG80)/(AR80*HE80*HE80))</f>
        <v>5.7468099999999998E-3</v>
      </c>
      <c r="HP80" s="15" t="s">
        <v>809</v>
      </c>
      <c r="HV80" s="15">
        <f t="shared" si="92"/>
        <v>193.60610118871432</v>
      </c>
      <c r="HW80" s="15">
        <f t="shared" si="93"/>
        <v>2.3243069161408814</v>
      </c>
      <c r="HX80" s="15">
        <f>CA80</f>
        <v>45000</v>
      </c>
      <c r="HY80" s="15">
        <f>BY80</f>
        <v>22500</v>
      </c>
      <c r="HZ80" s="15">
        <f>BZ80</f>
        <v>20.454545454545453</v>
      </c>
      <c r="IA80" s="15">
        <f>CA80</f>
        <v>45000</v>
      </c>
    </row>
    <row r="81" spans="1:235" s="15" customFormat="1" x14ac:dyDescent="0.25">
      <c r="A81" s="31">
        <v>79</v>
      </c>
      <c r="B81" s="1">
        <v>16</v>
      </c>
      <c r="C81" s="1">
        <v>16</v>
      </c>
      <c r="D81" s="15" t="s">
        <v>44</v>
      </c>
      <c r="E81" s="1">
        <v>4</v>
      </c>
      <c r="F81" s="15" t="s">
        <v>762</v>
      </c>
      <c r="G81" s="15" t="s">
        <v>758</v>
      </c>
      <c r="H81" s="15" t="s">
        <v>759</v>
      </c>
      <c r="I81" s="1">
        <v>2020</v>
      </c>
      <c r="J81" s="15" t="s">
        <v>757</v>
      </c>
      <c r="K81" s="1"/>
      <c r="L81" s="15" t="s">
        <v>765</v>
      </c>
      <c r="M81" s="15" t="s">
        <v>764</v>
      </c>
      <c r="N81" s="15" t="s">
        <v>23</v>
      </c>
      <c r="O81" s="31">
        <v>2</v>
      </c>
      <c r="P81" s="15">
        <v>23.17</v>
      </c>
      <c r="Q81" s="15">
        <v>92</v>
      </c>
      <c r="S81" s="15">
        <v>3031</v>
      </c>
      <c r="T81" s="15">
        <v>23.8</v>
      </c>
      <c r="U81" s="15" t="s">
        <v>807</v>
      </c>
      <c r="V81" s="31">
        <v>2</v>
      </c>
      <c r="W81" s="16"/>
      <c r="X81" s="15" t="s">
        <v>731</v>
      </c>
      <c r="Y81" s="1">
        <v>12</v>
      </c>
      <c r="Z81" s="15">
        <v>5.45</v>
      </c>
      <c r="AA81" s="15" t="s">
        <v>574</v>
      </c>
      <c r="AB81" s="15">
        <f t="shared" si="68"/>
        <v>5.45</v>
      </c>
      <c r="AC81" s="1">
        <v>3</v>
      </c>
      <c r="AD81" s="15">
        <v>0.13</v>
      </c>
      <c r="AM81" s="1">
        <v>2</v>
      </c>
      <c r="AQ81" s="1"/>
      <c r="AR81" s="1">
        <v>4</v>
      </c>
      <c r="BF81" s="15">
        <v>8.44</v>
      </c>
      <c r="BG81" s="15" t="s">
        <v>770</v>
      </c>
      <c r="BP81" s="16"/>
      <c r="BQ81" s="16"/>
      <c r="BR81" s="16"/>
      <c r="BS81" s="15">
        <v>15</v>
      </c>
      <c r="BT81" s="15">
        <f>BS81*2250</f>
        <v>33750</v>
      </c>
      <c r="BU81" s="15" t="s">
        <v>766</v>
      </c>
      <c r="BW81" s="15">
        <f>BS81*187.5/1000</f>
        <v>2.8125</v>
      </c>
      <c r="BX81" s="15">
        <f>BW81/2</f>
        <v>1.40625</v>
      </c>
      <c r="BY81" s="15">
        <f>BT81</f>
        <v>33750</v>
      </c>
      <c r="BZ81" s="15">
        <f>BY81/1.1/1000</f>
        <v>30.68181818181818</v>
      </c>
      <c r="CA81" s="15">
        <f>BY81*2</f>
        <v>67500</v>
      </c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>
        <f t="shared" si="69"/>
        <v>5.46</v>
      </c>
      <c r="FL81" s="16">
        <f t="shared" si="70"/>
        <v>6.39</v>
      </c>
      <c r="FM81" s="15">
        <v>5.46</v>
      </c>
      <c r="FN81" s="15">
        <f t="shared" si="94"/>
        <v>3.2759999999999998E-3</v>
      </c>
      <c r="FO81" s="15">
        <f>FN81*SQRT(AR81)</f>
        <v>6.5519999999999997E-3</v>
      </c>
      <c r="FP81" s="15">
        <v>6.39</v>
      </c>
      <c r="FQ81" s="15">
        <f t="shared" si="95"/>
        <v>3.8339999999999993E-3</v>
      </c>
      <c r="FR81" s="15">
        <f>FQ81*SQRT(AR81)</f>
        <v>7.6679999999999986E-3</v>
      </c>
      <c r="FS81" s="15">
        <f t="shared" si="76"/>
        <v>1.1703296703296702</v>
      </c>
      <c r="FT81" s="15">
        <f t="shared" si="77"/>
        <v>0.92999999999999972</v>
      </c>
      <c r="FU81" s="15">
        <f t="shared" si="78"/>
        <v>0.15728547863262987</v>
      </c>
      <c r="FV81" s="15">
        <f>((FR81*FR81)/(AR81*FP81*FP81)+(FO81*FO81)/(AR81*FM81*FM81))</f>
        <v>7.1999999999999988E-7</v>
      </c>
      <c r="GI81" s="15">
        <f t="shared" si="96"/>
        <v>5.319</v>
      </c>
      <c r="GJ81" s="15">
        <f t="shared" si="97"/>
        <v>0.52764480000000002</v>
      </c>
      <c r="GK81" s="15">
        <f>GJ81*SQRT(AR81)</f>
        <v>1.0552896</v>
      </c>
      <c r="GL81" s="15">
        <f>1.77+2.83+0.805+0.645</f>
        <v>6.0499999999999989</v>
      </c>
      <c r="GM81" s="15">
        <f t="shared" si="98"/>
        <v>0.21174999999999999</v>
      </c>
      <c r="GN81" s="15">
        <f>GM81*SQRT(AR81)</f>
        <v>0.42349999999999999</v>
      </c>
      <c r="GO81" s="15">
        <f t="shared" si="99"/>
        <v>1.1374318480917465</v>
      </c>
      <c r="GP81" s="15">
        <f t="shared" si="100"/>
        <v>0.73099999999999898</v>
      </c>
      <c r="GQ81" s="15">
        <f t="shared" si="101"/>
        <v>0.12877295628256924</v>
      </c>
      <c r="GR81" s="15">
        <f>((GN81*GN81)/(AR81*GL81*GL81)+(GK81*GK81)/(AR81*GI81*GI81))</f>
        <v>1.106564E-2</v>
      </c>
      <c r="GT81" s="15">
        <f t="shared" si="102"/>
        <v>30.062041737168649</v>
      </c>
      <c r="GU81" s="15">
        <f t="shared" si="103"/>
        <v>1.5031020868584326</v>
      </c>
      <c r="GV81" s="15">
        <f>GU81*SQRT(AR81)</f>
        <v>3.0062041737168652</v>
      </c>
      <c r="GW81" s="15">
        <f>(2.83+0.805+0.645)*100/6.05</f>
        <v>70.743801652892557</v>
      </c>
      <c r="GX81" s="15">
        <f t="shared" si="104"/>
        <v>3.5371900826446279</v>
      </c>
      <c r="GY81" s="15">
        <f>GX81*SQRT(AR81)</f>
        <v>7.0743801652892557</v>
      </c>
      <c r="GZ81" s="15">
        <f t="shared" si="105"/>
        <v>2.3532600437256748</v>
      </c>
      <c r="HA81" s="15">
        <f t="shared" si="106"/>
        <v>40.681759915723909</v>
      </c>
      <c r="HB81" s="15">
        <f t="shared" si="107"/>
        <v>0.8558016194593181</v>
      </c>
      <c r="HC81" s="15">
        <f>((GY81*GY81)/(AR81*GW81*GW81)+(GV81*GV81)/(AR81*GT81*GT81))</f>
        <v>5.000000000000001E-3</v>
      </c>
      <c r="HE81" s="15">
        <v>5.92</v>
      </c>
      <c r="HF81" s="15">
        <f t="shared" si="108"/>
        <v>9.4719999999999999E-2</v>
      </c>
      <c r="HG81" s="15">
        <f>HF81*SQRT(AR81)</f>
        <v>0.18944</v>
      </c>
      <c r="HH81" s="15">
        <v>66.099999999999994</v>
      </c>
      <c r="HI81" s="15">
        <f t="shared" si="109"/>
        <v>4.8980099999999993</v>
      </c>
      <c r="HJ81" s="15">
        <f>HI81*SQRT(AR81)</f>
        <v>9.7960199999999986</v>
      </c>
      <c r="HK81" s="15">
        <f t="shared" si="89"/>
        <v>11.16554054054054</v>
      </c>
      <c r="HL81" s="15">
        <f t="shared" si="90"/>
        <v>60.179999999999993</v>
      </c>
      <c r="HM81" s="15">
        <f t="shared" si="91"/>
        <v>2.4128322979617263</v>
      </c>
      <c r="HN81" s="15">
        <f>((HJ81*HJ81)/(AR81*HH81*HH81)+(HG81*HG81)/(AR81*HE81*HE81))</f>
        <v>5.7468099999999998E-3</v>
      </c>
      <c r="HP81" s="15" t="s">
        <v>809</v>
      </c>
      <c r="HV81" s="15">
        <f t="shared" si="92"/>
        <v>279.75421274417442</v>
      </c>
      <c r="HW81" s="15">
        <f t="shared" si="93"/>
        <v>2.4128322979617263</v>
      </c>
      <c r="HX81" s="15">
        <f>CA81</f>
        <v>67500</v>
      </c>
      <c r="HY81" s="15">
        <f>BY81</f>
        <v>33750</v>
      </c>
      <c r="HZ81" s="15">
        <f>BZ81</f>
        <v>30.68181818181818</v>
      </c>
      <c r="IA81" s="15">
        <f>CA81</f>
        <v>67500</v>
      </c>
    </row>
    <row r="82" spans="1:235" s="15" customFormat="1" x14ac:dyDescent="0.25">
      <c r="A82" s="31">
        <v>80</v>
      </c>
      <c r="B82" s="1">
        <v>16</v>
      </c>
      <c r="C82" s="1">
        <v>16</v>
      </c>
      <c r="D82" s="15" t="s">
        <v>45</v>
      </c>
      <c r="E82" s="1">
        <v>2</v>
      </c>
      <c r="F82" s="15" t="s">
        <v>763</v>
      </c>
      <c r="G82" s="15" t="s">
        <v>758</v>
      </c>
      <c r="H82" s="15" t="s">
        <v>759</v>
      </c>
      <c r="I82" s="1">
        <v>2020</v>
      </c>
      <c r="J82" s="15" t="s">
        <v>757</v>
      </c>
      <c r="K82" s="1"/>
      <c r="L82" s="15" t="s">
        <v>765</v>
      </c>
      <c r="M82" s="15" t="s">
        <v>764</v>
      </c>
      <c r="N82" s="15" t="s">
        <v>23</v>
      </c>
      <c r="O82" s="31">
        <v>2</v>
      </c>
      <c r="P82" s="15">
        <v>23.17</v>
      </c>
      <c r="Q82" s="15">
        <v>92</v>
      </c>
      <c r="S82" s="15">
        <v>3031</v>
      </c>
      <c r="T82" s="15">
        <v>23.8</v>
      </c>
      <c r="U82" s="15" t="s">
        <v>807</v>
      </c>
      <c r="V82" s="31">
        <v>2</v>
      </c>
      <c r="W82" s="16"/>
      <c r="X82" s="15" t="s">
        <v>731</v>
      </c>
      <c r="Y82" s="1">
        <v>12</v>
      </c>
      <c r="Z82" s="15">
        <v>5.45</v>
      </c>
      <c r="AA82" s="15" t="s">
        <v>574</v>
      </c>
      <c r="AB82" s="15">
        <f t="shared" si="68"/>
        <v>5.45</v>
      </c>
      <c r="AC82" s="1">
        <v>3</v>
      </c>
      <c r="AD82" s="15">
        <v>0.13</v>
      </c>
      <c r="AM82" s="1">
        <v>2</v>
      </c>
      <c r="AQ82" s="1"/>
      <c r="AR82" s="1">
        <v>4</v>
      </c>
      <c r="BP82" s="16"/>
      <c r="BQ82" s="16"/>
      <c r="BR82" s="16"/>
      <c r="BU82" s="16"/>
      <c r="CC82" s="15" t="s">
        <v>768</v>
      </c>
      <c r="CE82" s="15">
        <v>0.5</v>
      </c>
      <c r="CF82" s="15">
        <f>CE82*22500</f>
        <v>11250</v>
      </c>
      <c r="CG82" s="15" t="s">
        <v>766</v>
      </c>
      <c r="CH82" s="15">
        <v>9.89</v>
      </c>
      <c r="CI82" s="15" t="s">
        <v>769</v>
      </c>
      <c r="CK82" s="15">
        <v>234.5</v>
      </c>
      <c r="CL82" s="15">
        <v>23.8</v>
      </c>
      <c r="CN82" s="15">
        <v>7.67</v>
      </c>
      <c r="CP82" s="15">
        <v>12.13</v>
      </c>
      <c r="CQ82" s="15">
        <v>10.57</v>
      </c>
      <c r="CR82" s="15">
        <v>33.25</v>
      </c>
      <c r="CT82" s="15">
        <v>0.53</v>
      </c>
      <c r="CU82" s="16">
        <f>60.6+88+85.26</f>
        <v>233.86</v>
      </c>
      <c r="CY82" s="25">
        <f>CF82</f>
        <v>11250</v>
      </c>
      <c r="CZ82" s="25">
        <f>CY82/0.78/1000</f>
        <v>14.423076923076922</v>
      </c>
      <c r="DA82" s="25">
        <f>CY82*3</f>
        <v>33750</v>
      </c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>
        <f t="shared" si="69"/>
        <v>5.46</v>
      </c>
      <c r="FL82" s="16">
        <f t="shared" si="70"/>
        <v>5.76</v>
      </c>
      <c r="FM82" s="15">
        <v>5.46</v>
      </c>
      <c r="FN82" s="15">
        <f t="shared" si="94"/>
        <v>3.2759999999999998E-3</v>
      </c>
      <c r="FO82" s="15">
        <f>FN82*SQRT(AR82)</f>
        <v>6.5519999999999997E-3</v>
      </c>
      <c r="FP82" s="15">
        <v>5.76</v>
      </c>
      <c r="FQ82" s="15">
        <f t="shared" si="95"/>
        <v>3.4559999999999994E-3</v>
      </c>
      <c r="FR82" s="15">
        <f>FQ82*SQRT(AR82)</f>
        <v>6.9119999999999989E-3</v>
      </c>
      <c r="FS82" s="15">
        <f t="shared" si="76"/>
        <v>1.054945054945055</v>
      </c>
      <c r="FT82" s="15">
        <f t="shared" si="77"/>
        <v>0.29999999999999982</v>
      </c>
      <c r="FU82" s="15">
        <f t="shared" si="78"/>
        <v>5.3488684950986354E-2</v>
      </c>
      <c r="FV82" s="15">
        <f>((FR82*FR82)/(AR82*FP82*FP82)+(FO82*FO82)/(AR82*FM82*FM82))</f>
        <v>7.1999999999999988E-7</v>
      </c>
      <c r="GI82" s="15">
        <f t="shared" si="96"/>
        <v>5.319</v>
      </c>
      <c r="GJ82" s="15">
        <f t="shared" si="97"/>
        <v>0.52764480000000002</v>
      </c>
      <c r="GK82" s="15">
        <f>GJ82*SQRT(AR82)</f>
        <v>1.0552896</v>
      </c>
      <c r="GL82" s="15">
        <f>1.89+1.89+0.599+0.481</f>
        <v>4.8599999999999994</v>
      </c>
      <c r="GM82" s="15">
        <f t="shared" si="98"/>
        <v>0.1701</v>
      </c>
      <c r="GN82" s="15">
        <f>GM82*SQRT(AR82)</f>
        <v>0.3402</v>
      </c>
      <c r="GO82" s="15">
        <f t="shared" si="99"/>
        <v>0.91370558375634503</v>
      </c>
      <c r="GP82" s="15">
        <f t="shared" si="100"/>
        <v>-0.45900000000000052</v>
      </c>
      <c r="GQ82" s="15">
        <f t="shared" si="101"/>
        <v>-9.0246877847778295E-2</v>
      </c>
      <c r="GR82" s="15">
        <f>((GN82*GN82)/(AR82*GL82*GL82)+(GK82*GK82)/(AR82*GI82*GI82))</f>
        <v>1.106564E-2</v>
      </c>
      <c r="GT82" s="15">
        <f t="shared" si="102"/>
        <v>30.062041737168649</v>
      </c>
      <c r="GU82" s="15">
        <f t="shared" si="103"/>
        <v>1.5031020868584326</v>
      </c>
      <c r="GV82" s="15">
        <f>GU82*SQRT(AR82)</f>
        <v>3.0062041737168652</v>
      </c>
      <c r="GW82" s="15">
        <f>(1.89+0.599+0.481)*100/4.86</f>
        <v>61.111111111111107</v>
      </c>
      <c r="GX82" s="15">
        <f t="shared" si="104"/>
        <v>3.0555555555555554</v>
      </c>
      <c r="GY82" s="15">
        <f>GX82*SQRT(AR82)</f>
        <v>6.1111111111111107</v>
      </c>
      <c r="GZ82" s="15">
        <f t="shared" si="105"/>
        <v>2.0328330206378982</v>
      </c>
      <c r="HA82" s="15">
        <f t="shared" si="106"/>
        <v>31.049069373942459</v>
      </c>
      <c r="HB82" s="15">
        <f t="shared" si="107"/>
        <v>0.70943039681056863</v>
      </c>
      <c r="HC82" s="15">
        <f>((GY82*GY82)/(AR82*GW82*GW82)+(GV82*GV82)/(AR82*GT82*GT82))</f>
        <v>5.000000000000001E-3</v>
      </c>
      <c r="HE82" s="15">
        <v>5.92</v>
      </c>
      <c r="HF82" s="15">
        <f t="shared" si="108"/>
        <v>9.4719999999999999E-2</v>
      </c>
      <c r="HG82" s="15">
        <f>HF82*SQRT(AR82)</f>
        <v>0.18944</v>
      </c>
      <c r="HH82" s="15">
        <v>72.900000000000006</v>
      </c>
      <c r="HI82" s="15">
        <f t="shared" si="109"/>
        <v>5.4018900000000007</v>
      </c>
      <c r="HJ82" s="15">
        <f>HI82*SQRT(AR82)</f>
        <v>10.803780000000001</v>
      </c>
      <c r="HK82" s="15">
        <f t="shared" si="89"/>
        <v>12.314189189189189</v>
      </c>
      <c r="HL82" s="15">
        <f t="shared" si="90"/>
        <v>66.98</v>
      </c>
      <c r="HM82" s="15">
        <f t="shared" si="91"/>
        <v>2.5107521901186978</v>
      </c>
      <c r="HN82" s="15">
        <f>((HJ82*HJ82)/(AR82*HH82*HH82)+(HG82*HG82)/(AR82*HE82*HE82))</f>
        <v>5.7468100000000006E-3</v>
      </c>
      <c r="HP82" s="15" t="s">
        <v>809</v>
      </c>
      <c r="HV82" s="15">
        <f t="shared" si="92"/>
        <v>134.4218682067721</v>
      </c>
      <c r="HW82" s="15">
        <f t="shared" si="93"/>
        <v>2.5107521901186978</v>
      </c>
      <c r="HX82" s="25">
        <f>DA82</f>
        <v>33750</v>
      </c>
      <c r="HY82" s="25">
        <f>CY82</f>
        <v>11250</v>
      </c>
      <c r="HZ82" s="25">
        <f>CZ82</f>
        <v>14.423076923076922</v>
      </c>
      <c r="IA82" s="25">
        <f>DA82</f>
        <v>33750</v>
      </c>
    </row>
    <row r="83" spans="1:235" s="15" customFormat="1" x14ac:dyDescent="0.25">
      <c r="A83" s="31">
        <v>81</v>
      </c>
      <c r="B83" s="1">
        <v>16</v>
      </c>
      <c r="C83" s="1">
        <v>16</v>
      </c>
      <c r="D83" s="15" t="s">
        <v>46</v>
      </c>
      <c r="E83" s="1">
        <v>2</v>
      </c>
      <c r="F83" s="15" t="s">
        <v>763</v>
      </c>
      <c r="G83" s="15" t="s">
        <v>758</v>
      </c>
      <c r="H83" s="15" t="s">
        <v>759</v>
      </c>
      <c r="I83" s="1">
        <v>2020</v>
      </c>
      <c r="J83" s="15" t="s">
        <v>757</v>
      </c>
      <c r="K83" s="1"/>
      <c r="L83" s="15" t="s">
        <v>765</v>
      </c>
      <c r="M83" s="15" t="s">
        <v>764</v>
      </c>
      <c r="N83" s="15" t="s">
        <v>23</v>
      </c>
      <c r="O83" s="31">
        <v>2</v>
      </c>
      <c r="P83" s="15">
        <v>23.17</v>
      </c>
      <c r="Q83" s="15">
        <v>92</v>
      </c>
      <c r="S83" s="15">
        <v>3031</v>
      </c>
      <c r="T83" s="15">
        <v>23.8</v>
      </c>
      <c r="U83" s="15" t="s">
        <v>807</v>
      </c>
      <c r="V83" s="31">
        <v>2</v>
      </c>
      <c r="W83" s="16"/>
      <c r="X83" s="15" t="s">
        <v>731</v>
      </c>
      <c r="Y83" s="1">
        <v>12</v>
      </c>
      <c r="Z83" s="15">
        <v>5.45</v>
      </c>
      <c r="AA83" s="15" t="s">
        <v>574</v>
      </c>
      <c r="AB83" s="15">
        <f t="shared" si="68"/>
        <v>5.45</v>
      </c>
      <c r="AC83" s="1">
        <v>3</v>
      </c>
      <c r="AD83" s="15">
        <v>0.13</v>
      </c>
      <c r="AM83" s="1">
        <v>2</v>
      </c>
      <c r="AQ83" s="1"/>
      <c r="AR83" s="1">
        <v>4</v>
      </c>
      <c r="BP83" s="16"/>
      <c r="BQ83" s="16"/>
      <c r="BR83" s="16"/>
      <c r="BU83" s="16"/>
      <c r="CC83" s="15" t="s">
        <v>768</v>
      </c>
      <c r="CE83" s="15">
        <v>1</v>
      </c>
      <c r="CF83" s="15">
        <f>CE83*22500</f>
        <v>22500</v>
      </c>
      <c r="CG83" s="15" t="s">
        <v>766</v>
      </c>
      <c r="CH83" s="15">
        <v>9.89</v>
      </c>
      <c r="CI83" s="15" t="s">
        <v>769</v>
      </c>
      <c r="CK83" s="15">
        <v>234.5</v>
      </c>
      <c r="CL83" s="15">
        <v>23.8</v>
      </c>
      <c r="CN83" s="15">
        <v>7.67</v>
      </c>
      <c r="CP83" s="15">
        <v>12.13</v>
      </c>
      <c r="CQ83" s="15">
        <v>10.57</v>
      </c>
      <c r="CR83" s="15">
        <v>33.25</v>
      </c>
      <c r="CT83" s="15">
        <v>0.53</v>
      </c>
      <c r="CU83" s="16">
        <f>60.6+88+85.26</f>
        <v>233.86</v>
      </c>
      <c r="CY83" s="25">
        <f>CF83</f>
        <v>22500</v>
      </c>
      <c r="CZ83" s="25">
        <f>CY83/0.78/1000</f>
        <v>28.846153846153843</v>
      </c>
      <c r="DA83" s="25">
        <f>CY83*3</f>
        <v>67500</v>
      </c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>
        <f t="shared" si="69"/>
        <v>5.46</v>
      </c>
      <c r="FL83" s="16">
        <f t="shared" si="70"/>
        <v>6.16</v>
      </c>
      <c r="FM83" s="15">
        <v>5.46</v>
      </c>
      <c r="FN83" s="15">
        <f t="shared" si="94"/>
        <v>3.2759999999999998E-3</v>
      </c>
      <c r="FO83" s="15">
        <f>FN83*SQRT(AR83)</f>
        <v>6.5519999999999997E-3</v>
      </c>
      <c r="FP83" s="15">
        <v>6.16</v>
      </c>
      <c r="FQ83" s="15">
        <f t="shared" si="95"/>
        <v>3.6959999999999996E-3</v>
      </c>
      <c r="FR83" s="15">
        <f>FQ83*SQRT(AR83)</f>
        <v>7.3919999999999993E-3</v>
      </c>
      <c r="FS83" s="15">
        <f t="shared" si="76"/>
        <v>1.1282051282051282</v>
      </c>
      <c r="FT83" s="15">
        <f t="shared" si="77"/>
        <v>0.70000000000000018</v>
      </c>
      <c r="FU83" s="15">
        <f t="shared" si="78"/>
        <v>0.12062798778861494</v>
      </c>
      <c r="FV83" s="15">
        <f>((FR83*FR83)/(AR83*FP83*FP83)+(FO83*FO83)/(AR83*FM83*FM83))</f>
        <v>7.1999999999999988E-7</v>
      </c>
      <c r="GI83" s="15">
        <f t="shared" si="96"/>
        <v>5.319</v>
      </c>
      <c r="GJ83" s="15">
        <f t="shared" si="97"/>
        <v>0.52764480000000002</v>
      </c>
      <c r="GK83" s="15">
        <f>GJ83*SQRT(AR83)</f>
        <v>1.0552896</v>
      </c>
      <c r="GL83" s="15">
        <f>1.53+2.35+0.883+0.707</f>
        <v>5.47</v>
      </c>
      <c r="GM83" s="15">
        <f t="shared" si="98"/>
        <v>0.19145000000000001</v>
      </c>
      <c r="GN83" s="15">
        <f>GM83*SQRT(AR83)</f>
        <v>0.38290000000000002</v>
      </c>
      <c r="GO83" s="15">
        <f t="shared" si="99"/>
        <v>1.0283887948862567</v>
      </c>
      <c r="GP83" s="15">
        <f t="shared" si="100"/>
        <v>0.1509999999999998</v>
      </c>
      <c r="GQ83" s="15">
        <f t="shared" si="101"/>
        <v>2.7993300673709198E-2</v>
      </c>
      <c r="GR83" s="15">
        <f>((GN83*GN83)/(AR83*GL83*GL83)+(GK83*GK83)/(AR83*GI83*GI83))</f>
        <v>1.106564E-2</v>
      </c>
      <c r="GT83" s="15">
        <f t="shared" si="102"/>
        <v>30.062041737168649</v>
      </c>
      <c r="GU83" s="15">
        <f t="shared" si="103"/>
        <v>1.5031020868584326</v>
      </c>
      <c r="GV83" s="15">
        <f>GU83*SQRT(AR83)</f>
        <v>3.0062041737168652</v>
      </c>
      <c r="GW83" s="15">
        <f>(2.35+0.883+0.707)*100/5.47</f>
        <v>72.029250457038401</v>
      </c>
      <c r="GX83" s="15">
        <f t="shared" si="104"/>
        <v>3.6014625228519201</v>
      </c>
      <c r="GY83" s="15">
        <f>GX83*SQRT(AR83)</f>
        <v>7.2029250457038403</v>
      </c>
      <c r="GZ83" s="15">
        <f t="shared" si="105"/>
        <v>2.3960199073232467</v>
      </c>
      <c r="HA83" s="15">
        <f t="shared" si="106"/>
        <v>41.967208719869753</v>
      </c>
      <c r="HB83" s="15">
        <f t="shared" si="107"/>
        <v>0.87380898878431612</v>
      </c>
      <c r="HC83" s="15">
        <f>((GY83*GY83)/(AR83*GW83*GW83)+(GV83*GV83)/(AR83*GT83*GT83))</f>
        <v>5.000000000000001E-3</v>
      </c>
      <c r="HE83" s="15">
        <v>5.92</v>
      </c>
      <c r="HF83" s="15">
        <f t="shared" si="108"/>
        <v>9.4719999999999999E-2</v>
      </c>
      <c r="HG83" s="15">
        <f>HF83*SQRT(AR83)</f>
        <v>0.18944</v>
      </c>
      <c r="HH83" s="15">
        <v>70.599999999999994</v>
      </c>
      <c r="HI83" s="15">
        <f t="shared" si="109"/>
        <v>5.2314599999999993</v>
      </c>
      <c r="HJ83" s="15">
        <f>HI83*SQRT(AR83)</f>
        <v>10.462919999999999</v>
      </c>
      <c r="HK83" s="15">
        <f t="shared" si="89"/>
        <v>11.925675675675675</v>
      </c>
      <c r="HL83" s="15">
        <f t="shared" si="90"/>
        <v>64.679999999999993</v>
      </c>
      <c r="HM83" s="15">
        <f t="shared" si="91"/>
        <v>2.4786936956032815</v>
      </c>
      <c r="HN83" s="15">
        <f>((HJ83*HJ83)/(AR83*HH83*HH83)+(HG83*HG83)/(AR83*HE83*HE83))</f>
        <v>5.7468099999999998E-3</v>
      </c>
      <c r="HP83" s="15" t="s">
        <v>809</v>
      </c>
      <c r="HV83" s="15">
        <f t="shared" si="92"/>
        <v>272.32086045860291</v>
      </c>
      <c r="HW83" s="15">
        <f t="shared" si="93"/>
        <v>2.4786936956032815</v>
      </c>
      <c r="HX83" s="25">
        <f>DA83</f>
        <v>67500</v>
      </c>
      <c r="HY83" s="25">
        <f>CY83</f>
        <v>22500</v>
      </c>
      <c r="HZ83" s="25">
        <f>CZ83</f>
        <v>28.846153846153843</v>
      </c>
      <c r="IA83" s="25">
        <f>DA83</f>
        <v>67500</v>
      </c>
    </row>
    <row r="84" spans="1:235" s="15" customFormat="1" x14ac:dyDescent="0.25">
      <c r="A84" s="31">
        <v>82</v>
      </c>
      <c r="B84" s="1">
        <v>16</v>
      </c>
      <c r="C84" s="1">
        <v>16</v>
      </c>
      <c r="D84" s="15" t="s">
        <v>47</v>
      </c>
      <c r="E84" s="1">
        <v>2</v>
      </c>
      <c r="F84" s="15" t="s">
        <v>763</v>
      </c>
      <c r="G84" s="15" t="s">
        <v>758</v>
      </c>
      <c r="H84" s="15" t="s">
        <v>759</v>
      </c>
      <c r="I84" s="1">
        <v>2020</v>
      </c>
      <c r="J84" s="15" t="s">
        <v>757</v>
      </c>
      <c r="K84" s="1"/>
      <c r="L84" s="15" t="s">
        <v>765</v>
      </c>
      <c r="M84" s="15" t="s">
        <v>764</v>
      </c>
      <c r="N84" s="15" t="s">
        <v>23</v>
      </c>
      <c r="O84" s="31">
        <v>2</v>
      </c>
      <c r="P84" s="15">
        <v>23.17</v>
      </c>
      <c r="Q84" s="15">
        <v>92</v>
      </c>
      <c r="S84" s="15">
        <v>3031</v>
      </c>
      <c r="T84" s="15">
        <v>23.8</v>
      </c>
      <c r="U84" s="15" t="s">
        <v>807</v>
      </c>
      <c r="V84" s="31">
        <v>2</v>
      </c>
      <c r="W84" s="16"/>
      <c r="X84" s="15" t="s">
        <v>731</v>
      </c>
      <c r="Y84" s="1">
        <v>12</v>
      </c>
      <c r="Z84" s="15">
        <v>5.45</v>
      </c>
      <c r="AA84" s="15" t="s">
        <v>574</v>
      </c>
      <c r="AB84" s="15">
        <f t="shared" si="68"/>
        <v>5.45</v>
      </c>
      <c r="AC84" s="1">
        <v>3</v>
      </c>
      <c r="AD84" s="15">
        <v>0.13</v>
      </c>
      <c r="AM84" s="1">
        <v>2</v>
      </c>
      <c r="AQ84" s="1"/>
      <c r="AR84" s="1">
        <v>4</v>
      </c>
      <c r="BP84" s="16"/>
      <c r="BQ84" s="16"/>
      <c r="BR84" s="16"/>
      <c r="BU84" s="16"/>
      <c r="CC84" s="15" t="s">
        <v>768</v>
      </c>
      <c r="CE84" s="15">
        <v>1.5</v>
      </c>
      <c r="CF84" s="15">
        <f>CE84*22500</f>
        <v>33750</v>
      </c>
      <c r="CG84" s="15" t="s">
        <v>766</v>
      </c>
      <c r="CH84" s="15">
        <v>9.89</v>
      </c>
      <c r="CI84" s="15" t="s">
        <v>769</v>
      </c>
      <c r="CK84" s="15">
        <v>234.5</v>
      </c>
      <c r="CL84" s="15">
        <v>23.8</v>
      </c>
      <c r="CN84" s="15">
        <v>7.67</v>
      </c>
      <c r="CP84" s="15">
        <v>12.13</v>
      </c>
      <c r="CQ84" s="15">
        <v>10.57</v>
      </c>
      <c r="CR84" s="15">
        <v>33.25</v>
      </c>
      <c r="CT84" s="15">
        <v>0.53</v>
      </c>
      <c r="CU84" s="16">
        <f>60.6+88+85.26</f>
        <v>233.86</v>
      </c>
      <c r="CY84" s="25">
        <f>CF84</f>
        <v>33750</v>
      </c>
      <c r="CZ84" s="25">
        <f>CY84/0.78/1000</f>
        <v>43.269230769230766</v>
      </c>
      <c r="DA84" s="25">
        <f>CY84*3</f>
        <v>101250</v>
      </c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>
        <f t="shared" si="69"/>
        <v>5.46</v>
      </c>
      <c r="FL84" s="16">
        <f t="shared" si="70"/>
        <v>6.66</v>
      </c>
      <c r="FM84" s="15">
        <v>5.46</v>
      </c>
      <c r="FN84" s="15">
        <f t="shared" si="94"/>
        <v>3.2759999999999998E-3</v>
      </c>
      <c r="FO84" s="15">
        <f>FN84*SQRT(AR84)</f>
        <v>6.5519999999999997E-3</v>
      </c>
      <c r="FP84" s="15">
        <v>6.66</v>
      </c>
      <c r="FQ84" s="15">
        <f t="shared" si="95"/>
        <v>3.9959999999999996E-3</v>
      </c>
      <c r="FR84" s="15">
        <f>FQ84*SQRT(AR84)</f>
        <v>7.9919999999999991E-3</v>
      </c>
      <c r="FS84" s="15">
        <f t="shared" si="76"/>
        <v>1.2197802197802199</v>
      </c>
      <c r="FT84" s="15">
        <f t="shared" si="77"/>
        <v>1.2000000000000002</v>
      </c>
      <c r="FU84" s="15">
        <f t="shared" si="78"/>
        <v>0.19867069479548416</v>
      </c>
      <c r="FV84" s="15">
        <f>((FR84*FR84)/(AR84*FP84*FP84)+(FO84*FO84)/(AR84*FM84*FM84))</f>
        <v>7.1999999999999988E-7</v>
      </c>
      <c r="GI84" s="15">
        <f t="shared" si="96"/>
        <v>5.319</v>
      </c>
      <c r="GJ84" s="15">
        <f t="shared" si="97"/>
        <v>0.52764480000000002</v>
      </c>
      <c r="GK84" s="15">
        <f>GJ84*SQRT(AR84)</f>
        <v>1.0552896</v>
      </c>
      <c r="GL84" s="15">
        <f>1.26+2.79+1.18+0.946</f>
        <v>6.1759999999999993</v>
      </c>
      <c r="GM84" s="15">
        <f t="shared" si="98"/>
        <v>0.21615999999999999</v>
      </c>
      <c r="GN84" s="15">
        <f>GM84*SQRT(AR84)</f>
        <v>0.43231999999999998</v>
      </c>
      <c r="GO84" s="15">
        <f t="shared" si="99"/>
        <v>1.1611205113743184</v>
      </c>
      <c r="GP84" s="15">
        <f t="shared" si="100"/>
        <v>0.85699999999999932</v>
      </c>
      <c r="GQ84" s="15">
        <f t="shared" si="101"/>
        <v>0.14938549696229431</v>
      </c>
      <c r="GR84" s="15">
        <f>((GN84*GN84)/(AR84*GL84*GL84)+(GK84*GK84)/(AR84*GI84*GI84))</f>
        <v>1.106564E-2</v>
      </c>
      <c r="GT84" s="15">
        <f t="shared" si="102"/>
        <v>30.062041737168649</v>
      </c>
      <c r="GU84" s="15">
        <f t="shared" si="103"/>
        <v>1.5031020868584326</v>
      </c>
      <c r="GV84" s="15">
        <f>GU84*SQRT(AR84)</f>
        <v>3.0062041737168652</v>
      </c>
      <c r="GW84" s="15">
        <f>(2.79+1.18+0.946)*100/6.176</f>
        <v>79.598445595854912</v>
      </c>
      <c r="GX84" s="15">
        <f t="shared" si="104"/>
        <v>3.9799222797927456</v>
      </c>
      <c r="GY84" s="15">
        <f>GX84*SQRT(AR84)</f>
        <v>7.9598445595854912</v>
      </c>
      <c r="GZ84" s="15">
        <f t="shared" si="105"/>
        <v>2.647805704342415</v>
      </c>
      <c r="HA84" s="15">
        <f t="shared" si="106"/>
        <v>49.536403858686263</v>
      </c>
      <c r="HB84" s="15">
        <f t="shared" si="107"/>
        <v>0.97373126088967599</v>
      </c>
      <c r="HC84" s="15">
        <f>((GY84*GY84)/(AR84*GW84*GW84)+(GV84*GV84)/(AR84*GT84*GT84))</f>
        <v>5.000000000000001E-3</v>
      </c>
      <c r="HE84" s="15">
        <v>5.92</v>
      </c>
      <c r="HF84" s="15">
        <f t="shared" si="108"/>
        <v>9.4719999999999999E-2</v>
      </c>
      <c r="HG84" s="15">
        <f>HF84*SQRT(AR84)</f>
        <v>0.18944</v>
      </c>
      <c r="HH84" s="15">
        <v>80.7</v>
      </c>
      <c r="HI84" s="15">
        <f t="shared" si="109"/>
        <v>5.97987</v>
      </c>
      <c r="HJ84" s="15">
        <f>HI84*SQRT(AR84)</f>
        <v>11.95974</v>
      </c>
      <c r="HK84" s="15">
        <f t="shared" si="89"/>
        <v>13.631756756756758</v>
      </c>
      <c r="HL84" s="15">
        <f t="shared" si="90"/>
        <v>74.78</v>
      </c>
      <c r="HM84" s="15">
        <f t="shared" si="91"/>
        <v>2.6124021263799886</v>
      </c>
      <c r="HN84" s="15">
        <f>((HJ84*HJ84)/(AR84*HH84*HH84)+(HG84*HG84)/(AR84*HE84*HE84))</f>
        <v>5.7468099999999998E-3</v>
      </c>
      <c r="HP84" s="15" t="s">
        <v>809</v>
      </c>
      <c r="HV84" s="15">
        <f t="shared" si="92"/>
        <v>387.57432853686407</v>
      </c>
      <c r="HW84" s="15">
        <f t="shared" si="93"/>
        <v>2.6124021263799886</v>
      </c>
      <c r="HX84" s="25">
        <f>DA84</f>
        <v>101250</v>
      </c>
      <c r="HY84" s="25">
        <f>CY84</f>
        <v>33750</v>
      </c>
      <c r="HZ84" s="25">
        <f>CZ84</f>
        <v>43.269230769230766</v>
      </c>
      <c r="IA84" s="25">
        <f>DA84</f>
        <v>101250</v>
      </c>
    </row>
    <row r="85" spans="1:235" x14ac:dyDescent="0.25">
      <c r="A85" s="31">
        <v>83</v>
      </c>
      <c r="B85" s="1">
        <v>17</v>
      </c>
      <c r="C85" s="1">
        <v>17</v>
      </c>
      <c r="D85" s="15" t="s">
        <v>48</v>
      </c>
      <c r="E85" s="1">
        <v>1</v>
      </c>
      <c r="F85" s="15" t="s">
        <v>761</v>
      </c>
      <c r="G85" s="15" t="s">
        <v>775</v>
      </c>
      <c r="H85" s="15" t="s">
        <v>788</v>
      </c>
      <c r="I85" s="1">
        <v>2017</v>
      </c>
      <c r="J85" s="23" t="s">
        <v>778</v>
      </c>
      <c r="L85" s="15" t="s">
        <v>779</v>
      </c>
      <c r="M85" s="15" t="s">
        <v>480</v>
      </c>
      <c r="N85" s="15" t="s">
        <v>23</v>
      </c>
      <c r="O85" s="31">
        <v>2</v>
      </c>
      <c r="P85" s="15">
        <v>28.167000000000002</v>
      </c>
      <c r="Q85" s="15">
        <v>113.08669999999999</v>
      </c>
      <c r="U85" s="15" t="s">
        <v>807</v>
      </c>
      <c r="V85" s="31">
        <v>2</v>
      </c>
      <c r="X85" s="15" t="s">
        <v>716</v>
      </c>
      <c r="Y85" s="1">
        <v>4</v>
      </c>
      <c r="Z85" s="15">
        <v>5.4</v>
      </c>
      <c r="AA85" s="15" t="s">
        <v>574</v>
      </c>
      <c r="AB85" s="15">
        <f t="shared" si="68"/>
        <v>5.4</v>
      </c>
      <c r="AC85" s="1">
        <v>3</v>
      </c>
      <c r="AD85" s="15">
        <v>16.8</v>
      </c>
      <c r="AM85" s="1">
        <v>2</v>
      </c>
      <c r="AR85" s="1">
        <v>4</v>
      </c>
      <c r="AT85" s="15" t="s">
        <v>545</v>
      </c>
      <c r="AW85" s="15">
        <v>1125</v>
      </c>
      <c r="AX85" s="15">
        <f>AW85*1.78</f>
        <v>2002.5</v>
      </c>
      <c r="AY85" s="15" t="s">
        <v>766</v>
      </c>
      <c r="AZ85" s="15">
        <f>AX85</f>
        <v>2002.5</v>
      </c>
      <c r="BA85" s="15">
        <f>AZ85/2.93/1000</f>
        <v>0.68344709897610911</v>
      </c>
      <c r="BB85" s="15">
        <f>AZ85*0.6</f>
        <v>1201.5</v>
      </c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EW85" s="18"/>
      <c r="EX85" s="18"/>
      <c r="EY85" s="18"/>
      <c r="FK85" s="16">
        <f t="shared" si="69"/>
        <v>5.4</v>
      </c>
      <c r="FL85" s="16">
        <f t="shared" si="70"/>
        <v>6.35</v>
      </c>
      <c r="FM85" s="15">
        <v>5.4</v>
      </c>
      <c r="FN85" s="15">
        <v>0.02</v>
      </c>
      <c r="FO85" s="15">
        <f>FN85*SQRT(AR85)</f>
        <v>0.04</v>
      </c>
      <c r="FP85" s="15">
        <v>6.35</v>
      </c>
      <c r="FQ85" s="15">
        <v>0.01</v>
      </c>
      <c r="FR85" s="15">
        <f>FQ85*SQRT(AR85)</f>
        <v>0.02</v>
      </c>
      <c r="FS85" s="15">
        <f t="shared" si="76"/>
        <v>1.1759259259259258</v>
      </c>
      <c r="FT85" s="15">
        <f t="shared" si="77"/>
        <v>0.94999999999999929</v>
      </c>
      <c r="FU85" s="15">
        <f t="shared" si="78"/>
        <v>0.16205585933437128</v>
      </c>
      <c r="FV85" s="15">
        <f>((FR85*FR85)/(AR85*FP85*FP85)+(FO85*FO85)/(AR85*FM85*FM85))</f>
        <v>1.619742608483845E-5</v>
      </c>
      <c r="FX85" s="15">
        <v>14.6</v>
      </c>
      <c r="FY85" s="15">
        <v>0.24</v>
      </c>
      <c r="FZ85" s="15">
        <f>FY85*SQRT(AR85)</f>
        <v>0.48</v>
      </c>
      <c r="GA85" s="15">
        <v>9.3000000000000007</v>
      </c>
      <c r="GB85" s="15">
        <v>0.88</v>
      </c>
      <c r="GC85" s="15">
        <f>GB85*SQRT(AR85)</f>
        <v>1.76</v>
      </c>
      <c r="GD85" s="15">
        <f>GA85/FX85</f>
        <v>0.63698630136986312</v>
      </c>
      <c r="GE85" s="15">
        <f>GA85-FX85</f>
        <v>-5.2999999999999989</v>
      </c>
      <c r="GF85" s="15">
        <f>LN(GA85)-LN(FX85)</f>
        <v>-0.45100712855508052</v>
      </c>
      <c r="GG85" s="15">
        <f>((GC85*GC85)/(AR85*GA85*GA85)+(FZ85*FZ85)/(AR85*FX85*FX85))</f>
        <v>9.2238558119141223E-3</v>
      </c>
      <c r="GK85" s="15"/>
      <c r="GN85" s="15"/>
      <c r="GQ85" s="15"/>
      <c r="GR85" s="15"/>
      <c r="HY85" s="15">
        <f>AZ85</f>
        <v>2002.5</v>
      </c>
      <c r="HZ85" s="15">
        <f>BA85</f>
        <v>0.68344709897610911</v>
      </c>
      <c r="IA85" s="15">
        <f>BB85</f>
        <v>1201.5</v>
      </c>
    </row>
    <row r="86" spans="1:235" x14ac:dyDescent="0.25">
      <c r="A86" s="31">
        <v>84</v>
      </c>
      <c r="B86" s="1">
        <v>17</v>
      </c>
      <c r="C86" s="1">
        <v>17</v>
      </c>
      <c r="D86" s="15" t="s">
        <v>49</v>
      </c>
      <c r="E86" s="1">
        <v>1</v>
      </c>
      <c r="F86" s="15" t="s">
        <v>761</v>
      </c>
      <c r="G86" s="15" t="s">
        <v>775</v>
      </c>
      <c r="H86" s="15" t="s">
        <v>788</v>
      </c>
      <c r="I86" s="1">
        <v>2017</v>
      </c>
      <c r="J86" s="23" t="s">
        <v>778</v>
      </c>
      <c r="L86" s="15" t="s">
        <v>779</v>
      </c>
      <c r="M86" s="15" t="s">
        <v>480</v>
      </c>
      <c r="N86" s="15" t="s">
        <v>23</v>
      </c>
      <c r="O86" s="31">
        <v>2</v>
      </c>
      <c r="P86" s="15">
        <v>28.167000000000002</v>
      </c>
      <c r="Q86" s="15">
        <v>113.08669999999999</v>
      </c>
      <c r="U86" s="15" t="s">
        <v>807</v>
      </c>
      <c r="V86" s="31">
        <v>2</v>
      </c>
      <c r="X86" s="15" t="s">
        <v>716</v>
      </c>
      <c r="Y86" s="1">
        <v>4</v>
      </c>
      <c r="Z86" s="15">
        <v>5.4</v>
      </c>
      <c r="AA86" s="15" t="s">
        <v>574</v>
      </c>
      <c r="AB86" s="15">
        <f t="shared" si="68"/>
        <v>5.4</v>
      </c>
      <c r="AC86" s="1">
        <v>3</v>
      </c>
      <c r="AD86" s="15">
        <v>16.8</v>
      </c>
      <c r="AM86" s="1">
        <v>2</v>
      </c>
      <c r="AR86" s="1">
        <v>4</v>
      </c>
      <c r="AT86" s="15" t="s">
        <v>545</v>
      </c>
      <c r="AW86" s="15">
        <v>2250</v>
      </c>
      <c r="AX86" s="15">
        <f>AW86*1.78</f>
        <v>4005</v>
      </c>
      <c r="AY86" s="15" t="s">
        <v>766</v>
      </c>
      <c r="AZ86" s="15">
        <f>AX86</f>
        <v>4005</v>
      </c>
      <c r="BA86" s="15">
        <f>AZ86/2.93/1000</f>
        <v>1.3668941979522182</v>
      </c>
      <c r="BB86" s="15">
        <f>AZ86*0.6</f>
        <v>2403</v>
      </c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EW86" s="18"/>
      <c r="EX86" s="18"/>
      <c r="EY86" s="18"/>
      <c r="FK86" s="16">
        <f t="shared" si="69"/>
        <v>5.4</v>
      </c>
      <c r="FL86" s="16">
        <f t="shared" si="70"/>
        <v>6.85</v>
      </c>
      <c r="FM86" s="15">
        <v>5.4</v>
      </c>
      <c r="FN86" s="15">
        <v>0.02</v>
      </c>
      <c r="FO86" s="15">
        <f>FN86*SQRT(AR86)</f>
        <v>0.04</v>
      </c>
      <c r="FP86" s="15">
        <v>6.85</v>
      </c>
      <c r="FQ86" s="15">
        <v>0.01</v>
      </c>
      <c r="FR86" s="15">
        <f>FQ86*SQRT(AR86)</f>
        <v>0.02</v>
      </c>
      <c r="FS86" s="15">
        <f t="shared" si="76"/>
        <v>1.2685185185185184</v>
      </c>
      <c r="FT86" s="15">
        <f t="shared" si="77"/>
        <v>1.4499999999999993</v>
      </c>
      <c r="FU86" s="15">
        <f t="shared" si="78"/>
        <v>0.23784969870390493</v>
      </c>
      <c r="FV86" s="15">
        <f>((FR86*FR86)/(AR86*FP86*FP86)+(FO86*FO86)/(AR86*FM86*FM86))</f>
        <v>1.5848594868768005E-5</v>
      </c>
      <c r="FX86" s="15">
        <v>14.6</v>
      </c>
      <c r="FY86" s="15">
        <v>0.24</v>
      </c>
      <c r="FZ86" s="15">
        <f>FY86*SQRT(AR86)</f>
        <v>0.48</v>
      </c>
      <c r="GA86" s="15">
        <v>9.64</v>
      </c>
      <c r="GB86" s="15">
        <v>0.24</v>
      </c>
      <c r="GC86" s="15">
        <f>GB86*SQRT(AR86)</f>
        <v>0.48</v>
      </c>
      <c r="GD86" s="15">
        <f>GA86/FX86</f>
        <v>0.66027397260273979</v>
      </c>
      <c r="GE86" s="15">
        <f>GA86-FX86</f>
        <v>-4.9599999999999991</v>
      </c>
      <c r="GF86" s="15">
        <f>LN(GA86)-LN(FX86)</f>
        <v>-0.41510042009183667</v>
      </c>
      <c r="GG86" s="15">
        <f>((GC86*GC86)/(AR86*GA86*GA86)+(FZ86*FZ86)/(AR86*FX86*FX86))</f>
        <v>8.9004359222943333E-4</v>
      </c>
      <c r="GK86" s="15"/>
      <c r="GN86" s="15"/>
      <c r="GQ86" s="15"/>
      <c r="GR86" s="15"/>
      <c r="HY86" s="15">
        <f>AZ86</f>
        <v>4005</v>
      </c>
      <c r="HZ86" s="15">
        <f>BA86</f>
        <v>1.3668941979522182</v>
      </c>
      <c r="IA86" s="15">
        <f>BB86</f>
        <v>2403</v>
      </c>
    </row>
    <row r="87" spans="1:235" x14ac:dyDescent="0.25">
      <c r="A87" s="31">
        <v>85</v>
      </c>
      <c r="B87" s="1">
        <v>17</v>
      </c>
      <c r="C87" s="1">
        <v>17</v>
      </c>
      <c r="D87" s="15" t="s">
        <v>50</v>
      </c>
      <c r="E87" s="1">
        <v>1</v>
      </c>
      <c r="F87" s="15" t="s">
        <v>761</v>
      </c>
      <c r="G87" s="15" t="s">
        <v>775</v>
      </c>
      <c r="H87" s="15" t="s">
        <v>788</v>
      </c>
      <c r="I87" s="1">
        <v>2017</v>
      </c>
      <c r="J87" s="23" t="s">
        <v>778</v>
      </c>
      <c r="L87" s="15" t="s">
        <v>779</v>
      </c>
      <c r="M87" s="15" t="s">
        <v>480</v>
      </c>
      <c r="N87" s="15" t="s">
        <v>23</v>
      </c>
      <c r="O87" s="31">
        <v>2</v>
      </c>
      <c r="P87" s="15">
        <v>28.167000000000002</v>
      </c>
      <c r="Q87" s="15">
        <v>113.08669999999999</v>
      </c>
      <c r="U87" s="15" t="s">
        <v>807</v>
      </c>
      <c r="V87" s="31">
        <v>2</v>
      </c>
      <c r="X87" s="15" t="s">
        <v>716</v>
      </c>
      <c r="Y87" s="1">
        <v>4</v>
      </c>
      <c r="Z87" s="15">
        <v>5.4</v>
      </c>
      <c r="AA87" s="15" t="s">
        <v>574</v>
      </c>
      <c r="AB87" s="15">
        <f t="shared" si="68"/>
        <v>5.4</v>
      </c>
      <c r="AC87" s="1">
        <v>3</v>
      </c>
      <c r="AD87" s="15">
        <v>16.8</v>
      </c>
      <c r="AM87" s="1">
        <v>2</v>
      </c>
      <c r="AR87" s="1">
        <v>4</v>
      </c>
      <c r="AT87" s="15" t="s">
        <v>545</v>
      </c>
      <c r="AW87" s="15">
        <v>3375</v>
      </c>
      <c r="AX87" s="15">
        <f>AW87*1.78</f>
        <v>6007.5</v>
      </c>
      <c r="AY87" s="15" t="s">
        <v>766</v>
      </c>
      <c r="AZ87" s="15">
        <f>AX87</f>
        <v>6007.5</v>
      </c>
      <c r="BA87" s="15">
        <f>AZ87/2.93/1000</f>
        <v>2.0503412969283277</v>
      </c>
      <c r="BB87" s="15">
        <f>AZ87*0.6</f>
        <v>3604.5</v>
      </c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EW87" s="18"/>
      <c r="EX87" s="18"/>
      <c r="EY87" s="18"/>
      <c r="FK87" s="16">
        <f t="shared" si="69"/>
        <v>5.4</v>
      </c>
      <c r="FL87" s="16">
        <f t="shared" si="70"/>
        <v>7.05</v>
      </c>
      <c r="FM87" s="15">
        <v>5.4</v>
      </c>
      <c r="FN87" s="15">
        <v>0.02</v>
      </c>
      <c r="FO87" s="15">
        <f>FN87*SQRT(AR87)</f>
        <v>0.04</v>
      </c>
      <c r="FP87" s="15">
        <v>7.05</v>
      </c>
      <c r="FQ87" s="15">
        <v>0.01</v>
      </c>
      <c r="FR87" s="15">
        <f>FQ87*SQRT(AR87)</f>
        <v>0.02</v>
      </c>
      <c r="FS87" s="15">
        <f t="shared" si="76"/>
        <v>1.3055555555555554</v>
      </c>
      <c r="FT87" s="15">
        <f t="shared" si="77"/>
        <v>1.6499999999999995</v>
      </c>
      <c r="FU87" s="15">
        <f t="shared" si="78"/>
        <v>0.26662866325394852</v>
      </c>
      <c r="FV87" s="15">
        <f>((FR87*FR87)/(AR87*FP87*FP87)+(FO87*FO87)/(AR87*FM87*FM87))</f>
        <v>1.5729392353639959E-5</v>
      </c>
      <c r="FX87" s="15">
        <v>14.6</v>
      </c>
      <c r="FY87" s="15">
        <v>0.24</v>
      </c>
      <c r="FZ87" s="15">
        <f>FY87*SQRT(AR87)</f>
        <v>0.48</v>
      </c>
      <c r="GA87" s="15">
        <v>9.66</v>
      </c>
      <c r="GB87" s="15">
        <v>0.69</v>
      </c>
      <c r="GC87" s="15">
        <f>GB87*SQRT(AR87)</f>
        <v>1.38</v>
      </c>
      <c r="GD87" s="15">
        <f>GA87/FX87</f>
        <v>0.66164383561643836</v>
      </c>
      <c r="GE87" s="15">
        <f>GA87-FX87</f>
        <v>-4.9399999999999995</v>
      </c>
      <c r="GF87" s="15">
        <f>LN(GA87)-LN(FX87)</f>
        <v>-0.41302788048986416</v>
      </c>
      <c r="GG87" s="15">
        <f>((GC87*GC87)/(AR87*GA87*GA87)+(FZ87*FZ87)/(AR87*FX87*FX87))</f>
        <v>5.3722603697136566E-3</v>
      </c>
      <c r="GK87" s="15"/>
      <c r="GN87" s="15"/>
      <c r="GQ87" s="15"/>
      <c r="GR87" s="15"/>
      <c r="HY87" s="15">
        <f>AZ87</f>
        <v>6007.5</v>
      </c>
      <c r="HZ87" s="15">
        <f>BA87</f>
        <v>2.0503412969283277</v>
      </c>
      <c r="IA87" s="15">
        <f>BB87</f>
        <v>3604.5</v>
      </c>
    </row>
    <row r="88" spans="1:235" s="15" customFormat="1" x14ac:dyDescent="0.25">
      <c r="A88" s="31">
        <v>86</v>
      </c>
      <c r="B88" s="1">
        <v>18</v>
      </c>
      <c r="C88" s="1">
        <v>18</v>
      </c>
      <c r="D88" s="15" t="s">
        <v>51</v>
      </c>
      <c r="E88" s="1">
        <v>2</v>
      </c>
      <c r="F88" s="15" t="s">
        <v>777</v>
      </c>
      <c r="G88" s="15" t="s">
        <v>776</v>
      </c>
      <c r="H88" s="15" t="s">
        <v>789</v>
      </c>
      <c r="I88" s="1">
        <v>2017</v>
      </c>
      <c r="J88" s="15" t="s">
        <v>780</v>
      </c>
      <c r="K88" s="1"/>
      <c r="L88" s="15" t="s">
        <v>781</v>
      </c>
      <c r="M88" s="15" t="s">
        <v>782</v>
      </c>
      <c r="N88" s="15" t="s">
        <v>783</v>
      </c>
      <c r="O88" s="31">
        <v>3</v>
      </c>
      <c r="P88" s="15">
        <v>39.3797</v>
      </c>
      <c r="Q88" s="15">
        <v>-5.3888999999999996</v>
      </c>
      <c r="U88" s="15" t="s">
        <v>807</v>
      </c>
      <c r="V88" s="31">
        <v>2</v>
      </c>
      <c r="Y88" s="1"/>
      <c r="Z88" s="15">
        <v>5.5</v>
      </c>
      <c r="AA88" s="15" t="s">
        <v>574</v>
      </c>
      <c r="AB88" s="15">
        <f t="shared" si="68"/>
        <v>5.5</v>
      </c>
      <c r="AC88" s="1">
        <v>3</v>
      </c>
      <c r="AF88" s="15">
        <v>2.73</v>
      </c>
      <c r="AH88" s="15">
        <f>(1.44+0.21+0.04+0.47)*100/2.73</f>
        <v>79.120879120879124</v>
      </c>
      <c r="AJ88" s="15">
        <v>13.8</v>
      </c>
      <c r="AK88" s="15">
        <v>6.1</v>
      </c>
      <c r="AL88" s="15">
        <v>80.099999999999994</v>
      </c>
      <c r="AP88" s="15" t="s">
        <v>1616</v>
      </c>
      <c r="AQ88" s="57">
        <v>8</v>
      </c>
      <c r="AR88" s="1">
        <v>4</v>
      </c>
      <c r="CC88" s="15" t="s">
        <v>787</v>
      </c>
      <c r="CE88" s="15">
        <v>24.8</v>
      </c>
      <c r="CF88" s="15">
        <f>CE88*1000</f>
        <v>24800</v>
      </c>
      <c r="CG88" s="15" t="s">
        <v>766</v>
      </c>
      <c r="CH88" s="15">
        <v>10.199999999999999</v>
      </c>
      <c r="CI88" s="15">
        <v>600</v>
      </c>
      <c r="CJ88" s="15">
        <v>35.1</v>
      </c>
      <c r="CK88" s="15">
        <v>682</v>
      </c>
      <c r="CL88" s="15">
        <v>6.7</v>
      </c>
      <c r="CU88" s="15">
        <f>4.96+2.93+4.41</f>
        <v>12.3</v>
      </c>
      <c r="CX88" s="15">
        <v>11.7</v>
      </c>
      <c r="CY88" s="25">
        <f>CF88</f>
        <v>24800</v>
      </c>
      <c r="CZ88" s="25">
        <f>CY88/0.78/1000</f>
        <v>31.794871794871792</v>
      </c>
      <c r="DA88" s="25">
        <f>CY88*3</f>
        <v>74400</v>
      </c>
      <c r="FK88" s="16">
        <f t="shared" si="69"/>
        <v>4.79</v>
      </c>
      <c r="FL88" s="16">
        <f t="shared" si="70"/>
        <v>6.14</v>
      </c>
      <c r="FM88" s="15">
        <v>4.79</v>
      </c>
      <c r="FN88" s="15">
        <v>0</v>
      </c>
      <c r="FO88" s="15">
        <f>FN88*SQRT(AR88)</f>
        <v>0</v>
      </c>
      <c r="FP88" s="15">
        <v>6.14</v>
      </c>
      <c r="FQ88" s="15">
        <v>0.02</v>
      </c>
      <c r="FR88" s="15">
        <f>FQ88*SQRT(AR88)</f>
        <v>0.04</v>
      </c>
      <c r="FS88" s="15">
        <f t="shared" si="76"/>
        <v>1.2818371607515657</v>
      </c>
      <c r="FT88" s="15">
        <f t="shared" si="77"/>
        <v>1.3499999999999996</v>
      </c>
      <c r="FU88" s="15">
        <f t="shared" si="78"/>
        <v>0.24829433073622731</v>
      </c>
      <c r="FV88" s="15">
        <f>((FR88*FR88)/(AR88*FP88*FP88)+(FO88*FO88)/(AR88*FM88*FM88))</f>
        <v>1.0610192150579848E-5</v>
      </c>
      <c r="HY88" s="25">
        <f>CY88</f>
        <v>24800</v>
      </c>
      <c r="HZ88" s="25">
        <f>CZ88</f>
        <v>31.794871794871792</v>
      </c>
      <c r="IA88" s="25">
        <f>DA88</f>
        <v>74400</v>
      </c>
    </row>
    <row r="89" spans="1:235" x14ac:dyDescent="0.25">
      <c r="A89" s="31">
        <v>87</v>
      </c>
      <c r="B89" s="1">
        <v>18</v>
      </c>
      <c r="C89" s="1">
        <v>18</v>
      </c>
      <c r="D89" s="15" t="s">
        <v>52</v>
      </c>
      <c r="E89" s="1">
        <v>2</v>
      </c>
      <c r="F89" s="15" t="s">
        <v>777</v>
      </c>
      <c r="G89" s="15" t="s">
        <v>776</v>
      </c>
      <c r="H89" s="15" t="s">
        <v>789</v>
      </c>
      <c r="I89" s="1">
        <v>2017</v>
      </c>
      <c r="J89" s="15" t="s">
        <v>780</v>
      </c>
      <c r="L89" s="15" t="s">
        <v>781</v>
      </c>
      <c r="M89" s="15" t="s">
        <v>782</v>
      </c>
      <c r="N89" s="15" t="s">
        <v>783</v>
      </c>
      <c r="O89" s="31">
        <v>3</v>
      </c>
      <c r="P89" s="15">
        <v>39.3797</v>
      </c>
      <c r="Q89" s="15">
        <v>-5.3888999999999996</v>
      </c>
      <c r="U89" s="15" t="s">
        <v>807</v>
      </c>
      <c r="V89" s="31">
        <v>2</v>
      </c>
      <c r="Z89" s="15">
        <v>5.5</v>
      </c>
      <c r="AA89" s="15" t="s">
        <v>574</v>
      </c>
      <c r="AB89" s="15">
        <f t="shared" si="68"/>
        <v>5.5</v>
      </c>
      <c r="AC89" s="1">
        <v>3</v>
      </c>
      <c r="AF89" s="15">
        <v>2.73</v>
      </c>
      <c r="AH89" s="15">
        <f>(1.44+0.21+0.04+0.47)*100/2.73</f>
        <v>79.120879120879124</v>
      </c>
      <c r="AJ89" s="15">
        <v>13.8</v>
      </c>
      <c r="AK89" s="15">
        <v>6.1</v>
      </c>
      <c r="AL89" s="15">
        <v>80.099999999999994</v>
      </c>
      <c r="AM89" s="15"/>
      <c r="AP89" s="15" t="s">
        <v>784</v>
      </c>
      <c r="AQ89" s="57">
        <v>8</v>
      </c>
      <c r="AR89" s="1">
        <v>4</v>
      </c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 t="s">
        <v>787</v>
      </c>
      <c r="CE89" s="15">
        <v>46</v>
      </c>
      <c r="CF89" s="15">
        <f>CE89*1000</f>
        <v>46000</v>
      </c>
      <c r="CG89" s="15" t="s">
        <v>766</v>
      </c>
      <c r="CH89" s="15">
        <v>10.199999999999999</v>
      </c>
      <c r="CI89" s="15">
        <v>600</v>
      </c>
      <c r="CJ89" s="15">
        <v>35.1</v>
      </c>
      <c r="CK89" s="15">
        <v>682</v>
      </c>
      <c r="CL89" s="15">
        <v>6.7</v>
      </c>
      <c r="CU89" s="15">
        <f>4.96+2.93+4.41</f>
        <v>12.3</v>
      </c>
      <c r="CX89" s="15">
        <v>11.7</v>
      </c>
      <c r="CY89" s="25">
        <f>CF89</f>
        <v>46000</v>
      </c>
      <c r="CZ89" s="25">
        <f>CY89/0.78/1000</f>
        <v>58.974358974358971</v>
      </c>
      <c r="DA89" s="25">
        <f>CY89*3</f>
        <v>138000</v>
      </c>
      <c r="EW89" s="18"/>
      <c r="EX89" s="18"/>
      <c r="EY89" s="18"/>
      <c r="FK89" s="16">
        <f t="shared" si="69"/>
        <v>4.79</v>
      </c>
      <c r="FL89" s="16">
        <f t="shared" si="70"/>
        <v>6.67</v>
      </c>
      <c r="FM89" s="15">
        <v>4.79</v>
      </c>
      <c r="FN89" s="15">
        <v>0</v>
      </c>
      <c r="FO89" s="15">
        <f>FN89*SQRT(AR89)</f>
        <v>0</v>
      </c>
      <c r="FP89" s="15">
        <v>6.67</v>
      </c>
      <c r="FQ89" s="15">
        <v>0.03</v>
      </c>
      <c r="FR89" s="15">
        <f>FQ89*SQRT(AR89)</f>
        <v>0.06</v>
      </c>
      <c r="FS89" s="15">
        <f t="shared" si="76"/>
        <v>1.3924843423799582</v>
      </c>
      <c r="FT89" s="15">
        <f t="shared" si="77"/>
        <v>1.88</v>
      </c>
      <c r="FU89" s="15">
        <f t="shared" si="78"/>
        <v>0.33108944850470845</v>
      </c>
      <c r="FV89" s="15">
        <f>((FR89*FR89)/(AR89*FP89*FP89)+(FO89*FO89)/(AR89*FM89*FM89))</f>
        <v>2.0229765177381325E-5</v>
      </c>
      <c r="FZ89" s="15"/>
      <c r="GC89" s="15"/>
      <c r="GF89" s="15"/>
      <c r="GG89" s="15"/>
      <c r="GK89" s="15"/>
      <c r="GN89" s="15"/>
      <c r="GQ89" s="15"/>
      <c r="GR89" s="15"/>
      <c r="HY89" s="25">
        <f>CY89</f>
        <v>46000</v>
      </c>
      <c r="HZ89" s="25">
        <f>CZ89</f>
        <v>58.974358974358971</v>
      </c>
      <c r="IA89" s="25">
        <f>DA89</f>
        <v>138000</v>
      </c>
    </row>
    <row r="90" spans="1:235" x14ac:dyDescent="0.25">
      <c r="A90" s="31">
        <v>88</v>
      </c>
      <c r="B90" s="1">
        <v>18</v>
      </c>
      <c r="C90" s="1">
        <v>18</v>
      </c>
      <c r="D90" s="15" t="s">
        <v>53</v>
      </c>
      <c r="E90" s="1">
        <v>1</v>
      </c>
      <c r="F90" s="15" t="s">
        <v>761</v>
      </c>
      <c r="G90" s="15" t="s">
        <v>776</v>
      </c>
      <c r="H90" s="15" t="s">
        <v>789</v>
      </c>
      <c r="I90" s="1">
        <v>2017</v>
      </c>
      <c r="J90" s="15" t="s">
        <v>780</v>
      </c>
      <c r="L90" s="15" t="s">
        <v>781</v>
      </c>
      <c r="M90" s="15" t="s">
        <v>782</v>
      </c>
      <c r="N90" s="15" t="s">
        <v>783</v>
      </c>
      <c r="O90" s="31">
        <v>3</v>
      </c>
      <c r="P90" s="15">
        <v>39.3797</v>
      </c>
      <c r="Q90" s="15">
        <v>-5.3888999999999996</v>
      </c>
      <c r="U90" s="15" t="s">
        <v>807</v>
      </c>
      <c r="V90" s="31">
        <v>2</v>
      </c>
      <c r="Z90" s="15">
        <v>5.5</v>
      </c>
      <c r="AA90" s="15" t="s">
        <v>574</v>
      </c>
      <c r="AB90" s="15">
        <f t="shared" si="68"/>
        <v>5.5</v>
      </c>
      <c r="AC90" s="1">
        <v>3</v>
      </c>
      <c r="AF90" s="15">
        <v>2.73</v>
      </c>
      <c r="AH90" s="15">
        <f>(1.44+0.21+0.04+0.47)*100/2.73</f>
        <v>79.120879120879124</v>
      </c>
      <c r="AJ90" s="15">
        <v>13.8</v>
      </c>
      <c r="AK90" s="15">
        <v>6.1</v>
      </c>
      <c r="AL90" s="15">
        <v>80.099999999999994</v>
      </c>
      <c r="AM90" s="15"/>
      <c r="AP90" s="15" t="s">
        <v>1616</v>
      </c>
      <c r="AQ90" s="57">
        <v>8</v>
      </c>
      <c r="AR90" s="1">
        <v>4</v>
      </c>
      <c r="AT90" s="15" t="s">
        <v>576</v>
      </c>
      <c r="AW90" s="15">
        <v>458</v>
      </c>
      <c r="AX90" s="15">
        <f>AW90</f>
        <v>458</v>
      </c>
      <c r="AY90" s="15" t="s">
        <v>766</v>
      </c>
      <c r="AZ90" s="15">
        <f>AX90</f>
        <v>458</v>
      </c>
      <c r="BA90" s="15">
        <f>AZ90/2.93/1000</f>
        <v>0.15631399317406144</v>
      </c>
      <c r="BB90" s="15">
        <f>AZ90*0.6</f>
        <v>274.8</v>
      </c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U90" s="15"/>
      <c r="EW90" s="18"/>
      <c r="EX90" s="18"/>
      <c r="EY90" s="18"/>
      <c r="FK90" s="16">
        <f t="shared" si="69"/>
        <v>4.79</v>
      </c>
      <c r="FL90" s="16">
        <f t="shared" si="70"/>
        <v>5.91</v>
      </c>
      <c r="FM90" s="15">
        <v>4.79</v>
      </c>
      <c r="FN90" s="15">
        <v>0</v>
      </c>
      <c r="FO90" s="15">
        <f>FN90*SQRT(AR90)</f>
        <v>0</v>
      </c>
      <c r="FP90" s="15">
        <v>5.91</v>
      </c>
      <c r="FQ90" s="15">
        <v>0.03</v>
      </c>
      <c r="FR90" s="15">
        <f>FQ90*SQRT(AR90)</f>
        <v>0.06</v>
      </c>
      <c r="FS90" s="15">
        <f t="shared" si="76"/>
        <v>1.233820459290188</v>
      </c>
      <c r="FT90" s="15">
        <f t="shared" si="77"/>
        <v>1.1200000000000001</v>
      </c>
      <c r="FU90" s="15">
        <f t="shared" si="78"/>
        <v>0.21011541999518313</v>
      </c>
      <c r="FV90" s="15">
        <f>((FR90*FR90)/(AR90*FP90*FP90)+(FO90*FO90)/(AR90*FM90*FM90))</f>
        <v>2.5767218944059367E-5</v>
      </c>
      <c r="FZ90" s="15"/>
      <c r="GC90" s="15"/>
      <c r="GF90" s="15"/>
      <c r="GG90" s="15"/>
      <c r="GK90" s="15"/>
      <c r="GN90" s="15"/>
      <c r="GQ90" s="15"/>
      <c r="GR90" s="15"/>
      <c r="HY90" s="15">
        <f>AZ90</f>
        <v>458</v>
      </c>
      <c r="HZ90" s="15">
        <f>BA90</f>
        <v>0.15631399317406144</v>
      </c>
      <c r="IA90" s="15">
        <f>BB90</f>
        <v>274.8</v>
      </c>
    </row>
    <row r="91" spans="1:235" x14ac:dyDescent="0.25">
      <c r="A91" s="31">
        <v>89</v>
      </c>
      <c r="B91" s="1">
        <v>18</v>
      </c>
      <c r="C91" s="1">
        <v>18</v>
      </c>
      <c r="D91" s="15" t="s">
        <v>54</v>
      </c>
      <c r="E91" s="1">
        <v>1</v>
      </c>
      <c r="F91" s="15" t="s">
        <v>761</v>
      </c>
      <c r="G91" s="15" t="s">
        <v>776</v>
      </c>
      <c r="H91" s="15" t="s">
        <v>789</v>
      </c>
      <c r="I91" s="1">
        <v>2017</v>
      </c>
      <c r="J91" s="15" t="s">
        <v>780</v>
      </c>
      <c r="L91" s="15" t="s">
        <v>781</v>
      </c>
      <c r="M91" s="15" t="s">
        <v>782</v>
      </c>
      <c r="N91" s="15" t="s">
        <v>783</v>
      </c>
      <c r="O91" s="31">
        <v>3</v>
      </c>
      <c r="P91" s="15">
        <v>39.3797</v>
      </c>
      <c r="Q91" s="15">
        <v>-5.3888999999999996</v>
      </c>
      <c r="U91" s="15" t="s">
        <v>807</v>
      </c>
      <c r="V91" s="31">
        <v>2</v>
      </c>
      <c r="Z91" s="15">
        <v>5.5</v>
      </c>
      <c r="AA91" s="15" t="s">
        <v>574</v>
      </c>
      <c r="AB91" s="15">
        <f t="shared" si="68"/>
        <v>5.5</v>
      </c>
      <c r="AC91" s="1">
        <v>3</v>
      </c>
      <c r="AF91" s="15">
        <v>2.73</v>
      </c>
      <c r="AH91" s="15">
        <f>(1.44+0.21+0.04+0.47)*100/2.73</f>
        <v>79.120879120879124</v>
      </c>
      <c r="AJ91" s="15">
        <v>13.8</v>
      </c>
      <c r="AK91" s="15">
        <v>6.1</v>
      </c>
      <c r="AL91" s="15">
        <v>80.099999999999994</v>
      </c>
      <c r="AM91" s="15"/>
      <c r="AP91" s="15" t="s">
        <v>784</v>
      </c>
      <c r="AQ91" s="57">
        <v>8</v>
      </c>
      <c r="AR91" s="1">
        <v>4</v>
      </c>
      <c r="AT91" s="15" t="s">
        <v>576</v>
      </c>
      <c r="AW91" s="15">
        <v>847</v>
      </c>
      <c r="AX91" s="15">
        <f>AW91</f>
        <v>847</v>
      </c>
      <c r="AY91" s="15" t="s">
        <v>766</v>
      </c>
      <c r="AZ91" s="15">
        <f>AX91</f>
        <v>847</v>
      </c>
      <c r="BA91" s="15">
        <f>AZ91/2.93/1000</f>
        <v>0.28907849829351534</v>
      </c>
      <c r="BB91" s="15">
        <f>AZ91*0.6</f>
        <v>508.2</v>
      </c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EW91" s="18"/>
      <c r="EX91" s="18"/>
      <c r="EY91" s="18"/>
      <c r="FK91" s="16">
        <f t="shared" si="69"/>
        <v>4.79</v>
      </c>
      <c r="FL91" s="16">
        <f t="shared" si="70"/>
        <v>6.2</v>
      </c>
      <c r="FM91" s="15">
        <v>4.79</v>
      </c>
      <c r="FN91" s="15">
        <v>0</v>
      </c>
      <c r="FO91" s="15">
        <f>FN91*SQRT(AR91)</f>
        <v>0</v>
      </c>
      <c r="FP91" s="15">
        <v>6.2</v>
      </c>
      <c r="FQ91" s="15">
        <v>0.03</v>
      </c>
      <c r="FR91" s="15">
        <f>FQ91*SQRT(AR91)</f>
        <v>0.06</v>
      </c>
      <c r="FS91" s="15">
        <f t="shared" si="76"/>
        <v>1.2943632567849688</v>
      </c>
      <c r="FT91" s="15">
        <f t="shared" si="77"/>
        <v>1.4100000000000001</v>
      </c>
      <c r="FU91" s="15">
        <f t="shared" si="78"/>
        <v>0.2580188806282222</v>
      </c>
      <c r="FV91" s="15">
        <f>((FR91*FR91)/(AR91*FP91*FP91)+(FO91*FO91)/(AR91*FM91*FM91))</f>
        <v>2.3413111342351715E-5</v>
      </c>
      <c r="FZ91" s="15"/>
      <c r="GC91" s="15"/>
      <c r="GF91" s="15"/>
      <c r="GG91" s="15"/>
      <c r="GK91" s="15"/>
      <c r="GN91" s="15"/>
      <c r="GQ91" s="15"/>
      <c r="GR91" s="15"/>
      <c r="HY91" s="15">
        <f>AZ91</f>
        <v>847</v>
      </c>
      <c r="HZ91" s="15">
        <f>BA91</f>
        <v>0.28907849829351534</v>
      </c>
      <c r="IA91" s="15">
        <f>BB91</f>
        <v>508.2</v>
      </c>
    </row>
    <row r="92" spans="1:235" s="15" customFormat="1" x14ac:dyDescent="0.25">
      <c r="A92" s="31">
        <v>90</v>
      </c>
      <c r="B92" s="1">
        <v>19</v>
      </c>
      <c r="C92" s="1">
        <v>19</v>
      </c>
      <c r="D92" s="15" t="s">
        <v>55</v>
      </c>
      <c r="E92" s="1">
        <v>2</v>
      </c>
      <c r="F92" s="15" t="s">
        <v>777</v>
      </c>
      <c r="G92" s="15" t="s">
        <v>792</v>
      </c>
      <c r="H92" s="15" t="s">
        <v>791</v>
      </c>
      <c r="I92" s="1">
        <v>2017</v>
      </c>
      <c r="J92" s="15" t="s">
        <v>790</v>
      </c>
      <c r="K92" s="1"/>
      <c r="L92" s="15" t="s">
        <v>794</v>
      </c>
      <c r="M92" s="15" t="s">
        <v>793</v>
      </c>
      <c r="N92" s="15" t="s">
        <v>23</v>
      </c>
      <c r="O92" s="31">
        <v>2</v>
      </c>
      <c r="P92" s="15">
        <v>39.911000000000001</v>
      </c>
      <c r="Q92" s="15">
        <v>116.413</v>
      </c>
      <c r="U92" s="15" t="s">
        <v>807</v>
      </c>
      <c r="V92" s="31">
        <v>2</v>
      </c>
      <c r="W92" s="16" t="s">
        <v>1166</v>
      </c>
      <c r="X92" s="15" t="s">
        <v>731</v>
      </c>
      <c r="Y92" s="1">
        <v>12</v>
      </c>
      <c r="Z92" s="15">
        <v>5.37</v>
      </c>
      <c r="AA92" s="15" t="s">
        <v>574</v>
      </c>
      <c r="AB92" s="15">
        <f t="shared" si="68"/>
        <v>5.37</v>
      </c>
      <c r="AC92" s="1">
        <v>3</v>
      </c>
      <c r="AD92" s="15">
        <v>73</v>
      </c>
      <c r="AF92" s="15">
        <v>1.1599999999999999</v>
      </c>
      <c r="AJ92" s="15">
        <v>0.8</v>
      </c>
      <c r="AK92" s="15">
        <v>1.9</v>
      </c>
      <c r="AL92" s="15">
        <v>97.3</v>
      </c>
      <c r="AM92" s="1">
        <v>3</v>
      </c>
      <c r="AQ92" s="1"/>
      <c r="AR92" s="1">
        <v>3</v>
      </c>
      <c r="CC92" s="15" t="s">
        <v>796</v>
      </c>
      <c r="CE92" s="15">
        <v>1</v>
      </c>
      <c r="CF92" s="15">
        <f t="shared" ref="CF92:CF101" si="110">CE92*22500</f>
        <v>22500</v>
      </c>
      <c r="CG92" s="15" t="s">
        <v>766</v>
      </c>
      <c r="CH92" s="15">
        <v>10.5</v>
      </c>
      <c r="CI92" s="15">
        <v>700</v>
      </c>
      <c r="CK92" s="15">
        <v>85.3</v>
      </c>
      <c r="CM92" s="15">
        <v>9.14</v>
      </c>
      <c r="CP92" s="15">
        <v>46.3</v>
      </c>
      <c r="CQ92" s="15">
        <v>9</v>
      </c>
      <c r="CR92" s="15">
        <v>66.3</v>
      </c>
      <c r="CS92" s="15">
        <v>0.314</v>
      </c>
      <c r="CT92" s="15">
        <v>2.44</v>
      </c>
      <c r="CY92" s="25">
        <f t="shared" ref="CY92:CY101" si="111">CF92</f>
        <v>22500</v>
      </c>
      <c r="CZ92" s="25">
        <f t="shared" ref="CZ92:CZ101" si="112">CY92/0.78/1000</f>
        <v>28.846153846153843</v>
      </c>
      <c r="DA92" s="25">
        <f t="shared" ref="DA92:DA101" si="113">CY92*3</f>
        <v>67500</v>
      </c>
      <c r="FK92" s="16">
        <f t="shared" si="69"/>
        <v>5.4</v>
      </c>
      <c r="FL92" s="16">
        <f t="shared" si="70"/>
        <v>7.6</v>
      </c>
      <c r="FM92" s="15">
        <v>5.4</v>
      </c>
      <c r="FN92" s="15">
        <v>0.05</v>
      </c>
      <c r="FO92" s="15">
        <f>FN92*SQRT(AR92)</f>
        <v>8.6602540378443865E-2</v>
      </c>
      <c r="FP92" s="15">
        <v>7.6</v>
      </c>
      <c r="FQ92" s="15">
        <v>7.0000000000000007E-2</v>
      </c>
      <c r="FR92" s="15">
        <f>FQ92*SQRT(AR92)</f>
        <v>0.12124355652982141</v>
      </c>
      <c r="FS92" s="15">
        <f t="shared" si="76"/>
        <v>1.4074074074074072</v>
      </c>
      <c r="FT92" s="15">
        <f t="shared" si="77"/>
        <v>2.1999999999999993</v>
      </c>
      <c r="FU92" s="15">
        <f t="shared" si="78"/>
        <v>0.34174929372205631</v>
      </c>
      <c r="FV92" s="15">
        <f>((FR92*FR92)/(AR92*FP92*FP92)+(FO92*FO92)/(AR92*FM92*FM92))</f>
        <v>1.7056767704402875E-4</v>
      </c>
      <c r="GI92" s="15">
        <v>1.2</v>
      </c>
      <c r="GJ92" s="15">
        <v>0.01</v>
      </c>
      <c r="GK92" s="15">
        <f>GJ92*SQRT(AR92)</f>
        <v>1.7320508075688773E-2</v>
      </c>
      <c r="GL92" s="15">
        <v>3.4</v>
      </c>
      <c r="GM92" s="15">
        <v>0.03</v>
      </c>
      <c r="GN92" s="15">
        <f>GM92*SQRT(AR92)</f>
        <v>5.1961524227066312E-2</v>
      </c>
      <c r="GO92" s="15">
        <f t="shared" ref="GO92:GO102" si="114">GL92/GI92</f>
        <v>2.8333333333333335</v>
      </c>
      <c r="GP92" s="15">
        <f t="shared" ref="GP92:GP102" si="115">GL92-GI92</f>
        <v>2.2000000000000002</v>
      </c>
      <c r="GQ92" s="15">
        <f t="shared" ref="GQ92:GQ102" si="116">LN(GL92)-LN(GI92)</f>
        <v>1.041453874828161</v>
      </c>
      <c r="GR92" s="15">
        <f>((GN92*GN92)/(AR92*GL92*GL92)+(GK92*GK92)/(AR92*GI92*GI92))</f>
        <v>1.4729911572472124E-4</v>
      </c>
      <c r="HY92" s="25">
        <f>CY92</f>
        <v>22500</v>
      </c>
      <c r="HZ92" s="25">
        <f>CZ92</f>
        <v>28.846153846153843</v>
      </c>
      <c r="IA92" s="25">
        <f>DA92</f>
        <v>67500</v>
      </c>
    </row>
    <row r="93" spans="1:235" s="15" customFormat="1" x14ac:dyDescent="0.25">
      <c r="A93" s="31">
        <v>91</v>
      </c>
      <c r="B93" s="1">
        <v>19</v>
      </c>
      <c r="C93" s="1">
        <v>19</v>
      </c>
      <c r="D93" s="15" t="s">
        <v>56</v>
      </c>
      <c r="E93" s="1">
        <v>2</v>
      </c>
      <c r="F93" s="15" t="s">
        <v>777</v>
      </c>
      <c r="G93" s="15" t="s">
        <v>792</v>
      </c>
      <c r="H93" s="15" t="s">
        <v>791</v>
      </c>
      <c r="I93" s="1">
        <v>2017</v>
      </c>
      <c r="J93" s="15" t="s">
        <v>790</v>
      </c>
      <c r="K93" s="1"/>
      <c r="L93" s="15" t="s">
        <v>794</v>
      </c>
      <c r="M93" s="15" t="s">
        <v>793</v>
      </c>
      <c r="N93" s="15" t="s">
        <v>23</v>
      </c>
      <c r="O93" s="31">
        <v>2</v>
      </c>
      <c r="P93" s="15">
        <v>39.911000000000001</v>
      </c>
      <c r="Q93" s="15">
        <v>116.413</v>
      </c>
      <c r="U93" s="15" t="s">
        <v>807</v>
      </c>
      <c r="V93" s="31">
        <v>2</v>
      </c>
      <c r="W93" s="16" t="s">
        <v>1166</v>
      </c>
      <c r="X93" s="15" t="s">
        <v>731</v>
      </c>
      <c r="Y93" s="1">
        <v>12</v>
      </c>
      <c r="Z93" s="15">
        <v>5.37</v>
      </c>
      <c r="AA93" s="15" t="s">
        <v>574</v>
      </c>
      <c r="AB93" s="15">
        <f t="shared" si="68"/>
        <v>5.37</v>
      </c>
      <c r="AC93" s="1">
        <v>3</v>
      </c>
      <c r="AD93" s="15">
        <v>73</v>
      </c>
      <c r="AF93" s="15">
        <v>1.1599999999999999</v>
      </c>
      <c r="AJ93" s="15">
        <v>0.8</v>
      </c>
      <c r="AK93" s="15">
        <v>1.9</v>
      </c>
      <c r="AL93" s="15">
        <v>97.3</v>
      </c>
      <c r="AM93" s="1">
        <v>3</v>
      </c>
      <c r="AQ93" s="1"/>
      <c r="AR93" s="1">
        <v>3</v>
      </c>
      <c r="CC93" s="15" t="s">
        <v>796</v>
      </c>
      <c r="CE93" s="15">
        <v>3</v>
      </c>
      <c r="CF93" s="15">
        <f t="shared" si="110"/>
        <v>67500</v>
      </c>
      <c r="CG93" s="15" t="s">
        <v>766</v>
      </c>
      <c r="CH93" s="15">
        <v>10.5</v>
      </c>
      <c r="CI93" s="15">
        <v>700</v>
      </c>
      <c r="CK93" s="15">
        <v>85.3</v>
      </c>
      <c r="CM93" s="15">
        <v>9.14</v>
      </c>
      <c r="CP93" s="15">
        <v>46.3</v>
      </c>
      <c r="CQ93" s="15">
        <v>9</v>
      </c>
      <c r="CR93" s="15">
        <v>66.3</v>
      </c>
      <c r="CS93" s="15">
        <v>0.314</v>
      </c>
      <c r="CT93" s="15">
        <v>2.44</v>
      </c>
      <c r="CY93" s="25">
        <f t="shared" si="111"/>
        <v>67500</v>
      </c>
      <c r="CZ93" s="25">
        <f t="shared" si="112"/>
        <v>86.538461538461533</v>
      </c>
      <c r="DA93" s="25">
        <f t="shared" si="113"/>
        <v>202500</v>
      </c>
      <c r="FK93" s="16">
        <f t="shared" si="69"/>
        <v>5.4</v>
      </c>
      <c r="FL93" s="16">
        <f t="shared" si="70"/>
        <v>8.1999999999999993</v>
      </c>
      <c r="FM93" s="15">
        <v>5.4</v>
      </c>
      <c r="FN93" s="15">
        <v>0.05</v>
      </c>
      <c r="FO93" s="15">
        <f>FN93*SQRT(AR93)</f>
        <v>8.6602540378443865E-2</v>
      </c>
      <c r="FP93" s="15">
        <v>8.1999999999999993</v>
      </c>
      <c r="FQ93" s="15">
        <v>0.08</v>
      </c>
      <c r="FR93" s="15">
        <f>FQ93*SQRT(AR93)</f>
        <v>0.13856406460551018</v>
      </c>
      <c r="FS93" s="15">
        <f t="shared" si="76"/>
        <v>1.5185185185185184</v>
      </c>
      <c r="FT93" s="15">
        <f t="shared" si="77"/>
        <v>2.7999999999999989</v>
      </c>
      <c r="FU93" s="15">
        <f t="shared" si="78"/>
        <v>0.4177352006999786</v>
      </c>
      <c r="FV93" s="15">
        <f>((FR93*FR93)/(AR93*FP93*FP93)+(FO93*FO93)/(AR93*FM93*FM93))</f>
        <v>1.8091532164945257E-4</v>
      </c>
      <c r="GI93" s="15">
        <v>1.2</v>
      </c>
      <c r="GJ93" s="15">
        <v>0.01</v>
      </c>
      <c r="GK93" s="15">
        <f>GJ93*SQRT(AR93)</f>
        <v>1.7320508075688773E-2</v>
      </c>
      <c r="GL93" s="15">
        <v>6.2</v>
      </c>
      <c r="GM93" s="15">
        <v>0.06</v>
      </c>
      <c r="GN93" s="15">
        <f>GM93*SQRT(AR93)</f>
        <v>0.10392304845413262</v>
      </c>
      <c r="GO93" s="15">
        <f t="shared" si="114"/>
        <v>5.166666666666667</v>
      </c>
      <c r="GP93" s="15">
        <f t="shared" si="115"/>
        <v>5</v>
      </c>
      <c r="GQ93" s="15">
        <f t="shared" si="116"/>
        <v>1.6422277352570913</v>
      </c>
      <c r="GR93" s="15">
        <f>((GN93*GN93)/(AR93*GL93*GL93)+(GK93*GK93)/(AR93*GI93*GI93))</f>
        <v>1.6309688981385129E-4</v>
      </c>
      <c r="HY93" s="25">
        <f>CY93</f>
        <v>67500</v>
      </c>
      <c r="HZ93" s="25">
        <f>CZ93</f>
        <v>86.538461538461533</v>
      </c>
      <c r="IA93" s="25">
        <f>DA93</f>
        <v>202500</v>
      </c>
    </row>
    <row r="94" spans="1:235" s="15" customFormat="1" x14ac:dyDescent="0.25">
      <c r="A94" s="31">
        <v>92</v>
      </c>
      <c r="B94" s="1">
        <v>19</v>
      </c>
      <c r="C94" s="1">
        <v>19</v>
      </c>
      <c r="D94" s="15" t="s">
        <v>57</v>
      </c>
      <c r="E94" s="1">
        <v>2</v>
      </c>
      <c r="F94" s="15" t="s">
        <v>777</v>
      </c>
      <c r="G94" s="15" t="s">
        <v>792</v>
      </c>
      <c r="H94" s="15" t="s">
        <v>791</v>
      </c>
      <c r="I94" s="1">
        <v>2017</v>
      </c>
      <c r="J94" s="15" t="s">
        <v>790</v>
      </c>
      <c r="K94" s="1"/>
      <c r="L94" s="15" t="s">
        <v>794</v>
      </c>
      <c r="M94" s="15" t="s">
        <v>793</v>
      </c>
      <c r="N94" s="15" t="s">
        <v>23</v>
      </c>
      <c r="O94" s="31">
        <v>2</v>
      </c>
      <c r="P94" s="15">
        <v>39.911000000000001</v>
      </c>
      <c r="Q94" s="15">
        <v>116.413</v>
      </c>
      <c r="U94" s="15" t="s">
        <v>807</v>
      </c>
      <c r="V94" s="31">
        <v>2</v>
      </c>
      <c r="W94" s="16" t="s">
        <v>1165</v>
      </c>
      <c r="X94" s="15" t="s">
        <v>731</v>
      </c>
      <c r="Y94" s="1">
        <v>12</v>
      </c>
      <c r="Z94" s="15">
        <v>5.37</v>
      </c>
      <c r="AA94" s="15" t="s">
        <v>574</v>
      </c>
      <c r="AB94" s="15">
        <f t="shared" si="68"/>
        <v>5.37</v>
      </c>
      <c r="AC94" s="1">
        <v>3</v>
      </c>
      <c r="AD94" s="15">
        <v>73</v>
      </c>
      <c r="AF94" s="15">
        <v>1.1599999999999999</v>
      </c>
      <c r="AJ94" s="15">
        <v>0.8</v>
      </c>
      <c r="AK94" s="15">
        <v>1.9</v>
      </c>
      <c r="AL94" s="15">
        <v>97.3</v>
      </c>
      <c r="AM94" s="1">
        <v>3</v>
      </c>
      <c r="AQ94" s="1"/>
      <c r="AR94" s="1">
        <v>3</v>
      </c>
      <c r="CC94" s="15" t="s">
        <v>796</v>
      </c>
      <c r="CE94" s="15">
        <v>5</v>
      </c>
      <c r="CF94" s="15">
        <f t="shared" si="110"/>
        <v>112500</v>
      </c>
      <c r="CG94" s="15" t="s">
        <v>766</v>
      </c>
      <c r="CH94" s="15">
        <v>10.5</v>
      </c>
      <c r="CI94" s="15">
        <v>700</v>
      </c>
      <c r="CK94" s="15">
        <v>85.3</v>
      </c>
      <c r="CM94" s="15">
        <v>9.14</v>
      </c>
      <c r="CP94" s="15">
        <v>46.3</v>
      </c>
      <c r="CQ94" s="15">
        <v>9</v>
      </c>
      <c r="CR94" s="15">
        <v>66.3</v>
      </c>
      <c r="CS94" s="15">
        <v>0.314</v>
      </c>
      <c r="CT94" s="15">
        <v>2.44</v>
      </c>
      <c r="CY94" s="25">
        <f t="shared" si="111"/>
        <v>112500</v>
      </c>
      <c r="CZ94" s="25">
        <f t="shared" si="112"/>
        <v>144.23076923076923</v>
      </c>
      <c r="DA94" s="25">
        <f t="shared" si="113"/>
        <v>337500</v>
      </c>
      <c r="FK94" s="16">
        <f t="shared" si="69"/>
        <v>5.4</v>
      </c>
      <c r="FL94" s="16">
        <f t="shared" si="70"/>
        <v>8.6</v>
      </c>
      <c r="FM94" s="15">
        <v>5.4</v>
      </c>
      <c r="FN94" s="15">
        <v>0.05</v>
      </c>
      <c r="FO94" s="15">
        <f>FN94*SQRT(AR94)</f>
        <v>8.6602540378443865E-2</v>
      </c>
      <c r="FP94" s="15">
        <v>8.6</v>
      </c>
      <c r="FQ94" s="15">
        <v>0.08</v>
      </c>
      <c r="FR94" s="15">
        <f>FQ94*SQRT(AR94)</f>
        <v>0.13856406460551018</v>
      </c>
      <c r="FS94" s="15">
        <f t="shared" si="76"/>
        <v>1.5925925925925923</v>
      </c>
      <c r="FT94" s="15">
        <f t="shared" si="77"/>
        <v>3.1999999999999993</v>
      </c>
      <c r="FU94" s="15">
        <f t="shared" si="78"/>
        <v>0.46536324968923304</v>
      </c>
      <c r="FV94" s="15">
        <f>((FR94*FR94)/(AR94*FP94*FP94)+(FO94*FO94)/(AR94*FM94*FM94))</f>
        <v>1.7226714325246066E-4</v>
      </c>
      <c r="GI94" s="15">
        <v>1.2</v>
      </c>
      <c r="GJ94" s="15">
        <v>0.01</v>
      </c>
      <c r="GK94" s="15">
        <f>GJ94*SQRT(AR94)</f>
        <v>1.7320508075688773E-2</v>
      </c>
      <c r="GL94" s="15">
        <v>8</v>
      </c>
      <c r="GM94" s="15">
        <v>0.08</v>
      </c>
      <c r="GN94" s="15">
        <f>GM94*SQRT(AR94)</f>
        <v>0.13856406460551018</v>
      </c>
      <c r="GO94" s="15">
        <f t="shared" si="114"/>
        <v>6.666666666666667</v>
      </c>
      <c r="GP94" s="15">
        <f t="shared" si="115"/>
        <v>6.8</v>
      </c>
      <c r="GQ94" s="15">
        <f t="shared" si="116"/>
        <v>1.8971199848858811</v>
      </c>
      <c r="GR94" s="15">
        <f>((GN94*GN94)/(AR94*GL94*GL94)+(GK94*GK94)/(AR94*GI94*GI94))</f>
        <v>1.6944444444444445E-4</v>
      </c>
      <c r="HY94" s="25">
        <f>CY94</f>
        <v>112500</v>
      </c>
      <c r="HZ94" s="25">
        <f>CZ94</f>
        <v>144.23076923076923</v>
      </c>
      <c r="IA94" s="25">
        <f>DA94</f>
        <v>337500</v>
      </c>
    </row>
    <row r="95" spans="1:235" s="15" customFormat="1" x14ac:dyDescent="0.25">
      <c r="A95" s="31">
        <v>93</v>
      </c>
      <c r="B95" s="1">
        <v>19</v>
      </c>
      <c r="C95" s="1">
        <v>19</v>
      </c>
      <c r="D95" s="15" t="s">
        <v>58</v>
      </c>
      <c r="E95" s="1">
        <v>2</v>
      </c>
      <c r="F95" s="15" t="s">
        <v>777</v>
      </c>
      <c r="G95" s="15" t="s">
        <v>792</v>
      </c>
      <c r="H95" s="15" t="s">
        <v>791</v>
      </c>
      <c r="I95" s="1">
        <v>2017</v>
      </c>
      <c r="J95" s="15" t="s">
        <v>790</v>
      </c>
      <c r="K95" s="1"/>
      <c r="L95" s="15" t="s">
        <v>794</v>
      </c>
      <c r="M95" s="15" t="s">
        <v>793</v>
      </c>
      <c r="N95" s="15" t="s">
        <v>23</v>
      </c>
      <c r="O95" s="31">
        <v>2</v>
      </c>
      <c r="P95" s="15">
        <v>39.911000000000001</v>
      </c>
      <c r="Q95" s="15">
        <v>116.413</v>
      </c>
      <c r="U95" s="15" t="s">
        <v>807</v>
      </c>
      <c r="V95" s="31">
        <v>2</v>
      </c>
      <c r="W95" s="16" t="s">
        <v>1165</v>
      </c>
      <c r="X95" s="15" t="s">
        <v>731</v>
      </c>
      <c r="Y95" s="1">
        <v>12</v>
      </c>
      <c r="Z95" s="15">
        <v>5.37</v>
      </c>
      <c r="AA95" s="15" t="s">
        <v>574</v>
      </c>
      <c r="AB95" s="15">
        <f t="shared" si="68"/>
        <v>5.37</v>
      </c>
      <c r="AC95" s="1">
        <v>3</v>
      </c>
      <c r="AD95" s="15">
        <v>73</v>
      </c>
      <c r="AF95" s="15">
        <v>1.1599999999999999</v>
      </c>
      <c r="AJ95" s="15">
        <v>0.8</v>
      </c>
      <c r="AK95" s="15">
        <v>1.9</v>
      </c>
      <c r="AL95" s="15">
        <v>97.3</v>
      </c>
      <c r="AM95" s="1">
        <v>3</v>
      </c>
      <c r="AQ95" s="1"/>
      <c r="AR95" s="1">
        <v>3</v>
      </c>
      <c r="CC95" s="15" t="s">
        <v>795</v>
      </c>
      <c r="CE95" s="15">
        <v>1</v>
      </c>
      <c r="CF95" s="15">
        <f t="shared" si="110"/>
        <v>22500</v>
      </c>
      <c r="CG95" s="15" t="s">
        <v>766</v>
      </c>
      <c r="CH95" s="15">
        <v>10.25</v>
      </c>
      <c r="CI95" s="15">
        <v>700</v>
      </c>
      <c r="CK95" s="15">
        <v>99</v>
      </c>
      <c r="CM95" s="15">
        <v>0.18</v>
      </c>
      <c r="CP95" s="15">
        <v>5.33</v>
      </c>
      <c r="CQ95" s="15">
        <v>0.46</v>
      </c>
      <c r="CR95" s="15">
        <v>3.5329999999999999</v>
      </c>
      <c r="CS95" s="15">
        <v>0.129</v>
      </c>
      <c r="CT95" s="15">
        <v>7.4999999999999997E-2</v>
      </c>
      <c r="CY95" s="25">
        <f t="shared" si="111"/>
        <v>22500</v>
      </c>
      <c r="CZ95" s="25">
        <f t="shared" si="112"/>
        <v>28.846153846153843</v>
      </c>
      <c r="DA95" s="25">
        <f t="shared" si="113"/>
        <v>67500</v>
      </c>
      <c r="FK95" s="16">
        <f t="shared" si="69"/>
        <v>5.4</v>
      </c>
      <c r="FL95" s="16">
        <f t="shared" si="70"/>
        <v>5.8</v>
      </c>
      <c r="FM95" s="15">
        <v>5.4</v>
      </c>
      <c r="FN95" s="15">
        <v>0.05</v>
      </c>
      <c r="FO95" s="15">
        <f>FN95*SQRT(AR95)</f>
        <v>8.6602540378443865E-2</v>
      </c>
      <c r="FP95" s="15">
        <v>5.8</v>
      </c>
      <c r="FQ95" s="15">
        <v>0.05</v>
      </c>
      <c r="FR95" s="15">
        <f>FQ95*SQRT(AR95)</f>
        <v>8.6602540378443865E-2</v>
      </c>
      <c r="FS95" s="15">
        <f t="shared" si="76"/>
        <v>1.074074074074074</v>
      </c>
      <c r="FT95" s="15">
        <f t="shared" si="77"/>
        <v>0.39999999999999947</v>
      </c>
      <c r="FU95" s="15">
        <f t="shared" si="78"/>
        <v>7.1458963982144796E-2</v>
      </c>
      <c r="FV95" s="15">
        <f>((FR95*FR95)/(AR95*FP95*FP95)+(FO95*FO95)/(AR95*FM95*FM95))</f>
        <v>1.60050172160975E-4</v>
      </c>
      <c r="GI95" s="15">
        <v>1.2</v>
      </c>
      <c r="GJ95" s="15">
        <v>0.01</v>
      </c>
      <c r="GK95" s="15">
        <f>GJ95*SQRT(AR95)</f>
        <v>1.7320508075688773E-2</v>
      </c>
      <c r="GL95" s="15">
        <v>2.2000000000000002</v>
      </c>
      <c r="GM95" s="15">
        <v>0.02</v>
      </c>
      <c r="GN95" s="15">
        <f>GM95*SQRT(AR95)</f>
        <v>3.4641016151377546E-2</v>
      </c>
      <c r="GO95" s="15">
        <f t="shared" si="114"/>
        <v>1.8333333333333335</v>
      </c>
      <c r="GP95" s="15">
        <f t="shared" si="115"/>
        <v>1.0000000000000002</v>
      </c>
      <c r="GQ95" s="15">
        <f t="shared" si="116"/>
        <v>0.60613580357031571</v>
      </c>
      <c r="GR95" s="15">
        <f>((GN95*GN95)/(AR95*GL95*GL95)+(GK95*GK95)/(AR95*GI95*GI95))</f>
        <v>1.52089072543618E-4</v>
      </c>
      <c r="HY95" s="25">
        <f>CY95</f>
        <v>22500</v>
      </c>
      <c r="HZ95" s="25">
        <f>CZ95</f>
        <v>28.846153846153843</v>
      </c>
      <c r="IA95" s="25">
        <f>DA95</f>
        <v>67500</v>
      </c>
    </row>
    <row r="96" spans="1:235" s="15" customFormat="1" x14ac:dyDescent="0.25">
      <c r="A96" s="31">
        <v>94</v>
      </c>
      <c r="B96" s="1">
        <v>19</v>
      </c>
      <c r="C96" s="1">
        <v>19</v>
      </c>
      <c r="D96" s="15" t="s">
        <v>59</v>
      </c>
      <c r="E96" s="1">
        <v>2</v>
      </c>
      <c r="F96" s="15" t="s">
        <v>777</v>
      </c>
      <c r="G96" s="15" t="s">
        <v>792</v>
      </c>
      <c r="H96" s="15" t="s">
        <v>791</v>
      </c>
      <c r="I96" s="1">
        <v>2017</v>
      </c>
      <c r="J96" s="15" t="s">
        <v>790</v>
      </c>
      <c r="K96" s="1"/>
      <c r="L96" s="15" t="s">
        <v>794</v>
      </c>
      <c r="M96" s="15" t="s">
        <v>793</v>
      </c>
      <c r="N96" s="15" t="s">
        <v>23</v>
      </c>
      <c r="O96" s="31">
        <v>2</v>
      </c>
      <c r="P96" s="15">
        <v>39.911000000000001</v>
      </c>
      <c r="Q96" s="15">
        <v>116.413</v>
      </c>
      <c r="U96" s="15" t="s">
        <v>807</v>
      </c>
      <c r="V96" s="31">
        <v>2</v>
      </c>
      <c r="W96" s="16" t="s">
        <v>1165</v>
      </c>
      <c r="X96" s="15" t="s">
        <v>731</v>
      </c>
      <c r="Y96" s="1">
        <v>12</v>
      </c>
      <c r="Z96" s="15">
        <v>5.37</v>
      </c>
      <c r="AA96" s="15" t="s">
        <v>574</v>
      </c>
      <c r="AB96" s="15">
        <f t="shared" si="68"/>
        <v>5.37</v>
      </c>
      <c r="AC96" s="1">
        <v>3</v>
      </c>
      <c r="AD96" s="15">
        <v>73</v>
      </c>
      <c r="AF96" s="15">
        <v>1.1599999999999999</v>
      </c>
      <c r="AJ96" s="15">
        <v>0.8</v>
      </c>
      <c r="AK96" s="15">
        <v>1.9</v>
      </c>
      <c r="AL96" s="15">
        <v>97.3</v>
      </c>
      <c r="AM96" s="1">
        <v>3</v>
      </c>
      <c r="AQ96" s="1"/>
      <c r="AR96" s="1">
        <v>3</v>
      </c>
      <c r="CC96" s="15" t="s">
        <v>795</v>
      </c>
      <c r="CE96" s="15">
        <v>2</v>
      </c>
      <c r="CF96" s="15">
        <f t="shared" si="110"/>
        <v>45000</v>
      </c>
      <c r="CG96" s="15" t="s">
        <v>766</v>
      </c>
      <c r="CH96" s="15">
        <v>10.25</v>
      </c>
      <c r="CI96" s="15">
        <v>700</v>
      </c>
      <c r="CK96" s="15">
        <v>99</v>
      </c>
      <c r="CM96" s="15">
        <v>0.18</v>
      </c>
      <c r="CP96" s="15">
        <v>5.33</v>
      </c>
      <c r="CQ96" s="15">
        <v>0.46</v>
      </c>
      <c r="CR96" s="15">
        <v>3.5329999999999999</v>
      </c>
      <c r="CS96" s="15">
        <v>0.129</v>
      </c>
      <c r="CT96" s="15">
        <v>7.4999999999999997E-2</v>
      </c>
      <c r="CY96" s="25">
        <f t="shared" si="111"/>
        <v>45000</v>
      </c>
      <c r="CZ96" s="25">
        <f t="shared" si="112"/>
        <v>57.692307692307686</v>
      </c>
      <c r="DA96" s="25">
        <f t="shared" si="113"/>
        <v>135000</v>
      </c>
      <c r="FK96" s="16">
        <f t="shared" si="69"/>
        <v>5.4</v>
      </c>
      <c r="FL96" s="16">
        <f t="shared" si="70"/>
        <v>6.2</v>
      </c>
      <c r="FM96" s="15">
        <v>5.4</v>
      </c>
      <c r="FN96" s="15">
        <v>0.05</v>
      </c>
      <c r="FO96" s="15">
        <f>FN96*SQRT(AR96)</f>
        <v>8.6602540378443865E-2</v>
      </c>
      <c r="FP96" s="15">
        <v>6.2</v>
      </c>
      <c r="FQ96" s="15">
        <v>0.06</v>
      </c>
      <c r="FR96" s="15">
        <f>FQ96*SQRT(AR96)</f>
        <v>0.10392304845413262</v>
      </c>
      <c r="FS96" s="15">
        <f t="shared" si="76"/>
        <v>1.1481481481481481</v>
      </c>
      <c r="FT96" s="15">
        <f t="shared" si="77"/>
        <v>0.79999999999999982</v>
      </c>
      <c r="FU96" s="15">
        <f t="shared" si="78"/>
        <v>0.13815033848081715</v>
      </c>
      <c r="FV96" s="15">
        <f>((FR96*FR96)/(AR96*FP96*FP96)+(FO96*FO96)/(AR96*FM96*FM96))</f>
        <v>1.7938632739958514E-4</v>
      </c>
      <c r="GI96" s="15">
        <v>1.2</v>
      </c>
      <c r="GJ96" s="15">
        <v>0.01</v>
      </c>
      <c r="GK96" s="15">
        <f>GJ96*SQRT(AR96)</f>
        <v>1.7320508075688773E-2</v>
      </c>
      <c r="GL96" s="15">
        <v>3.3</v>
      </c>
      <c r="GM96" s="15">
        <v>0.03</v>
      </c>
      <c r="GN96" s="15">
        <f>GM96*SQRT(AR96)</f>
        <v>5.1961524227066312E-2</v>
      </c>
      <c r="GO96" s="15">
        <f t="shared" si="114"/>
        <v>2.75</v>
      </c>
      <c r="GP96" s="15">
        <f t="shared" si="115"/>
        <v>2.0999999999999996</v>
      </c>
      <c r="GQ96" s="15">
        <f t="shared" si="116"/>
        <v>1.0116009116784799</v>
      </c>
      <c r="GR96" s="15">
        <f>((GN96*GN96)/(AR96*GL96*GL96)+(GK96*GK96)/(AR96*GI96*GI96))</f>
        <v>1.52089072543618E-4</v>
      </c>
      <c r="HY96" s="25">
        <f>CY96</f>
        <v>45000</v>
      </c>
      <c r="HZ96" s="25">
        <f>CZ96</f>
        <v>57.692307692307686</v>
      </c>
      <c r="IA96" s="25">
        <f>DA96</f>
        <v>135000</v>
      </c>
    </row>
    <row r="97" spans="1:235" s="15" customFormat="1" x14ac:dyDescent="0.25">
      <c r="A97" s="31">
        <v>95</v>
      </c>
      <c r="B97" s="1">
        <v>19</v>
      </c>
      <c r="C97" s="1">
        <v>19</v>
      </c>
      <c r="D97" s="15" t="s">
        <v>60</v>
      </c>
      <c r="E97" s="1">
        <v>2</v>
      </c>
      <c r="F97" s="15" t="s">
        <v>777</v>
      </c>
      <c r="G97" s="15" t="s">
        <v>792</v>
      </c>
      <c r="H97" s="15" t="s">
        <v>791</v>
      </c>
      <c r="I97" s="1">
        <v>2017</v>
      </c>
      <c r="J97" s="15" t="s">
        <v>790</v>
      </c>
      <c r="K97" s="1"/>
      <c r="L97" s="15" t="s">
        <v>794</v>
      </c>
      <c r="M97" s="15" t="s">
        <v>793</v>
      </c>
      <c r="N97" s="15" t="s">
        <v>23</v>
      </c>
      <c r="O97" s="31">
        <v>2</v>
      </c>
      <c r="P97" s="15">
        <v>39.911000000000001</v>
      </c>
      <c r="Q97" s="15">
        <v>116.413</v>
      </c>
      <c r="U97" s="15" t="s">
        <v>807</v>
      </c>
      <c r="V97" s="31">
        <v>2</v>
      </c>
      <c r="W97" s="16" t="s">
        <v>1165</v>
      </c>
      <c r="X97" s="15" t="s">
        <v>731</v>
      </c>
      <c r="Y97" s="1">
        <v>12</v>
      </c>
      <c r="Z97" s="15">
        <v>5.37</v>
      </c>
      <c r="AA97" s="15" t="s">
        <v>574</v>
      </c>
      <c r="AB97" s="15">
        <f t="shared" si="68"/>
        <v>5.37</v>
      </c>
      <c r="AC97" s="1">
        <v>3</v>
      </c>
      <c r="AD97" s="15">
        <v>73</v>
      </c>
      <c r="AF97" s="15">
        <v>1.1599999999999999</v>
      </c>
      <c r="AJ97" s="15">
        <v>0.8</v>
      </c>
      <c r="AK97" s="15">
        <v>1.9</v>
      </c>
      <c r="AL97" s="15">
        <v>97.3</v>
      </c>
      <c r="AM97" s="1">
        <v>3</v>
      </c>
      <c r="AQ97" s="1"/>
      <c r="AR97" s="1">
        <v>3</v>
      </c>
      <c r="CC97" s="15" t="s">
        <v>795</v>
      </c>
      <c r="CE97" s="15">
        <v>3</v>
      </c>
      <c r="CF97" s="15">
        <f t="shared" si="110"/>
        <v>67500</v>
      </c>
      <c r="CG97" s="15" t="s">
        <v>766</v>
      </c>
      <c r="CH97" s="15">
        <v>10.25</v>
      </c>
      <c r="CI97" s="15">
        <v>700</v>
      </c>
      <c r="CK97" s="15">
        <v>99</v>
      </c>
      <c r="CM97" s="15">
        <v>0.18</v>
      </c>
      <c r="CP97" s="15">
        <v>5.33</v>
      </c>
      <c r="CQ97" s="15">
        <v>0.46</v>
      </c>
      <c r="CR97" s="15">
        <v>3.5329999999999999</v>
      </c>
      <c r="CS97" s="15">
        <v>0.129</v>
      </c>
      <c r="CT97" s="15">
        <v>7.4999999999999997E-2</v>
      </c>
      <c r="CY97" s="25">
        <f t="shared" si="111"/>
        <v>67500</v>
      </c>
      <c r="CZ97" s="25">
        <f t="shared" si="112"/>
        <v>86.538461538461533</v>
      </c>
      <c r="DA97" s="25">
        <f t="shared" si="113"/>
        <v>202500</v>
      </c>
      <c r="FK97" s="16">
        <f t="shared" si="69"/>
        <v>5.4</v>
      </c>
      <c r="FL97" s="16">
        <f t="shared" si="70"/>
        <v>6.8</v>
      </c>
      <c r="FM97" s="15">
        <v>5.4</v>
      </c>
      <c r="FN97" s="15">
        <v>0.05</v>
      </c>
      <c r="FO97" s="15">
        <f>FN97*SQRT(AR97)</f>
        <v>8.6602540378443865E-2</v>
      </c>
      <c r="FP97" s="15">
        <v>6.8</v>
      </c>
      <c r="FQ97" s="15">
        <v>0.06</v>
      </c>
      <c r="FR97" s="15">
        <f>FQ97*SQRT(AR97)</f>
        <v>0.10392304845413262</v>
      </c>
      <c r="FS97" s="15">
        <f t="shared" si="76"/>
        <v>1.2592592592592591</v>
      </c>
      <c r="FT97" s="15">
        <f t="shared" si="77"/>
        <v>1.3999999999999995</v>
      </c>
      <c r="FU97" s="15">
        <f t="shared" si="78"/>
        <v>0.23052365861183222</v>
      </c>
      <c r="FV97" s="15">
        <f>((FR97*FR97)/(AR97*FP97*FP97)+(FO97*FO97)/(AR97*FM97*FM97))</f>
        <v>1.6358855331045512E-4</v>
      </c>
      <c r="GI97" s="15">
        <v>1.2</v>
      </c>
      <c r="GJ97" s="15">
        <v>0.01</v>
      </c>
      <c r="GK97" s="15">
        <f>GJ97*SQRT(AR97)</f>
        <v>1.7320508075688773E-2</v>
      </c>
      <c r="GL97" s="15">
        <v>4</v>
      </c>
      <c r="GM97" s="15">
        <v>0.04</v>
      </c>
      <c r="GN97" s="15">
        <f>GM97*SQRT(AR97)</f>
        <v>6.9282032302755092E-2</v>
      </c>
      <c r="GO97" s="15">
        <f t="shared" si="114"/>
        <v>3.3333333333333335</v>
      </c>
      <c r="GP97" s="15">
        <f t="shared" si="115"/>
        <v>2.8</v>
      </c>
      <c r="GQ97" s="15">
        <f t="shared" si="116"/>
        <v>1.2039728043259359</v>
      </c>
      <c r="GR97" s="15">
        <f>((GN97*GN97)/(AR97*GL97*GL97)+(GK97*GK97)/(AR97*GI97*GI97))</f>
        <v>1.6944444444444445E-4</v>
      </c>
      <c r="HY97" s="25">
        <f>CY97</f>
        <v>67500</v>
      </c>
      <c r="HZ97" s="25">
        <f>CZ97</f>
        <v>86.538461538461533</v>
      </c>
      <c r="IA97" s="25">
        <f>DA97</f>
        <v>202500</v>
      </c>
    </row>
    <row r="98" spans="1:235" s="15" customFormat="1" x14ac:dyDescent="0.25">
      <c r="A98" s="31">
        <v>96</v>
      </c>
      <c r="B98" s="1">
        <v>19</v>
      </c>
      <c r="C98" s="1">
        <v>19</v>
      </c>
      <c r="D98" s="15" t="s">
        <v>61</v>
      </c>
      <c r="E98" s="1">
        <v>2</v>
      </c>
      <c r="F98" s="15" t="s">
        <v>777</v>
      </c>
      <c r="G98" s="15" t="s">
        <v>792</v>
      </c>
      <c r="H98" s="15" t="s">
        <v>791</v>
      </c>
      <c r="I98" s="1">
        <v>2017</v>
      </c>
      <c r="J98" s="15" t="s">
        <v>790</v>
      </c>
      <c r="K98" s="1"/>
      <c r="L98" s="15" t="s">
        <v>794</v>
      </c>
      <c r="M98" s="15" t="s">
        <v>793</v>
      </c>
      <c r="N98" s="15" t="s">
        <v>23</v>
      </c>
      <c r="O98" s="31">
        <v>2</v>
      </c>
      <c r="P98" s="15">
        <v>39.911000000000001</v>
      </c>
      <c r="Q98" s="15">
        <v>116.413</v>
      </c>
      <c r="U98" s="15" t="s">
        <v>807</v>
      </c>
      <c r="V98" s="31">
        <v>2</v>
      </c>
      <c r="W98" s="16" t="s">
        <v>1165</v>
      </c>
      <c r="X98" s="15" t="s">
        <v>731</v>
      </c>
      <c r="Y98" s="1">
        <v>12</v>
      </c>
      <c r="Z98" s="15">
        <v>5.37</v>
      </c>
      <c r="AA98" s="15" t="s">
        <v>574</v>
      </c>
      <c r="AB98" s="15">
        <f t="shared" si="68"/>
        <v>5.37</v>
      </c>
      <c r="AC98" s="1">
        <v>3</v>
      </c>
      <c r="AD98" s="15">
        <v>73</v>
      </c>
      <c r="AF98" s="15">
        <v>1.1599999999999999</v>
      </c>
      <c r="AJ98" s="15">
        <v>0.8</v>
      </c>
      <c r="AK98" s="15">
        <v>1.9</v>
      </c>
      <c r="AL98" s="15">
        <v>97.3</v>
      </c>
      <c r="AM98" s="1">
        <v>3</v>
      </c>
      <c r="AQ98" s="1"/>
      <c r="AR98" s="1">
        <v>3</v>
      </c>
      <c r="BP98" s="16"/>
      <c r="BQ98" s="16"/>
      <c r="BR98" s="16"/>
      <c r="BU98" s="16"/>
      <c r="CC98" s="15" t="s">
        <v>795</v>
      </c>
      <c r="CE98" s="15">
        <v>4</v>
      </c>
      <c r="CF98" s="15">
        <f t="shared" si="110"/>
        <v>90000</v>
      </c>
      <c r="CG98" s="15" t="s">
        <v>766</v>
      </c>
      <c r="CH98" s="15">
        <v>10.25</v>
      </c>
      <c r="CI98" s="15">
        <v>700</v>
      </c>
      <c r="CK98" s="15">
        <v>99</v>
      </c>
      <c r="CM98" s="15">
        <v>0.18</v>
      </c>
      <c r="CP98" s="15">
        <v>5.33</v>
      </c>
      <c r="CQ98" s="15">
        <v>0.46</v>
      </c>
      <c r="CR98" s="15">
        <v>3.5329999999999999</v>
      </c>
      <c r="CS98" s="15">
        <v>0.129</v>
      </c>
      <c r="CT98" s="15">
        <v>7.4999999999999997E-2</v>
      </c>
      <c r="CY98" s="25">
        <f t="shared" si="111"/>
        <v>90000</v>
      </c>
      <c r="CZ98" s="25">
        <f t="shared" si="112"/>
        <v>115.38461538461537</v>
      </c>
      <c r="DA98" s="25">
        <f t="shared" si="113"/>
        <v>270000</v>
      </c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>
        <f t="shared" si="69"/>
        <v>5.4</v>
      </c>
      <c r="FL98" s="16">
        <f t="shared" si="70"/>
        <v>7.1</v>
      </c>
      <c r="FM98" s="15">
        <v>5.4</v>
      </c>
      <c r="FN98" s="15">
        <v>0.05</v>
      </c>
      <c r="FO98" s="15">
        <f>FN98*SQRT(AR98)</f>
        <v>8.6602540378443865E-2</v>
      </c>
      <c r="FP98" s="15">
        <v>7.1</v>
      </c>
      <c r="FQ98" s="15">
        <v>7.0000000000000007E-2</v>
      </c>
      <c r="FR98" s="15">
        <f>FQ98*SQRT(AR98)</f>
        <v>0.12124355652982141</v>
      </c>
      <c r="FS98" s="15">
        <f t="shared" si="76"/>
        <v>1.3148148148148147</v>
      </c>
      <c r="FT98" s="15">
        <f t="shared" si="77"/>
        <v>1.6999999999999993</v>
      </c>
      <c r="FU98" s="15">
        <f t="shared" si="78"/>
        <v>0.27369583047704094</v>
      </c>
      <c r="FV98" s="15">
        <f>((FR98*FR98)/(AR98*FP98*FP98)+(FO98*FO98)/(AR98*FM98*FM98))</f>
        <v>1.8293681795558995E-4</v>
      </c>
      <c r="GI98" s="15">
        <v>1.2</v>
      </c>
      <c r="GJ98" s="15">
        <v>0.01</v>
      </c>
      <c r="GK98" s="15">
        <f>GJ98*SQRT(AR98)</f>
        <v>1.7320508075688773E-2</v>
      </c>
      <c r="GL98" s="15">
        <v>4.4000000000000004</v>
      </c>
      <c r="GM98" s="15">
        <v>0.04</v>
      </c>
      <c r="GN98" s="15">
        <f>GM98*SQRT(AR98)</f>
        <v>6.9282032302755092E-2</v>
      </c>
      <c r="GO98" s="15">
        <f t="shared" si="114"/>
        <v>3.666666666666667</v>
      </c>
      <c r="GP98" s="15">
        <f t="shared" si="115"/>
        <v>3.2</v>
      </c>
      <c r="GQ98" s="15">
        <f t="shared" si="116"/>
        <v>1.2992829841302609</v>
      </c>
      <c r="GR98" s="15">
        <f>((GN98*GN98)/(AR98*GL98*GL98)+(GK98*GK98)/(AR98*GI98*GI98))</f>
        <v>1.52089072543618E-4</v>
      </c>
      <c r="HY98" s="25">
        <f>CY98</f>
        <v>90000</v>
      </c>
      <c r="HZ98" s="25">
        <f>CZ98</f>
        <v>115.38461538461537</v>
      </c>
      <c r="IA98" s="25">
        <f>DA98</f>
        <v>270000</v>
      </c>
    </row>
    <row r="99" spans="1:235" s="15" customFormat="1" x14ac:dyDescent="0.25">
      <c r="A99" s="31">
        <v>97</v>
      </c>
      <c r="B99" s="1">
        <v>19</v>
      </c>
      <c r="C99" s="1">
        <v>19</v>
      </c>
      <c r="D99" s="15" t="s">
        <v>62</v>
      </c>
      <c r="E99" s="1">
        <v>2</v>
      </c>
      <c r="F99" s="15" t="s">
        <v>777</v>
      </c>
      <c r="G99" s="15" t="s">
        <v>792</v>
      </c>
      <c r="H99" s="15" t="s">
        <v>791</v>
      </c>
      <c r="I99" s="1">
        <v>2017</v>
      </c>
      <c r="J99" s="15" t="s">
        <v>790</v>
      </c>
      <c r="K99" s="1"/>
      <c r="L99" s="15" t="s">
        <v>794</v>
      </c>
      <c r="M99" s="15" t="s">
        <v>793</v>
      </c>
      <c r="N99" s="15" t="s">
        <v>23</v>
      </c>
      <c r="O99" s="31">
        <v>2</v>
      </c>
      <c r="P99" s="15">
        <v>39.911000000000001</v>
      </c>
      <c r="Q99" s="15">
        <v>116.413</v>
      </c>
      <c r="U99" s="15" t="s">
        <v>807</v>
      </c>
      <c r="V99" s="31">
        <v>2</v>
      </c>
      <c r="W99" s="16" t="s">
        <v>1165</v>
      </c>
      <c r="X99" s="15" t="s">
        <v>731</v>
      </c>
      <c r="Y99" s="1">
        <v>12</v>
      </c>
      <c r="Z99" s="15">
        <v>5.37</v>
      </c>
      <c r="AA99" s="15" t="s">
        <v>574</v>
      </c>
      <c r="AB99" s="15">
        <f t="shared" si="68"/>
        <v>5.37</v>
      </c>
      <c r="AC99" s="1">
        <v>3</v>
      </c>
      <c r="AD99" s="15">
        <v>73</v>
      </c>
      <c r="AF99" s="15">
        <v>1.1599999999999999</v>
      </c>
      <c r="AJ99" s="15">
        <v>0.8</v>
      </c>
      <c r="AK99" s="15">
        <v>1.9</v>
      </c>
      <c r="AL99" s="15">
        <v>97.3</v>
      </c>
      <c r="AM99" s="1">
        <v>3</v>
      </c>
      <c r="AQ99" s="1"/>
      <c r="AR99" s="1">
        <v>3</v>
      </c>
      <c r="BP99" s="16"/>
      <c r="BQ99" s="16"/>
      <c r="BR99" s="16"/>
      <c r="BU99" s="16"/>
      <c r="CC99" s="15" t="s">
        <v>795</v>
      </c>
      <c r="CE99" s="15">
        <v>5</v>
      </c>
      <c r="CF99" s="15">
        <f t="shared" si="110"/>
        <v>112500</v>
      </c>
      <c r="CG99" s="15" t="s">
        <v>766</v>
      </c>
      <c r="CH99" s="15">
        <v>10.25</v>
      </c>
      <c r="CI99" s="15">
        <v>700</v>
      </c>
      <c r="CK99" s="15">
        <v>99</v>
      </c>
      <c r="CM99" s="15">
        <v>0.18</v>
      </c>
      <c r="CP99" s="15">
        <v>5.33</v>
      </c>
      <c r="CQ99" s="15">
        <v>0.46</v>
      </c>
      <c r="CR99" s="15">
        <v>3.5329999999999999</v>
      </c>
      <c r="CS99" s="15">
        <v>0.129</v>
      </c>
      <c r="CT99" s="15">
        <v>7.4999999999999997E-2</v>
      </c>
      <c r="CY99" s="25">
        <f t="shared" si="111"/>
        <v>112500</v>
      </c>
      <c r="CZ99" s="25">
        <f t="shared" si="112"/>
        <v>144.23076923076923</v>
      </c>
      <c r="DA99" s="25">
        <f t="shared" si="113"/>
        <v>337500</v>
      </c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>
        <f t="shared" si="69"/>
        <v>5.4</v>
      </c>
      <c r="FL99" s="16">
        <f t="shared" si="70"/>
        <v>8.1999999999999993</v>
      </c>
      <c r="FM99" s="15">
        <v>5.4</v>
      </c>
      <c r="FN99" s="15">
        <v>0.05</v>
      </c>
      <c r="FO99" s="15">
        <f>FN99*SQRT(AR99)</f>
        <v>8.6602540378443865E-2</v>
      </c>
      <c r="FP99" s="15">
        <v>8.1999999999999993</v>
      </c>
      <c r="FQ99" s="15">
        <v>0.08</v>
      </c>
      <c r="FR99" s="15">
        <f>FQ99*SQRT(AR99)</f>
        <v>0.13856406460551018</v>
      </c>
      <c r="FS99" s="15">
        <f t="shared" si="76"/>
        <v>1.5185185185185184</v>
      </c>
      <c r="FT99" s="15">
        <f t="shared" si="77"/>
        <v>2.7999999999999989</v>
      </c>
      <c r="FU99" s="15">
        <f t="shared" si="78"/>
        <v>0.4177352006999786</v>
      </c>
      <c r="FV99" s="15">
        <f>((FR99*FR99)/(AR99*FP99*FP99)+(FO99*FO99)/(AR99*FM99*FM99))</f>
        <v>1.8091532164945257E-4</v>
      </c>
      <c r="GI99" s="15">
        <v>1.2</v>
      </c>
      <c r="GJ99" s="15">
        <v>0.01</v>
      </c>
      <c r="GK99" s="15">
        <f>GJ99*SQRT(AR99)</f>
        <v>1.7320508075688773E-2</v>
      </c>
      <c r="GL99" s="15">
        <v>4.8</v>
      </c>
      <c r="GM99" s="15">
        <v>0.05</v>
      </c>
      <c r="GN99" s="15">
        <f>GM99*SQRT(AR99)</f>
        <v>8.6602540378443865E-2</v>
      </c>
      <c r="GO99" s="15">
        <f t="shared" si="114"/>
        <v>4</v>
      </c>
      <c r="GP99" s="15">
        <f t="shared" si="115"/>
        <v>3.5999999999999996</v>
      </c>
      <c r="GQ99" s="15">
        <f t="shared" si="116"/>
        <v>1.3862943611198906</v>
      </c>
      <c r="GR99" s="15">
        <f>((GN99*GN99)/(AR99*GL99*GL99)+(GK99*GK99)/(AR99*GI99*GI99))</f>
        <v>1.779513888888889E-4</v>
      </c>
      <c r="HY99" s="25">
        <f>CY99</f>
        <v>112500</v>
      </c>
      <c r="HZ99" s="25">
        <f>CZ99</f>
        <v>144.23076923076923</v>
      </c>
      <c r="IA99" s="25">
        <f>DA99</f>
        <v>337500</v>
      </c>
    </row>
    <row r="100" spans="1:235" s="15" customFormat="1" x14ac:dyDescent="0.25">
      <c r="A100" s="31">
        <v>98</v>
      </c>
      <c r="B100" s="1">
        <v>20</v>
      </c>
      <c r="C100" s="1">
        <v>20</v>
      </c>
      <c r="D100" s="15" t="s">
        <v>63</v>
      </c>
      <c r="E100" s="1">
        <v>2</v>
      </c>
      <c r="F100" s="15" t="s">
        <v>777</v>
      </c>
      <c r="G100" s="15" t="s">
        <v>799</v>
      </c>
      <c r="H100" s="15" t="s">
        <v>800</v>
      </c>
      <c r="I100" s="1">
        <v>2015</v>
      </c>
      <c r="J100" s="15" t="s">
        <v>801</v>
      </c>
      <c r="K100" s="1"/>
      <c r="L100" s="15" t="s">
        <v>802</v>
      </c>
      <c r="M100" s="15" t="s">
        <v>480</v>
      </c>
      <c r="N100" s="15" t="s">
        <v>23</v>
      </c>
      <c r="O100" s="31">
        <v>2</v>
      </c>
      <c r="P100" s="15">
        <v>19.510000000000002</v>
      </c>
      <c r="Q100" s="15">
        <v>109.49</v>
      </c>
      <c r="U100" s="15" t="s">
        <v>807</v>
      </c>
      <c r="V100" s="31">
        <v>2</v>
      </c>
      <c r="W100" s="16" t="s">
        <v>1168</v>
      </c>
      <c r="X100" s="62" t="s">
        <v>803</v>
      </c>
      <c r="Y100" s="1"/>
      <c r="Z100" s="15">
        <v>4.92</v>
      </c>
      <c r="AA100" s="15" t="s">
        <v>574</v>
      </c>
      <c r="AB100" s="15">
        <f t="shared" si="68"/>
        <v>4.92</v>
      </c>
      <c r="AC100" s="1">
        <v>2</v>
      </c>
      <c r="AD100" s="15">
        <v>15.7</v>
      </c>
      <c r="AF100" s="15">
        <v>4.03</v>
      </c>
      <c r="AM100" s="1">
        <v>3</v>
      </c>
      <c r="AQ100" s="1"/>
      <c r="AR100" s="1">
        <v>3</v>
      </c>
      <c r="BP100" s="16"/>
      <c r="BQ100" s="16"/>
      <c r="BR100" s="16"/>
      <c r="BU100" s="16"/>
      <c r="CC100" s="15" t="s">
        <v>804</v>
      </c>
      <c r="CE100" s="15">
        <v>1.5</v>
      </c>
      <c r="CF100" s="15">
        <f t="shared" si="110"/>
        <v>33750</v>
      </c>
      <c r="CG100" s="15" t="s">
        <v>766</v>
      </c>
      <c r="CH100" s="15">
        <v>9.2100000000000009</v>
      </c>
      <c r="CI100" s="15">
        <v>400</v>
      </c>
      <c r="CJ100" s="15">
        <v>51.5</v>
      </c>
      <c r="CK100" s="15">
        <v>493.1</v>
      </c>
      <c r="CL100" s="15">
        <v>21.2</v>
      </c>
      <c r="CY100" s="25">
        <f t="shared" si="111"/>
        <v>33750</v>
      </c>
      <c r="CZ100" s="25">
        <f t="shared" si="112"/>
        <v>43.269230769230766</v>
      </c>
      <c r="DA100" s="25">
        <f t="shared" si="113"/>
        <v>101250</v>
      </c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>
        <f t="shared" si="69"/>
        <v>4.5199999999999996</v>
      </c>
      <c r="FL100" s="16">
        <f t="shared" si="70"/>
        <v>5.3</v>
      </c>
      <c r="FM100" s="15">
        <v>4.5199999999999996</v>
      </c>
      <c r="FN100" s="15">
        <v>0.2</v>
      </c>
      <c r="FO100" s="15">
        <f>FN100*SQRT(AR100)</f>
        <v>0.34641016151377546</v>
      </c>
      <c r="FP100" s="15">
        <v>5.3</v>
      </c>
      <c r="FQ100" s="15">
        <v>7.0000000000000007E-2</v>
      </c>
      <c r="FR100" s="15">
        <f>FQ100*SQRT(AR100)</f>
        <v>0.12124355652982141</v>
      </c>
      <c r="FS100" s="15">
        <f t="shared" si="76"/>
        <v>1.1725663716814161</v>
      </c>
      <c r="FT100" s="15">
        <f t="shared" si="77"/>
        <v>0.78000000000000025</v>
      </c>
      <c r="FU100" s="15">
        <f t="shared" si="78"/>
        <v>0.15919482671393625</v>
      </c>
      <c r="FV100" s="15">
        <f>((FR100*FR100)/(AR100*FP100*FP100)+(FO100*FO100)/(AR100*FM100*FM100))</f>
        <v>2.1323060106772807E-3</v>
      </c>
      <c r="GI100" s="15">
        <v>4</v>
      </c>
      <c r="GJ100" s="15">
        <v>0.1</v>
      </c>
      <c r="GK100" s="15">
        <f>GJ100*SQRT(AR100)</f>
        <v>0.17320508075688773</v>
      </c>
      <c r="GL100" s="15">
        <v>4.9000000000000004</v>
      </c>
      <c r="GM100" s="15">
        <v>0.06</v>
      </c>
      <c r="GN100" s="15">
        <f>GM100*SQRT(AR100)</f>
        <v>0.10392304845413262</v>
      </c>
      <c r="GO100" s="15">
        <f t="shared" si="114"/>
        <v>1.2250000000000001</v>
      </c>
      <c r="GP100" s="15">
        <f t="shared" si="115"/>
        <v>0.90000000000000036</v>
      </c>
      <c r="GQ100" s="15">
        <f t="shared" si="116"/>
        <v>0.20294084399669043</v>
      </c>
      <c r="GR100" s="15">
        <f>((GN100*GN100)/(AR100*GL100*GL100)+(GK100*GK100)/(AR100*GI100*GI100))</f>
        <v>7.7493752603082042E-4</v>
      </c>
      <c r="GT100" s="15">
        <v>36</v>
      </c>
      <c r="GU100" s="15">
        <v>0.1</v>
      </c>
      <c r="GV100" s="15">
        <f>GU100*SQRT(AR100)</f>
        <v>0.17320508075688773</v>
      </c>
      <c r="GW100" s="15">
        <v>62</v>
      </c>
      <c r="GX100" s="15">
        <v>0.2</v>
      </c>
      <c r="GY100" s="15">
        <f>GX100*SQRT(AR100)</f>
        <v>0.34641016151377546</v>
      </c>
      <c r="GZ100" s="15">
        <f>GW100/GT100</f>
        <v>1.7222222222222223</v>
      </c>
      <c r="HA100" s="15">
        <f>GW100-GT100</f>
        <v>26</v>
      </c>
      <c r="HB100" s="15">
        <f>LN(GW100)-LN(GT100)</f>
        <v>0.54361544658898175</v>
      </c>
      <c r="HC100" s="15">
        <f>((GY100*GY100)/(AR100*GW100*GW100)+(GV100*GV100)/(AR100*GT100*GT100))</f>
        <v>1.8121876645983478E-5</v>
      </c>
      <c r="HY100" s="25">
        <f>CY100</f>
        <v>33750</v>
      </c>
      <c r="HZ100" s="25">
        <f>CZ100</f>
        <v>43.269230769230766</v>
      </c>
      <c r="IA100" s="25">
        <f>DA100</f>
        <v>101250</v>
      </c>
    </row>
    <row r="101" spans="1:235" s="15" customFormat="1" x14ac:dyDescent="0.25">
      <c r="A101" s="31">
        <v>99</v>
      </c>
      <c r="B101" s="1">
        <v>20</v>
      </c>
      <c r="C101" s="1">
        <v>20</v>
      </c>
      <c r="D101" s="15" t="s">
        <v>64</v>
      </c>
      <c r="E101" s="1">
        <v>6</v>
      </c>
      <c r="F101" s="15" t="s">
        <v>797</v>
      </c>
      <c r="G101" s="15" t="s">
        <v>799</v>
      </c>
      <c r="H101" s="15" t="s">
        <v>800</v>
      </c>
      <c r="I101" s="1">
        <v>2015</v>
      </c>
      <c r="J101" s="15" t="s">
        <v>801</v>
      </c>
      <c r="K101" s="1"/>
      <c r="L101" s="15" t="s">
        <v>802</v>
      </c>
      <c r="M101" s="15" t="s">
        <v>480</v>
      </c>
      <c r="N101" s="15" t="s">
        <v>23</v>
      </c>
      <c r="O101" s="31">
        <v>2</v>
      </c>
      <c r="P101" s="15">
        <v>19.510000000000002</v>
      </c>
      <c r="Q101" s="15">
        <v>109.49</v>
      </c>
      <c r="U101" s="15" t="s">
        <v>807</v>
      </c>
      <c r="V101" s="31">
        <v>2</v>
      </c>
      <c r="W101" s="16" t="s">
        <v>1168</v>
      </c>
      <c r="X101" s="62" t="s">
        <v>803</v>
      </c>
      <c r="Y101" s="1"/>
      <c r="Z101" s="15">
        <v>4.92</v>
      </c>
      <c r="AA101" s="15" t="s">
        <v>574</v>
      </c>
      <c r="AB101" s="15">
        <f t="shared" si="68"/>
        <v>4.92</v>
      </c>
      <c r="AC101" s="1">
        <v>2</v>
      </c>
      <c r="AD101" s="15">
        <v>15.7</v>
      </c>
      <c r="AF101" s="15">
        <v>4.03</v>
      </c>
      <c r="AM101" s="1">
        <v>3</v>
      </c>
      <c r="AQ101" s="1"/>
      <c r="AR101" s="1">
        <v>3</v>
      </c>
      <c r="BP101" s="16"/>
      <c r="BQ101" s="16"/>
      <c r="BR101" s="16"/>
      <c r="BU101" s="16"/>
      <c r="CC101" s="15" t="s">
        <v>804</v>
      </c>
      <c r="CE101" s="15">
        <v>0.75</v>
      </c>
      <c r="CF101" s="15">
        <f t="shared" si="110"/>
        <v>16875</v>
      </c>
      <c r="CG101" s="15" t="s">
        <v>766</v>
      </c>
      <c r="CH101" s="15">
        <v>9.2100000000000009</v>
      </c>
      <c r="CI101" s="15">
        <v>400</v>
      </c>
      <c r="CJ101" s="15">
        <v>51.5</v>
      </c>
      <c r="CK101" s="15">
        <v>493.1</v>
      </c>
      <c r="CL101" s="15">
        <v>21.2</v>
      </c>
      <c r="CY101" s="25">
        <f t="shared" si="111"/>
        <v>16875</v>
      </c>
      <c r="CZ101" s="25">
        <f t="shared" si="112"/>
        <v>21.634615384615383</v>
      </c>
      <c r="DA101" s="25">
        <f t="shared" si="113"/>
        <v>50625</v>
      </c>
      <c r="DB101" s="15" t="s">
        <v>804</v>
      </c>
      <c r="DD101" s="15">
        <v>2.25</v>
      </c>
      <c r="DE101" s="15">
        <f>DD101*22500</f>
        <v>50625</v>
      </c>
      <c r="DF101" s="15" t="s">
        <v>766</v>
      </c>
      <c r="DK101" s="15">
        <v>6.3</v>
      </c>
      <c r="DL101" s="15">
        <v>1.6</v>
      </c>
      <c r="DM101" s="15">
        <v>21.1</v>
      </c>
      <c r="DS101" s="15">
        <f>DE101</f>
        <v>50625</v>
      </c>
      <c r="DT101" s="15">
        <f>DS101/0.6/1000</f>
        <v>84.375</v>
      </c>
      <c r="DU101" s="15">
        <f>DS101*0.2</f>
        <v>10125</v>
      </c>
      <c r="EW101" s="46">
        <f>AX101+BT101+CF101+DE101+DY101</f>
        <v>67500</v>
      </c>
      <c r="EX101" s="46">
        <f>BA101+BZ101+CZ101+DT101+ET101</f>
        <v>106.00961538461539</v>
      </c>
      <c r="EY101" s="46">
        <f>BB101+CA101+DA101+DU101+EU101</f>
        <v>60750</v>
      </c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>
        <f t="shared" si="69"/>
        <v>4.5199999999999996</v>
      </c>
      <c r="FL101" s="16">
        <f t="shared" si="70"/>
        <v>5.7</v>
      </c>
      <c r="FM101" s="15">
        <v>4.5199999999999996</v>
      </c>
      <c r="FN101" s="15">
        <v>0.2</v>
      </c>
      <c r="FO101" s="15">
        <f>FN101*SQRT(AR101)</f>
        <v>0.34641016151377546</v>
      </c>
      <c r="FP101" s="15">
        <v>5.7</v>
      </c>
      <c r="FQ101" s="15">
        <v>0.1</v>
      </c>
      <c r="FR101" s="15">
        <f>FQ101*SQRT(AR101)</f>
        <v>0.17320508075688773</v>
      </c>
      <c r="FS101" s="15">
        <f t="shared" si="76"/>
        <v>1.2610619469026549</v>
      </c>
      <c r="FT101" s="15">
        <f t="shared" si="77"/>
        <v>1.1800000000000006</v>
      </c>
      <c r="FU101" s="15">
        <f t="shared" si="78"/>
        <v>0.23195418099636478</v>
      </c>
      <c r="FV101" s="15">
        <f>((FR101*FR101)/(AR101*FP101*FP101)+(FO101*FO101)/(AR101*FM101*FM101))</f>
        <v>2.2656537198226094E-3</v>
      </c>
      <c r="GI101" s="15">
        <v>4</v>
      </c>
      <c r="GJ101" s="15">
        <v>0.1</v>
      </c>
      <c r="GK101" s="15">
        <f>GJ101*SQRT(AR101)</f>
        <v>0.17320508075688773</v>
      </c>
      <c r="GL101" s="15">
        <v>5.26</v>
      </c>
      <c r="GM101" s="15">
        <v>0.2</v>
      </c>
      <c r="GN101" s="15">
        <f>GM101*SQRT(AR101)</f>
        <v>0.34641016151377546</v>
      </c>
      <c r="GO101" s="15">
        <f t="shared" si="114"/>
        <v>1.3149999999999999</v>
      </c>
      <c r="GP101" s="15">
        <f t="shared" si="115"/>
        <v>1.2599999999999998</v>
      </c>
      <c r="GQ101" s="15">
        <f t="shared" si="116"/>
        <v>0.27383666562972797</v>
      </c>
      <c r="GR101" s="15">
        <f>((GN101*GN101)/(AR101*GL101*GL101)+(GK101*GK101)/(AR101*GI101*GI101))</f>
        <v>2.0707343607685525E-3</v>
      </c>
      <c r="GT101" s="15">
        <v>36</v>
      </c>
      <c r="GU101" s="15">
        <v>0.1</v>
      </c>
      <c r="GV101" s="15">
        <f>GU101*SQRT(AR101)</f>
        <v>0.17320508075688773</v>
      </c>
      <c r="GW101" s="15">
        <v>69</v>
      </c>
      <c r="GX101" s="15">
        <v>0.1</v>
      </c>
      <c r="GY101" s="15">
        <f>GX101*SQRT(AR101)</f>
        <v>0.17320508075688773</v>
      </c>
      <c r="GZ101" s="15">
        <f>GW101/GT101</f>
        <v>1.9166666666666667</v>
      </c>
      <c r="HA101" s="15">
        <f>GW101-GT101</f>
        <v>33</v>
      </c>
      <c r="HB101" s="15">
        <f>LN(GW101)-LN(GT101)</f>
        <v>0.65058756614114976</v>
      </c>
      <c r="HC101" s="15">
        <f>((GY101*GY101)/(AR101*GW101*GW101)+(GV101*GV101)/(AR101*GT101*GT101))</f>
        <v>9.816448458540457E-6</v>
      </c>
      <c r="HY101" s="15">
        <f>EW101</f>
        <v>67500</v>
      </c>
      <c r="HZ101" s="15">
        <f>EX101</f>
        <v>106.00961538461539</v>
      </c>
      <c r="IA101" s="15">
        <f>EY101</f>
        <v>60750</v>
      </c>
    </row>
    <row r="102" spans="1:235" s="15" customFormat="1" x14ac:dyDescent="0.25">
      <c r="A102" s="31">
        <v>100</v>
      </c>
      <c r="B102" s="1">
        <v>20</v>
      </c>
      <c r="C102" s="1">
        <v>20</v>
      </c>
      <c r="D102" s="15" t="s">
        <v>65</v>
      </c>
      <c r="E102" s="1">
        <v>5</v>
      </c>
      <c r="F102" s="15" t="s">
        <v>798</v>
      </c>
      <c r="G102" s="15" t="s">
        <v>799</v>
      </c>
      <c r="H102" s="15" t="s">
        <v>800</v>
      </c>
      <c r="I102" s="1">
        <v>2015</v>
      </c>
      <c r="J102" s="15" t="s">
        <v>801</v>
      </c>
      <c r="K102" s="1"/>
      <c r="L102" s="15" t="s">
        <v>802</v>
      </c>
      <c r="M102" s="15" t="s">
        <v>480</v>
      </c>
      <c r="N102" s="15" t="s">
        <v>23</v>
      </c>
      <c r="O102" s="31">
        <v>2</v>
      </c>
      <c r="P102" s="15">
        <v>19.510000000000002</v>
      </c>
      <c r="Q102" s="15">
        <v>109.49</v>
      </c>
      <c r="U102" s="15" t="s">
        <v>807</v>
      </c>
      <c r="V102" s="31">
        <v>2</v>
      </c>
      <c r="W102" s="16" t="s">
        <v>1168</v>
      </c>
      <c r="X102" s="62" t="s">
        <v>803</v>
      </c>
      <c r="Y102" s="1"/>
      <c r="Z102" s="15">
        <v>4.92</v>
      </c>
      <c r="AA102" s="15" t="s">
        <v>574</v>
      </c>
      <c r="AB102" s="15">
        <f t="shared" si="68"/>
        <v>4.92</v>
      </c>
      <c r="AC102" s="1">
        <v>2</v>
      </c>
      <c r="AD102" s="15">
        <v>15.7</v>
      </c>
      <c r="AF102" s="15">
        <v>4.03</v>
      </c>
      <c r="AM102" s="1">
        <v>3</v>
      </c>
      <c r="AQ102" s="1"/>
      <c r="AR102" s="1">
        <v>3</v>
      </c>
      <c r="BP102" s="16"/>
      <c r="BQ102" s="16"/>
      <c r="BR102" s="16"/>
      <c r="BU102" s="16"/>
      <c r="DB102" s="15" t="s">
        <v>804</v>
      </c>
      <c r="DD102" s="15">
        <v>4.5</v>
      </c>
      <c r="DE102" s="15">
        <f>DD102*22500</f>
        <v>101250</v>
      </c>
      <c r="DF102" s="15" t="s">
        <v>766</v>
      </c>
      <c r="DK102" s="15">
        <v>6.3</v>
      </c>
      <c r="DL102" s="15">
        <v>1.6</v>
      </c>
      <c r="DM102" s="15">
        <v>21.1</v>
      </c>
      <c r="DS102" s="15">
        <f>DE102</f>
        <v>101250</v>
      </c>
      <c r="DT102" s="15">
        <f>DS102/0.6/1000</f>
        <v>168.75</v>
      </c>
      <c r="DU102" s="15">
        <f>DS102*0.2</f>
        <v>20250</v>
      </c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>
        <f t="shared" si="69"/>
        <v>4.5199999999999996</v>
      </c>
      <c r="FL102" s="16">
        <f t="shared" si="70"/>
        <v>5.9</v>
      </c>
      <c r="FM102" s="15">
        <v>4.5199999999999996</v>
      </c>
      <c r="FN102" s="15">
        <v>0.2</v>
      </c>
      <c r="FO102" s="15">
        <f>FN102*SQRT(AR102)</f>
        <v>0.34641016151377546</v>
      </c>
      <c r="FP102" s="15">
        <v>5.9</v>
      </c>
      <c r="FQ102" s="15">
        <v>0.2</v>
      </c>
      <c r="FR102" s="15">
        <f>FQ102*SQRT(AR102)</f>
        <v>0.34641016151377546</v>
      </c>
      <c r="FS102" s="15">
        <f t="shared" si="76"/>
        <v>1.3053097345132745</v>
      </c>
      <c r="FT102" s="15">
        <f t="shared" si="77"/>
        <v>1.3800000000000008</v>
      </c>
      <c r="FU102" s="15">
        <f t="shared" si="78"/>
        <v>0.26644035706753399</v>
      </c>
      <c r="FV102" s="15">
        <f>((FR102*FR102)/(AR102*FP102*FP102)+(FO102*FO102)/(AR102*FM102*FM102))</f>
        <v>3.1069617960529901E-3</v>
      </c>
      <c r="GI102" s="15">
        <v>4</v>
      </c>
      <c r="GJ102" s="15">
        <v>0.1</v>
      </c>
      <c r="GK102" s="15">
        <f>GJ102*SQRT(AR102)</f>
        <v>0.17320508075688773</v>
      </c>
      <c r="GL102" s="15">
        <v>5.5</v>
      </c>
      <c r="GM102" s="15">
        <v>0.05</v>
      </c>
      <c r="GN102" s="15">
        <f>GM102*SQRT(AR102)</f>
        <v>8.6602540378443865E-2</v>
      </c>
      <c r="GO102" s="15">
        <f t="shared" si="114"/>
        <v>1.375</v>
      </c>
      <c r="GP102" s="15">
        <f t="shared" si="115"/>
        <v>1.5</v>
      </c>
      <c r="GQ102" s="15">
        <f t="shared" si="116"/>
        <v>0.3184537311185347</v>
      </c>
      <c r="GR102" s="15">
        <f>((GN102*GN102)/(AR102*GL102*GL102)+(GK102*GK102)/(AR102*GI102*GI102))</f>
        <v>7.0764462809917359E-4</v>
      </c>
      <c r="GT102" s="15">
        <v>36</v>
      </c>
      <c r="GU102" s="15">
        <v>0.1</v>
      </c>
      <c r="GV102" s="15">
        <f>GU102*SQRT(AR102)</f>
        <v>0.17320508075688773</v>
      </c>
      <c r="GW102" s="15">
        <v>87</v>
      </c>
      <c r="GX102" s="15">
        <v>0.1</v>
      </c>
      <c r="GY102" s="15">
        <f>GX102*SQRT(AR102)</f>
        <v>0.17320508075688773</v>
      </c>
      <c r="GZ102" s="15">
        <f>GW102/GT102</f>
        <v>2.4166666666666665</v>
      </c>
      <c r="HA102" s="15">
        <f>GW102-GT102</f>
        <v>51</v>
      </c>
      <c r="HB102" s="15">
        <f>LN(GW102)-LN(GT102)</f>
        <v>0.88238918019847379</v>
      </c>
      <c r="HC102" s="15">
        <f>((GY102*GY102)/(AR102*GW102*GW102)+(GV102*GV102)/(AR102*GT102*GT102))</f>
        <v>9.0372278739302118E-6</v>
      </c>
      <c r="HY102" s="15">
        <f>DS102</f>
        <v>101250</v>
      </c>
      <c r="HZ102" s="15">
        <f>DT102</f>
        <v>168.75</v>
      </c>
      <c r="IA102" s="15">
        <f>DU102</f>
        <v>20250</v>
      </c>
    </row>
    <row r="103" spans="1:235" s="15" customFormat="1" x14ac:dyDescent="0.25">
      <c r="A103" s="31">
        <v>101</v>
      </c>
      <c r="B103" s="1">
        <v>21</v>
      </c>
      <c r="C103" s="1">
        <v>21</v>
      </c>
      <c r="D103" s="15" t="s">
        <v>66</v>
      </c>
      <c r="E103" s="1">
        <v>2</v>
      </c>
      <c r="F103" s="15" t="s">
        <v>777</v>
      </c>
      <c r="G103" s="15" t="s">
        <v>805</v>
      </c>
      <c r="H103" s="15" t="s">
        <v>806</v>
      </c>
      <c r="I103" s="1">
        <v>2018</v>
      </c>
      <c r="J103" s="15" t="s">
        <v>757</v>
      </c>
      <c r="K103" s="1"/>
      <c r="L103" s="15" t="s">
        <v>594</v>
      </c>
      <c r="M103" s="15" t="s">
        <v>480</v>
      </c>
      <c r="N103" s="15" t="s">
        <v>23</v>
      </c>
      <c r="O103" s="31">
        <v>2</v>
      </c>
      <c r="P103" s="15">
        <v>30.47</v>
      </c>
      <c r="Q103" s="15">
        <v>114.35</v>
      </c>
      <c r="U103" s="15" t="s">
        <v>807</v>
      </c>
      <c r="V103" s="31">
        <v>2</v>
      </c>
      <c r="W103" s="16" t="s">
        <v>1149</v>
      </c>
      <c r="X103" s="15" t="s">
        <v>808</v>
      </c>
      <c r="Y103" s="1">
        <v>3</v>
      </c>
      <c r="Z103" s="15">
        <v>4.41</v>
      </c>
      <c r="AA103" s="15" t="s">
        <v>574</v>
      </c>
      <c r="AB103" s="15">
        <f t="shared" si="68"/>
        <v>4.41</v>
      </c>
      <c r="AC103" s="1">
        <v>1</v>
      </c>
      <c r="AD103" s="15">
        <f>5.06*1.74</f>
        <v>8.8043999999999993</v>
      </c>
      <c r="AM103" s="1">
        <v>3</v>
      </c>
      <c r="AQ103" s="1"/>
      <c r="AR103" s="1">
        <v>4</v>
      </c>
      <c r="BP103" s="16"/>
      <c r="BQ103" s="16"/>
      <c r="BR103" s="16"/>
      <c r="BU103" s="16"/>
      <c r="CC103" s="15" t="s">
        <v>577</v>
      </c>
      <c r="CE103" s="15">
        <v>2</v>
      </c>
      <c r="CF103" s="15">
        <f>CE103*22500</f>
        <v>45000</v>
      </c>
      <c r="CG103" s="15" t="s">
        <v>766</v>
      </c>
      <c r="CH103" s="15">
        <v>7.8</v>
      </c>
      <c r="CI103" s="15">
        <v>400</v>
      </c>
      <c r="CK103" s="15">
        <v>534.6</v>
      </c>
      <c r="CL103" s="15">
        <v>14.2</v>
      </c>
      <c r="CP103" s="15">
        <v>26</v>
      </c>
      <c r="CQ103" s="15">
        <v>7.7</v>
      </c>
      <c r="CR103" s="15">
        <v>4.9000000000000004</v>
      </c>
      <c r="CS103" s="15">
        <v>0.6</v>
      </c>
      <c r="CY103" s="25">
        <f t="shared" ref="CY103:CY137" si="117">CF103</f>
        <v>45000</v>
      </c>
      <c r="CZ103" s="25">
        <f t="shared" ref="CZ103:CZ137" si="118">CY103/0.78/1000</f>
        <v>57.692307692307686</v>
      </c>
      <c r="DA103" s="25">
        <f t="shared" ref="DA103:DA137" si="119">CY103*3</f>
        <v>135000</v>
      </c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>
        <f t="shared" si="69"/>
        <v>4.5</v>
      </c>
      <c r="FL103" s="16">
        <f t="shared" si="70"/>
        <v>4.92</v>
      </c>
      <c r="FM103" s="15">
        <v>4.5</v>
      </c>
      <c r="FN103" s="15">
        <v>0.08</v>
      </c>
      <c r="FO103" s="15">
        <f>FN103*SQRT(AR103)</f>
        <v>0.16</v>
      </c>
      <c r="FP103" s="15">
        <v>4.92</v>
      </c>
      <c r="FQ103" s="15">
        <v>0.08</v>
      </c>
      <c r="FR103" s="15">
        <f>FQ103*SQRT(AR103)</f>
        <v>0.16</v>
      </c>
      <c r="FS103" s="15">
        <f t="shared" si="76"/>
        <v>1.0933333333333333</v>
      </c>
      <c r="FT103" s="15">
        <f t="shared" si="77"/>
        <v>0.41999999999999993</v>
      </c>
      <c r="FU103" s="15">
        <f t="shared" si="78"/>
        <v>8.9231133727942558E-2</v>
      </c>
      <c r="FV103" s="15">
        <f>((FR103*FR103)/(AR103*FP103*FP103)+(FO103*FO103)/(AR103*FM103*FM103))</f>
        <v>5.8044227054736676E-4</v>
      </c>
      <c r="FX103" s="15">
        <v>6.6</v>
      </c>
      <c r="FY103" s="15">
        <v>0.26</v>
      </c>
      <c r="FZ103" s="15">
        <f>FY103*SQRT(AR103)</f>
        <v>0.52</v>
      </c>
      <c r="GA103" s="25">
        <v>16.95</v>
      </c>
      <c r="GB103" s="25">
        <v>0.68</v>
      </c>
      <c r="GC103" s="15">
        <f>GB103*SQRT(AR103)</f>
        <v>1.36</v>
      </c>
      <c r="GD103" s="15">
        <f>GA103/FX103</f>
        <v>2.5681818181818183</v>
      </c>
      <c r="GE103" s="15">
        <f>GA103-FX103</f>
        <v>10.35</v>
      </c>
      <c r="GF103" s="15">
        <f>LN(GA103)-LN(FX103)</f>
        <v>0.94319818479407935</v>
      </c>
      <c r="GG103" s="15">
        <f>((GC103*GC103)/(AR103*GA103*GA103)+(FZ103*FZ103)/(AR103*FX103*FX103))</f>
        <v>3.1613359116046741E-3</v>
      </c>
      <c r="HE103" s="25">
        <v>0.4</v>
      </c>
      <c r="HF103" s="25">
        <v>0.03</v>
      </c>
      <c r="HG103" s="15">
        <f>HF103*SQRT(AR103)</f>
        <v>0.06</v>
      </c>
      <c r="HH103" s="25">
        <v>3.2</v>
      </c>
      <c r="HI103" s="25">
        <v>0.48</v>
      </c>
      <c r="HJ103" s="15">
        <f>HI103*SQRT(AR103)</f>
        <v>0.96</v>
      </c>
      <c r="HK103" s="25">
        <f>HH103/HE103</f>
        <v>8</v>
      </c>
      <c r="HL103" s="15">
        <f>HH103-HE103</f>
        <v>2.8000000000000003</v>
      </c>
      <c r="HM103" s="15">
        <f>LN(HH103)-LN(HE103)</f>
        <v>2.0794415416798357</v>
      </c>
      <c r="HN103" s="15">
        <f>((HJ103*HJ103)/(AR103*HH103*HH103)+(HG103*HG103)/(AR103*HE103*HE103))</f>
        <v>2.8124999999999994E-2</v>
      </c>
      <c r="HP103" s="15" t="s">
        <v>598</v>
      </c>
      <c r="HV103" s="15">
        <f>HX103/HW103/100</f>
        <v>649.21276840003361</v>
      </c>
      <c r="HW103" s="15">
        <f>HM103</f>
        <v>2.0794415416798357</v>
      </c>
      <c r="HX103" s="25">
        <f>DA103</f>
        <v>135000</v>
      </c>
      <c r="HY103" s="25">
        <f>CY103</f>
        <v>45000</v>
      </c>
      <c r="HZ103" s="25">
        <f>CZ103</f>
        <v>57.692307692307686</v>
      </c>
      <c r="IA103" s="25">
        <f>DA103</f>
        <v>135000</v>
      </c>
    </row>
    <row r="104" spans="1:235" s="15" customFormat="1" x14ac:dyDescent="0.25">
      <c r="A104" s="31">
        <v>102</v>
      </c>
      <c r="B104" s="1">
        <v>22</v>
      </c>
      <c r="C104" s="1">
        <v>22</v>
      </c>
      <c r="D104" s="15" t="s">
        <v>67</v>
      </c>
      <c r="E104" s="1">
        <v>2</v>
      </c>
      <c r="F104" s="15" t="s">
        <v>777</v>
      </c>
      <c r="G104" s="15" t="s">
        <v>810</v>
      </c>
      <c r="H104" s="15" t="s">
        <v>812</v>
      </c>
      <c r="I104" s="1">
        <v>2020</v>
      </c>
      <c r="J104" s="15" t="s">
        <v>811</v>
      </c>
      <c r="K104" s="1">
        <v>2016</v>
      </c>
      <c r="L104" s="15" t="s">
        <v>813</v>
      </c>
      <c r="M104" s="15" t="s">
        <v>480</v>
      </c>
      <c r="N104" s="15" t="s">
        <v>23</v>
      </c>
      <c r="O104" s="31">
        <v>2</v>
      </c>
      <c r="P104" s="15">
        <v>26.37</v>
      </c>
      <c r="Q104" s="15">
        <v>116.87</v>
      </c>
      <c r="S104" s="15">
        <v>460</v>
      </c>
      <c r="U104" s="15" t="s">
        <v>549</v>
      </c>
      <c r="V104" s="31">
        <v>1</v>
      </c>
      <c r="W104" s="15" t="s">
        <v>1158</v>
      </c>
      <c r="X104" s="15" t="s">
        <v>521</v>
      </c>
      <c r="Y104" s="1">
        <v>6</v>
      </c>
      <c r="Z104" s="15">
        <v>4.5</v>
      </c>
      <c r="AA104" s="15" t="s">
        <v>574</v>
      </c>
      <c r="AB104" s="15">
        <f t="shared" si="68"/>
        <v>4.5</v>
      </c>
      <c r="AC104" s="1">
        <v>1</v>
      </c>
      <c r="AD104" s="15">
        <f>11.65*1.74</f>
        <v>20.271000000000001</v>
      </c>
      <c r="AM104" s="1">
        <v>3</v>
      </c>
      <c r="AN104" s="15">
        <v>1.19</v>
      </c>
      <c r="AQ104" s="1"/>
      <c r="AR104" s="1">
        <v>3</v>
      </c>
      <c r="CC104" s="15" t="s">
        <v>814</v>
      </c>
      <c r="CE104" s="15">
        <v>1</v>
      </c>
      <c r="CF104" s="15">
        <f>CE104*1000</f>
        <v>1000</v>
      </c>
      <c r="CG104" s="15" t="s">
        <v>766</v>
      </c>
      <c r="CH104" s="15">
        <v>10.199999999999999</v>
      </c>
      <c r="CI104" s="15" t="s">
        <v>815</v>
      </c>
      <c r="CJ104" s="15">
        <v>19.2</v>
      </c>
      <c r="CK104" s="15">
        <v>621</v>
      </c>
      <c r="CL104" s="15">
        <v>3.03</v>
      </c>
      <c r="CM104" s="15">
        <v>1.31</v>
      </c>
      <c r="CO104" s="15">
        <v>1.81</v>
      </c>
      <c r="CP104" s="15">
        <v>9.8000000000000007</v>
      </c>
      <c r="CQ104" s="15">
        <v>3.78</v>
      </c>
      <c r="CR104" s="15">
        <v>1.82</v>
      </c>
      <c r="CW104" s="15">
        <v>20.100000000000001</v>
      </c>
      <c r="CY104" s="25">
        <f t="shared" si="117"/>
        <v>1000</v>
      </c>
      <c r="CZ104" s="25">
        <f t="shared" si="118"/>
        <v>1.2820512820512819</v>
      </c>
      <c r="DA104" s="25">
        <f t="shared" si="119"/>
        <v>3000</v>
      </c>
      <c r="FK104" s="16">
        <f t="shared" si="69"/>
        <v>4.5999999999999996</v>
      </c>
      <c r="FL104" s="16">
        <f t="shared" si="70"/>
        <v>4.6500000000000004</v>
      </c>
      <c r="FM104" s="15">
        <v>4.5999999999999996</v>
      </c>
      <c r="FN104" s="15">
        <v>0.1</v>
      </c>
      <c r="FO104" s="15">
        <f>FN104*SQRT(AR104)</f>
        <v>0.17320508075688773</v>
      </c>
      <c r="FP104" s="15">
        <v>4.6500000000000004</v>
      </c>
      <c r="FQ104" s="15">
        <v>0.15</v>
      </c>
      <c r="FR104" s="15">
        <f>FQ104*SQRT(AR104)</f>
        <v>0.25980762113533157</v>
      </c>
      <c r="FS104" s="15">
        <f t="shared" si="76"/>
        <v>1.0108695652173914</v>
      </c>
      <c r="FT104" s="15">
        <f t="shared" si="77"/>
        <v>5.0000000000000711E-2</v>
      </c>
      <c r="FU104" s="15">
        <f t="shared" si="78"/>
        <v>1.0810916104215806E-2</v>
      </c>
      <c r="FV104" s="15">
        <f>((FR104*FR104)/(AR104*FP104*FP104)+(FO104*FO104)/(AR104*FM104*FM104))</f>
        <v>1.5131725183872343E-3</v>
      </c>
      <c r="FX104" s="15">
        <f>11.5*1.74</f>
        <v>20.010000000000002</v>
      </c>
      <c r="FY104" s="15">
        <v>0.2</v>
      </c>
      <c r="FZ104" s="15">
        <f>FY104*SQRT(AR104)</f>
        <v>0.34641016151377546</v>
      </c>
      <c r="GA104" s="15">
        <f>12.3*1.74</f>
        <v>21.402000000000001</v>
      </c>
      <c r="GB104" s="15">
        <v>0.2</v>
      </c>
      <c r="GC104" s="15">
        <f>GB104*SQRT(AR104)</f>
        <v>0.34641016151377546</v>
      </c>
      <c r="GD104" s="15">
        <f>GA104/FX104</f>
        <v>1.0695652173913044</v>
      </c>
      <c r="GE104" s="15">
        <f>GA104-FX104</f>
        <v>1.3919999999999995</v>
      </c>
      <c r="GF104" s="15">
        <f>LN(GA104)-LN(FX104)</f>
        <v>6.7252227009167331E-2</v>
      </c>
      <c r="GG104" s="15">
        <f>((GC104*GC104)/(AR104*GA104*GA104)+(FZ104*FZ104)/(AR104*FX104*FX104))</f>
        <v>1.8722762410821502E-4</v>
      </c>
      <c r="HE104" s="15">
        <v>2120</v>
      </c>
      <c r="HF104" s="15">
        <v>346</v>
      </c>
      <c r="HG104" s="15">
        <f>HF104*SQRT(AR104)</f>
        <v>599.28957941883152</v>
      </c>
      <c r="HH104" s="15">
        <v>2364</v>
      </c>
      <c r="HI104" s="15">
        <v>84</v>
      </c>
      <c r="HJ104" s="15">
        <f>HI104*SQRT(AR104)</f>
        <v>145.4922678357857</v>
      </c>
      <c r="HK104" s="15">
        <f>HH104/HE104</f>
        <v>1.1150943396226416</v>
      </c>
      <c r="HL104" s="15">
        <f>HH104-HE104</f>
        <v>244</v>
      </c>
      <c r="HM104" s="15">
        <f>LN(HH104)-LN(HE104)</f>
        <v>0.10893901085993019</v>
      </c>
      <c r="HN104" s="15">
        <f>((HJ104*HJ104)/(AR104*HH104*HH104)+(HG104*HG104)/(AR104*HE104*HE104))</f>
        <v>2.7899297181445095E-2</v>
      </c>
      <c r="HP104" s="15" t="s">
        <v>604</v>
      </c>
      <c r="HQ104" s="15">
        <v>27.5</v>
      </c>
      <c r="HR104" s="15">
        <v>0.4</v>
      </c>
      <c r="HS104" s="15">
        <v>27</v>
      </c>
      <c r="HT104" s="15">
        <v>0.3</v>
      </c>
      <c r="HV104" s="15">
        <f>HX104/HW104/100</f>
        <v>275.38344403156833</v>
      </c>
      <c r="HW104" s="15">
        <f>HM104</f>
        <v>0.10893901085993019</v>
      </c>
      <c r="HX104" s="25">
        <f>DA104</f>
        <v>3000</v>
      </c>
      <c r="HY104" s="25">
        <f>CY104</f>
        <v>1000</v>
      </c>
      <c r="HZ104" s="25">
        <f>CZ104</f>
        <v>1.2820512820512819</v>
      </c>
      <c r="IA104" s="25">
        <f>DA104</f>
        <v>3000</v>
      </c>
    </row>
    <row r="105" spans="1:235" x14ac:dyDescent="0.25">
      <c r="A105" s="31">
        <v>103</v>
      </c>
      <c r="B105" s="1">
        <v>22</v>
      </c>
      <c r="C105" s="1">
        <v>22</v>
      </c>
      <c r="D105" s="15" t="s">
        <v>68</v>
      </c>
      <c r="E105" s="1">
        <v>2</v>
      </c>
      <c r="F105" s="15" t="s">
        <v>777</v>
      </c>
      <c r="G105" s="15" t="s">
        <v>810</v>
      </c>
      <c r="H105" s="15" t="s">
        <v>812</v>
      </c>
      <c r="I105" s="1">
        <v>2020</v>
      </c>
      <c r="J105" s="15" t="s">
        <v>811</v>
      </c>
      <c r="K105" s="1">
        <v>2016</v>
      </c>
      <c r="L105" s="15" t="s">
        <v>813</v>
      </c>
      <c r="M105" s="15" t="s">
        <v>480</v>
      </c>
      <c r="N105" s="15" t="s">
        <v>23</v>
      </c>
      <c r="O105" s="31">
        <v>2</v>
      </c>
      <c r="P105" s="15">
        <v>26.37</v>
      </c>
      <c r="Q105" s="15">
        <v>116.87</v>
      </c>
      <c r="S105" s="15">
        <v>460</v>
      </c>
      <c r="U105" s="15" t="s">
        <v>549</v>
      </c>
      <c r="V105" s="31">
        <v>1</v>
      </c>
      <c r="W105" s="15" t="s">
        <v>1158</v>
      </c>
      <c r="X105" s="15" t="s">
        <v>521</v>
      </c>
      <c r="Y105" s="1">
        <v>6</v>
      </c>
      <c r="Z105" s="15">
        <v>4.5</v>
      </c>
      <c r="AA105" s="15" t="s">
        <v>574</v>
      </c>
      <c r="AB105" s="15">
        <f t="shared" si="68"/>
        <v>4.5</v>
      </c>
      <c r="AC105" s="1">
        <v>1</v>
      </c>
      <c r="AD105" s="15">
        <f>11.65*1.74</f>
        <v>20.271000000000001</v>
      </c>
      <c r="AM105" s="1">
        <v>3</v>
      </c>
      <c r="AN105" s="15">
        <v>1.19</v>
      </c>
      <c r="AR105" s="1">
        <v>3</v>
      </c>
      <c r="CC105" s="15" t="s">
        <v>814</v>
      </c>
      <c r="CE105" s="15">
        <v>5</v>
      </c>
      <c r="CF105" s="15">
        <f>CE105*1000</f>
        <v>5000</v>
      </c>
      <c r="CG105" s="15" t="s">
        <v>766</v>
      </c>
      <c r="CH105" s="15">
        <v>10.199999999999999</v>
      </c>
      <c r="CI105" s="15" t="s">
        <v>815</v>
      </c>
      <c r="CJ105" s="15">
        <v>19.2</v>
      </c>
      <c r="CK105" s="15">
        <v>621</v>
      </c>
      <c r="CL105" s="15">
        <v>3.03</v>
      </c>
      <c r="CM105" s="15">
        <v>1.31</v>
      </c>
      <c r="CO105" s="15">
        <v>1.81</v>
      </c>
      <c r="CP105" s="15">
        <v>9.8000000000000007</v>
      </c>
      <c r="CQ105" s="15">
        <v>3.78</v>
      </c>
      <c r="CR105" s="15">
        <v>1.82</v>
      </c>
      <c r="CW105" s="15">
        <v>20.100000000000001</v>
      </c>
      <c r="CY105" s="25">
        <f t="shared" si="117"/>
        <v>5000</v>
      </c>
      <c r="CZ105" s="25">
        <f t="shared" si="118"/>
        <v>6.4102564102564106</v>
      </c>
      <c r="DA105" s="25">
        <f t="shared" si="119"/>
        <v>15000</v>
      </c>
      <c r="EW105" s="18"/>
      <c r="EX105" s="18"/>
      <c r="EY105" s="18"/>
      <c r="FK105" s="16">
        <f t="shared" si="69"/>
        <v>4.5999999999999996</v>
      </c>
      <c r="FL105" s="16">
        <f t="shared" si="70"/>
        <v>4.8099999999999996</v>
      </c>
      <c r="FM105" s="15">
        <v>4.5999999999999996</v>
      </c>
      <c r="FN105" s="15">
        <v>0.1</v>
      </c>
      <c r="FO105" s="15">
        <f>FN105*SQRT(AR105)</f>
        <v>0.17320508075688773</v>
      </c>
      <c r="FP105" s="15">
        <v>4.8099999999999996</v>
      </c>
      <c r="FQ105" s="15">
        <v>0.1</v>
      </c>
      <c r="FR105" s="15">
        <f>FQ105*SQRT(AR105)</f>
        <v>0.17320508075688773</v>
      </c>
      <c r="FS105" s="15">
        <f t="shared" si="76"/>
        <v>1.0456521739130435</v>
      </c>
      <c r="FT105" s="15">
        <f t="shared" si="77"/>
        <v>0.20999999999999996</v>
      </c>
      <c r="FU105" s="15">
        <f t="shared" si="78"/>
        <v>4.4640780622620557E-2</v>
      </c>
      <c r="FV105" s="15">
        <f>((FR105*FR105)/(AR105*FP105*FP105)+(FO105*FO105)/(AR105*FM105*FM105))</f>
        <v>9.0481475650998821E-4</v>
      </c>
      <c r="FX105" s="15">
        <f>11.5*1.74</f>
        <v>20.010000000000002</v>
      </c>
      <c r="FY105" s="15">
        <v>0.2</v>
      </c>
      <c r="FZ105" s="15">
        <f>FY105*SQRT(AR105)</f>
        <v>0.34641016151377546</v>
      </c>
      <c r="GA105" s="15">
        <f>12.8*1.74</f>
        <v>22.272000000000002</v>
      </c>
      <c r="GB105" s="15">
        <v>0.2</v>
      </c>
      <c r="GC105" s="15">
        <f>GB105*SQRT(AR105)</f>
        <v>0.34641016151377546</v>
      </c>
      <c r="GD105" s="15">
        <f>GA105/FX105</f>
        <v>1.1130434782608696</v>
      </c>
      <c r="GE105" s="15">
        <f>GA105-FX105</f>
        <v>2.2620000000000005</v>
      </c>
      <c r="GF105" s="15">
        <f>LN(GA105)-LN(FX105)</f>
        <v>0.10709813555636716</v>
      </c>
      <c r="GG105" s="15">
        <f>((GC105*GC105)/(AR105*GA105*GA105)+(FZ105*FZ105)/(AR105*FX105*FX105))</f>
        <v>1.8053841059542691E-4</v>
      </c>
      <c r="HE105" s="15">
        <v>2120</v>
      </c>
      <c r="HF105" s="15">
        <v>346</v>
      </c>
      <c r="HG105" s="15">
        <f>HF105*SQRT(AR105)</f>
        <v>599.28957941883152</v>
      </c>
      <c r="HH105" s="15">
        <v>2237</v>
      </c>
      <c r="HI105" s="15">
        <v>15</v>
      </c>
      <c r="HJ105" s="15">
        <f>HI105*SQRT(AR105)</f>
        <v>25.980762113533157</v>
      </c>
      <c r="HK105" s="15">
        <f>HH105/HE105</f>
        <v>1.0551886792452829</v>
      </c>
      <c r="HL105" s="15">
        <f>HH105-HE105</f>
        <v>117</v>
      </c>
      <c r="HM105" s="15">
        <f>LN(HH105)-LN(HE105)</f>
        <v>5.3719593824071765E-2</v>
      </c>
      <c r="HN105" s="15">
        <f>((HJ105*HJ105)/(AR105*HH105*HH105)+(HG105*HG105)/(AR105*HE105*HE105))</f>
        <v>2.6681665963445133E-2</v>
      </c>
      <c r="HP105" s="15" t="s">
        <v>604</v>
      </c>
      <c r="HQ105" s="15">
        <v>27.5</v>
      </c>
      <c r="HR105" s="15">
        <v>0.4</v>
      </c>
      <c r="HS105" s="15">
        <v>26.8</v>
      </c>
      <c r="HT105" s="15">
        <v>0.7</v>
      </c>
      <c r="HV105" s="15">
        <f>HX105/HW105/100</f>
        <v>2792.2772553202917</v>
      </c>
      <c r="HW105" s="15">
        <f>HM105</f>
        <v>5.3719593824071765E-2</v>
      </c>
      <c r="HX105" s="25">
        <f>DA105</f>
        <v>15000</v>
      </c>
      <c r="HY105" s="25">
        <f>CY105</f>
        <v>5000</v>
      </c>
      <c r="HZ105" s="25">
        <f>CZ105</f>
        <v>6.4102564102564106</v>
      </c>
      <c r="IA105" s="25">
        <f>DA105</f>
        <v>15000</v>
      </c>
    </row>
    <row r="106" spans="1:235" x14ac:dyDescent="0.25">
      <c r="A106" s="31">
        <v>104</v>
      </c>
      <c r="B106" s="1">
        <v>22</v>
      </c>
      <c r="C106" s="1">
        <v>22</v>
      </c>
      <c r="D106" s="15" t="s">
        <v>69</v>
      </c>
      <c r="E106" s="1">
        <v>2</v>
      </c>
      <c r="F106" s="15" t="s">
        <v>777</v>
      </c>
      <c r="G106" s="15" t="s">
        <v>810</v>
      </c>
      <c r="H106" s="15" t="s">
        <v>812</v>
      </c>
      <c r="I106" s="1">
        <v>2020</v>
      </c>
      <c r="J106" s="15" t="s">
        <v>811</v>
      </c>
      <c r="K106" s="1">
        <v>2016</v>
      </c>
      <c r="L106" s="15" t="s">
        <v>813</v>
      </c>
      <c r="M106" s="15" t="s">
        <v>480</v>
      </c>
      <c r="N106" s="15" t="s">
        <v>23</v>
      </c>
      <c r="O106" s="31">
        <v>2</v>
      </c>
      <c r="P106" s="15">
        <v>26.37</v>
      </c>
      <c r="Q106" s="15">
        <v>116.87</v>
      </c>
      <c r="S106" s="15">
        <v>460</v>
      </c>
      <c r="U106" s="15" t="s">
        <v>549</v>
      </c>
      <c r="V106" s="31">
        <v>1</v>
      </c>
      <c r="W106" s="15" t="s">
        <v>1158</v>
      </c>
      <c r="X106" s="15" t="s">
        <v>521</v>
      </c>
      <c r="Y106" s="1">
        <v>6</v>
      </c>
      <c r="Z106" s="15">
        <v>4.5</v>
      </c>
      <c r="AA106" s="15" t="s">
        <v>574</v>
      </c>
      <c r="AB106" s="15">
        <f t="shared" si="68"/>
        <v>4.5</v>
      </c>
      <c r="AC106" s="1">
        <v>1</v>
      </c>
      <c r="AD106" s="15">
        <f>11.65*1.74</f>
        <v>20.271000000000001</v>
      </c>
      <c r="AM106" s="1">
        <v>3</v>
      </c>
      <c r="AN106" s="15">
        <v>1.19</v>
      </c>
      <c r="AR106" s="1">
        <v>3</v>
      </c>
      <c r="CC106" s="15" t="s">
        <v>814</v>
      </c>
      <c r="CE106" s="15">
        <v>10</v>
      </c>
      <c r="CF106" s="15">
        <f>CE106*1000</f>
        <v>10000</v>
      </c>
      <c r="CG106" s="15" t="s">
        <v>766</v>
      </c>
      <c r="CH106" s="15">
        <v>10.199999999999999</v>
      </c>
      <c r="CI106" s="15" t="s">
        <v>815</v>
      </c>
      <c r="CJ106" s="15">
        <v>19.2</v>
      </c>
      <c r="CK106" s="15">
        <v>621</v>
      </c>
      <c r="CL106" s="15">
        <v>3.03</v>
      </c>
      <c r="CM106" s="15">
        <v>1.31</v>
      </c>
      <c r="CO106" s="15">
        <v>1.81</v>
      </c>
      <c r="CP106" s="15">
        <v>9.8000000000000007</v>
      </c>
      <c r="CQ106" s="15">
        <v>3.78</v>
      </c>
      <c r="CR106" s="15">
        <v>1.82</v>
      </c>
      <c r="CW106" s="15">
        <v>20.100000000000001</v>
      </c>
      <c r="CY106" s="25">
        <f t="shared" si="117"/>
        <v>10000</v>
      </c>
      <c r="CZ106" s="25">
        <f t="shared" si="118"/>
        <v>12.820512820512821</v>
      </c>
      <c r="DA106" s="25">
        <f t="shared" si="119"/>
        <v>30000</v>
      </c>
      <c r="EW106" s="18"/>
      <c r="EX106" s="18"/>
      <c r="EY106" s="18"/>
      <c r="FK106" s="16">
        <f t="shared" si="69"/>
        <v>4.5999999999999996</v>
      </c>
      <c r="FL106" s="16">
        <f t="shared" si="70"/>
        <v>4.83</v>
      </c>
      <c r="FM106" s="15">
        <v>4.5999999999999996</v>
      </c>
      <c r="FN106" s="15">
        <v>0.1</v>
      </c>
      <c r="FO106" s="15">
        <f>FN106*SQRT(AR106)</f>
        <v>0.17320508075688773</v>
      </c>
      <c r="FP106" s="15">
        <v>4.83</v>
      </c>
      <c r="FQ106" s="15">
        <v>0.1</v>
      </c>
      <c r="FR106" s="15">
        <f>FQ106*SQRT(AR106)</f>
        <v>0.17320508075688773</v>
      </c>
      <c r="FS106" s="15">
        <f t="shared" si="76"/>
        <v>1.05</v>
      </c>
      <c r="FT106" s="15">
        <f t="shared" si="77"/>
        <v>0.23000000000000043</v>
      </c>
      <c r="FU106" s="15">
        <f t="shared" si="78"/>
        <v>4.879016416943216E-2</v>
      </c>
      <c r="FV106" s="15">
        <f>((FR106*FR106)/(AR106*FP106*FP106)+(FO106*FO106)/(AR106*FM106*FM106))</f>
        <v>9.0124266467771739E-4</v>
      </c>
      <c r="FX106" s="15">
        <f>11.5*1.74</f>
        <v>20.010000000000002</v>
      </c>
      <c r="FY106" s="15">
        <v>0.2</v>
      </c>
      <c r="FZ106" s="15">
        <f>FY106*SQRT(AR106)</f>
        <v>0.34641016151377546</v>
      </c>
      <c r="GA106" s="15">
        <f>14*1.74</f>
        <v>24.36</v>
      </c>
      <c r="GB106" s="15">
        <v>1</v>
      </c>
      <c r="GC106" s="15">
        <f>GB106*SQRT(AR106)</f>
        <v>1.7320508075688772</v>
      </c>
      <c r="GD106" s="15">
        <f>GA106/FX106</f>
        <v>1.2173913043478259</v>
      </c>
      <c r="GE106" s="15">
        <f>GA106-FX106</f>
        <v>4.3499999999999979</v>
      </c>
      <c r="GF106" s="15">
        <f>LN(GA106)-LN(FX106)</f>
        <v>0.19671029424605413</v>
      </c>
      <c r="GG106" s="15">
        <f>((GC106*GC106)/(AR106*GA106*GA106)+(FZ106*FZ106)/(AR106*FX106*FX106))</f>
        <v>1.7850767219068718E-3</v>
      </c>
      <c r="HE106" s="15">
        <v>2120</v>
      </c>
      <c r="HF106" s="15">
        <v>346</v>
      </c>
      <c r="HG106" s="15">
        <f>HF106*SQRT(AR106)</f>
        <v>599.28957941883152</v>
      </c>
      <c r="HH106" s="15">
        <v>2271</v>
      </c>
      <c r="HI106" s="15">
        <v>104</v>
      </c>
      <c r="HJ106" s="15">
        <f>HI106*SQRT(AR106)</f>
        <v>180.13328398716322</v>
      </c>
      <c r="HK106" s="15">
        <f>HH106/HE106</f>
        <v>1.0712264150943396</v>
      </c>
      <c r="HL106" s="15">
        <f>HH106-HE106</f>
        <v>151</v>
      </c>
      <c r="HM106" s="15">
        <f>LN(HH106)-LN(HE106)</f>
        <v>6.8804174439500265E-2</v>
      </c>
      <c r="HN106" s="15">
        <f>((HJ106*HJ106)/(AR106*HH106*HH106)+(HG106*HG106)/(AR106*HE106*HE106))</f>
        <v>2.8733867531262891E-2</v>
      </c>
      <c r="HP106" s="15" t="s">
        <v>604</v>
      </c>
      <c r="HQ106" s="15">
        <v>27.5</v>
      </c>
      <c r="HR106" s="15">
        <v>0.4</v>
      </c>
      <c r="HS106" s="15">
        <v>26.4</v>
      </c>
      <c r="HT106" s="15">
        <v>0.2</v>
      </c>
      <c r="HV106" s="15">
        <f>HX106/HW106/100</f>
        <v>4360.2005611416935</v>
      </c>
      <c r="HW106" s="15">
        <f>HM106</f>
        <v>6.8804174439500265E-2</v>
      </c>
      <c r="HX106" s="25">
        <f>DA106</f>
        <v>30000</v>
      </c>
      <c r="HY106" s="25">
        <f>CY106</f>
        <v>10000</v>
      </c>
      <c r="HZ106" s="25">
        <f>CZ106</f>
        <v>12.820512820512821</v>
      </c>
      <c r="IA106" s="25">
        <f>DA106</f>
        <v>30000</v>
      </c>
    </row>
    <row r="107" spans="1:235" x14ac:dyDescent="0.25">
      <c r="A107" s="31">
        <v>105</v>
      </c>
      <c r="B107" s="1">
        <v>22</v>
      </c>
      <c r="C107" s="1">
        <v>22</v>
      </c>
      <c r="D107" s="15" t="s">
        <v>70</v>
      </c>
      <c r="E107" s="1">
        <v>2</v>
      </c>
      <c r="F107" s="15" t="s">
        <v>777</v>
      </c>
      <c r="G107" s="15" t="s">
        <v>810</v>
      </c>
      <c r="H107" s="15" t="s">
        <v>812</v>
      </c>
      <c r="I107" s="1">
        <v>2020</v>
      </c>
      <c r="J107" s="15" t="s">
        <v>811</v>
      </c>
      <c r="K107" s="1">
        <v>2016</v>
      </c>
      <c r="L107" s="15" t="s">
        <v>813</v>
      </c>
      <c r="M107" s="15" t="s">
        <v>480</v>
      </c>
      <c r="N107" s="15" t="s">
        <v>23</v>
      </c>
      <c r="O107" s="31">
        <v>2</v>
      </c>
      <c r="P107" s="15">
        <v>26.37</v>
      </c>
      <c r="Q107" s="15">
        <v>116.87</v>
      </c>
      <c r="S107" s="15">
        <v>460</v>
      </c>
      <c r="U107" s="15" t="s">
        <v>549</v>
      </c>
      <c r="V107" s="31">
        <v>1</v>
      </c>
      <c r="W107" s="15" t="s">
        <v>1158</v>
      </c>
      <c r="X107" s="15" t="s">
        <v>521</v>
      </c>
      <c r="Y107" s="1">
        <v>6</v>
      </c>
      <c r="Z107" s="15">
        <v>4.5</v>
      </c>
      <c r="AA107" s="15" t="s">
        <v>574</v>
      </c>
      <c r="AB107" s="15">
        <f t="shared" si="68"/>
        <v>4.5</v>
      </c>
      <c r="AC107" s="1">
        <v>1</v>
      </c>
      <c r="AD107" s="15">
        <f>11.65*1.74</f>
        <v>20.271000000000001</v>
      </c>
      <c r="AM107" s="1">
        <v>3</v>
      </c>
      <c r="AN107" s="15">
        <v>1.19</v>
      </c>
      <c r="AR107" s="1">
        <v>3</v>
      </c>
      <c r="CC107" s="15" t="s">
        <v>814</v>
      </c>
      <c r="CE107" s="15">
        <v>20</v>
      </c>
      <c r="CF107" s="15">
        <f>CE107*1000</f>
        <v>20000</v>
      </c>
      <c r="CG107" s="15" t="s">
        <v>766</v>
      </c>
      <c r="CH107" s="15">
        <v>10.199999999999999</v>
      </c>
      <c r="CI107" s="15" t="s">
        <v>815</v>
      </c>
      <c r="CJ107" s="15">
        <v>19.2</v>
      </c>
      <c r="CK107" s="15">
        <v>621</v>
      </c>
      <c r="CL107" s="15">
        <v>3.03</v>
      </c>
      <c r="CM107" s="15">
        <v>1.31</v>
      </c>
      <c r="CO107" s="15">
        <v>1.81</v>
      </c>
      <c r="CP107" s="15">
        <v>9.8000000000000007</v>
      </c>
      <c r="CQ107" s="15">
        <v>3.78</v>
      </c>
      <c r="CR107" s="15">
        <v>1.82</v>
      </c>
      <c r="CW107" s="15">
        <v>20.100000000000001</v>
      </c>
      <c r="CY107" s="25">
        <f t="shared" si="117"/>
        <v>20000</v>
      </c>
      <c r="CZ107" s="25">
        <f t="shared" si="118"/>
        <v>25.641025641025642</v>
      </c>
      <c r="DA107" s="25">
        <f t="shared" si="119"/>
        <v>60000</v>
      </c>
      <c r="EW107" s="18"/>
      <c r="EX107" s="18"/>
      <c r="EY107" s="18"/>
      <c r="FK107" s="16">
        <f t="shared" si="69"/>
        <v>4.5999999999999996</v>
      </c>
      <c r="FL107" s="16">
        <f t="shared" si="70"/>
        <v>5.3</v>
      </c>
      <c r="FM107" s="15">
        <v>4.5999999999999996</v>
      </c>
      <c r="FN107" s="15">
        <v>0.1</v>
      </c>
      <c r="FO107" s="15">
        <f>FN107*SQRT(AR107)</f>
        <v>0.17320508075688773</v>
      </c>
      <c r="FP107" s="15">
        <v>5.3</v>
      </c>
      <c r="FQ107" s="15">
        <v>0.2</v>
      </c>
      <c r="FR107" s="15">
        <f>FQ107*SQRT(AR107)</f>
        <v>0.34641016151377546</v>
      </c>
      <c r="FS107" s="15">
        <f t="shared" si="76"/>
        <v>1.1521739130434783</v>
      </c>
      <c r="FT107" s="15">
        <f t="shared" si="77"/>
        <v>0.70000000000000018</v>
      </c>
      <c r="FU107" s="15">
        <f t="shared" si="78"/>
        <v>0.14165051706302689</v>
      </c>
      <c r="FV107" s="15">
        <f>((FR107*FR107)/(AR107*FP107*FP107)+(FO107*FO107)/(AR107*FM107*FM107))</f>
        <v>1.8965840960832757E-3</v>
      </c>
      <c r="FX107" s="15">
        <f>11.5*1.74</f>
        <v>20.010000000000002</v>
      </c>
      <c r="FY107" s="15">
        <v>0.2</v>
      </c>
      <c r="FZ107" s="15">
        <f>FY107*SQRT(AR107)</f>
        <v>0.34641016151377546</v>
      </c>
      <c r="GA107" s="15">
        <f>19*1.74</f>
        <v>33.06</v>
      </c>
      <c r="GB107" s="15">
        <v>0.8</v>
      </c>
      <c r="GC107" s="15">
        <f>GB107*SQRT(AR107)</f>
        <v>1.3856406460551018</v>
      </c>
      <c r="GD107" s="15">
        <f>GA107/FX107</f>
        <v>1.6521739130434783</v>
      </c>
      <c r="GE107" s="15">
        <f>GA107-FX107</f>
        <v>13.05</v>
      </c>
      <c r="GF107" s="15">
        <f>LN(GA107)-LN(FX107)</f>
        <v>0.50209194379723598</v>
      </c>
      <c r="GG107" s="15">
        <f>((GC107*GC107)/(AR107*GA107*GA107)+(FZ107*FZ107)/(AR107*FX107*FX107))</f>
        <v>6.8546394917237479E-4</v>
      </c>
      <c r="HE107" s="15">
        <v>2120</v>
      </c>
      <c r="HF107" s="15">
        <v>346</v>
      </c>
      <c r="HG107" s="15">
        <f>HF107*SQRT(AR107)</f>
        <v>599.28957941883152</v>
      </c>
      <c r="HH107" s="15">
        <v>2408</v>
      </c>
      <c r="HI107" s="15">
        <v>125</v>
      </c>
      <c r="HJ107" s="15">
        <f>HI107*SQRT(AR107)</f>
        <v>216.50635094610965</v>
      </c>
      <c r="HK107" s="15">
        <f>HH107/HE107</f>
        <v>1.1358490566037736</v>
      </c>
      <c r="HL107" s="15">
        <f>HH107-HE107</f>
        <v>288</v>
      </c>
      <c r="HM107" s="15">
        <f>LN(HH107)-LN(HE107)</f>
        <v>0.12738043876265337</v>
      </c>
      <c r="HN107" s="15">
        <f>((HJ107*HJ107)/(AR107*HH107*HH107)+(HG107*HG107)/(AR107*HE107*HE107))</f>
        <v>2.9331382595800506E-2</v>
      </c>
      <c r="HP107" s="15" t="s">
        <v>604</v>
      </c>
      <c r="HQ107" s="15">
        <v>27.5</v>
      </c>
      <c r="HR107" s="15">
        <v>0.4</v>
      </c>
      <c r="HS107" s="15">
        <v>25.8</v>
      </c>
      <c r="HT107" s="15">
        <v>0.5</v>
      </c>
      <c r="HV107" s="15">
        <f>HX107/HW107/100</f>
        <v>4710.2993664354835</v>
      </c>
      <c r="HW107" s="15">
        <f>HM107</f>
        <v>0.12738043876265337</v>
      </c>
      <c r="HX107" s="25">
        <f>DA107</f>
        <v>60000</v>
      </c>
      <c r="HY107" s="25">
        <f>CY107</f>
        <v>20000</v>
      </c>
      <c r="HZ107" s="25">
        <f>CZ107</f>
        <v>25.641025641025642</v>
      </c>
      <c r="IA107" s="25">
        <f>DA107</f>
        <v>60000</v>
      </c>
    </row>
    <row r="108" spans="1:235" s="15" customFormat="1" x14ac:dyDescent="0.25">
      <c r="A108" s="31">
        <v>106</v>
      </c>
      <c r="B108" s="1">
        <v>23</v>
      </c>
      <c r="C108" s="1">
        <v>23</v>
      </c>
      <c r="D108" s="15" t="s">
        <v>71</v>
      </c>
      <c r="E108" s="1">
        <v>2</v>
      </c>
      <c r="F108" s="15" t="s">
        <v>777</v>
      </c>
      <c r="G108" s="15" t="s">
        <v>817</v>
      </c>
      <c r="H108" s="15" t="s">
        <v>818</v>
      </c>
      <c r="I108" s="1">
        <v>2014</v>
      </c>
      <c r="J108" s="15" t="s">
        <v>816</v>
      </c>
      <c r="K108" s="1"/>
      <c r="L108" s="15" t="s">
        <v>819</v>
      </c>
      <c r="M108" s="15" t="s">
        <v>480</v>
      </c>
      <c r="N108" s="15" t="s">
        <v>23</v>
      </c>
      <c r="O108" s="31">
        <v>2</v>
      </c>
      <c r="P108" s="15">
        <v>31.1</v>
      </c>
      <c r="Q108" s="15">
        <v>119.13</v>
      </c>
      <c r="U108" s="15" t="s">
        <v>807</v>
      </c>
      <c r="V108" s="31">
        <v>2</v>
      </c>
      <c r="W108" s="16" t="s">
        <v>1149</v>
      </c>
      <c r="X108" s="62" t="s">
        <v>803</v>
      </c>
      <c r="Y108" s="1"/>
      <c r="Z108" s="15">
        <v>4.12</v>
      </c>
      <c r="AA108" s="15" t="s">
        <v>574</v>
      </c>
      <c r="AB108" s="15">
        <f t="shared" si="68"/>
        <v>4.12</v>
      </c>
      <c r="AC108" s="1">
        <v>1</v>
      </c>
      <c r="AD108" s="15">
        <f t="shared" ref="AD108:AD113" si="120">9.93*1.74</f>
        <v>17.278199999999998</v>
      </c>
      <c r="AF108" s="15">
        <f t="shared" ref="AF108:AF113" si="121">0.1+5.5+0.23+0.77+0.03+0.06</f>
        <v>6.6899999999999995</v>
      </c>
      <c r="AH108" s="15">
        <f t="shared" ref="AH108:AH113" si="122">(0.23+0.77+0.03+0.06)*100/6.69</f>
        <v>16.292974588938716</v>
      </c>
      <c r="AJ108" s="15">
        <v>17.600000000000001</v>
      </c>
      <c r="AK108" s="15">
        <v>74.7</v>
      </c>
      <c r="AL108" s="15">
        <v>7.7</v>
      </c>
      <c r="AM108" s="1">
        <v>2</v>
      </c>
      <c r="AN108" s="15">
        <v>1.27</v>
      </c>
      <c r="AP108" s="15" t="s">
        <v>874</v>
      </c>
      <c r="AQ108" s="1">
        <v>1</v>
      </c>
      <c r="AR108" s="1">
        <v>3</v>
      </c>
      <c r="BP108" s="16"/>
      <c r="BQ108" s="16"/>
      <c r="BR108" s="16"/>
      <c r="BU108" s="16"/>
      <c r="CC108" s="15" t="s">
        <v>729</v>
      </c>
      <c r="CE108" s="15">
        <v>1</v>
      </c>
      <c r="CF108" s="15">
        <f t="shared" ref="CF108:CF131" si="123">CE108*22500</f>
        <v>22500</v>
      </c>
      <c r="CG108" s="15" t="s">
        <v>766</v>
      </c>
      <c r="CH108" s="15">
        <v>7.1</v>
      </c>
      <c r="CI108" s="15">
        <v>300</v>
      </c>
      <c r="CJ108" s="15">
        <v>84.3</v>
      </c>
      <c r="CP108" s="15">
        <v>2.66</v>
      </c>
      <c r="CQ108" s="15">
        <v>4.3899999999999997</v>
      </c>
      <c r="CR108" s="15">
        <v>2.1</v>
      </c>
      <c r="CS108" s="15">
        <v>0.14000000000000001</v>
      </c>
      <c r="CV108" s="15">
        <v>84.3</v>
      </c>
      <c r="CY108" s="25">
        <f t="shared" si="117"/>
        <v>22500</v>
      </c>
      <c r="CZ108" s="25">
        <f t="shared" si="118"/>
        <v>28.846153846153843</v>
      </c>
      <c r="DA108" s="25">
        <f t="shared" si="119"/>
        <v>67500</v>
      </c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>
        <f t="shared" si="69"/>
        <v>3.9</v>
      </c>
      <c r="FL108" s="16">
        <f t="shared" si="70"/>
        <v>3.95</v>
      </c>
      <c r="FM108" s="15">
        <v>3.9</v>
      </c>
      <c r="FN108" s="15">
        <v>0.03</v>
      </c>
      <c r="FO108" s="15">
        <f>FN108*SQRT(AR108)</f>
        <v>5.1961524227066312E-2</v>
      </c>
      <c r="FP108" s="15">
        <v>3.95</v>
      </c>
      <c r="FQ108" s="15">
        <v>0.02</v>
      </c>
      <c r="FR108" s="15">
        <f>FQ108*SQRT(AR108)</f>
        <v>3.4641016151377546E-2</v>
      </c>
      <c r="FS108" s="15">
        <f t="shared" si="76"/>
        <v>1.012820512820513</v>
      </c>
      <c r="FT108" s="15">
        <f t="shared" si="77"/>
        <v>5.0000000000000266E-2</v>
      </c>
      <c r="FU108" s="15">
        <f t="shared" si="78"/>
        <v>1.2739025777430024E-2</v>
      </c>
      <c r="FV108" s="15">
        <f>((FR108*FR108)/(AR108*FP108*FP108)+(FO108*FO108)/(AR108*FM108*FM108))</f>
        <v>8.4808514793847516E-5</v>
      </c>
      <c r="HY108" s="25">
        <f>CY108</f>
        <v>22500</v>
      </c>
      <c r="HZ108" s="25">
        <f>CZ108</f>
        <v>28.846153846153843</v>
      </c>
      <c r="IA108" s="25">
        <f>DA108</f>
        <v>67500</v>
      </c>
    </row>
    <row r="109" spans="1:235" s="15" customFormat="1" x14ac:dyDescent="0.25">
      <c r="A109" s="31">
        <v>107</v>
      </c>
      <c r="B109" s="1">
        <v>23</v>
      </c>
      <c r="C109" s="1">
        <v>23</v>
      </c>
      <c r="D109" s="15" t="s">
        <v>72</v>
      </c>
      <c r="E109" s="1">
        <v>2</v>
      </c>
      <c r="F109" s="15" t="s">
        <v>777</v>
      </c>
      <c r="G109" s="15" t="s">
        <v>817</v>
      </c>
      <c r="H109" s="15" t="s">
        <v>818</v>
      </c>
      <c r="I109" s="1">
        <v>2014</v>
      </c>
      <c r="J109" s="15" t="s">
        <v>816</v>
      </c>
      <c r="K109" s="1"/>
      <c r="L109" s="15" t="s">
        <v>819</v>
      </c>
      <c r="M109" s="15" t="s">
        <v>480</v>
      </c>
      <c r="N109" s="15" t="s">
        <v>23</v>
      </c>
      <c r="O109" s="31">
        <v>2</v>
      </c>
      <c r="P109" s="15">
        <v>31.1</v>
      </c>
      <c r="Q109" s="15">
        <v>119.13</v>
      </c>
      <c r="U109" s="15" t="s">
        <v>807</v>
      </c>
      <c r="V109" s="31">
        <v>2</v>
      </c>
      <c r="W109" s="16" t="s">
        <v>1149</v>
      </c>
      <c r="X109" s="62" t="s">
        <v>803</v>
      </c>
      <c r="Y109" s="1"/>
      <c r="Z109" s="15">
        <v>4.12</v>
      </c>
      <c r="AA109" s="15" t="s">
        <v>574</v>
      </c>
      <c r="AB109" s="15">
        <f t="shared" si="68"/>
        <v>4.12</v>
      </c>
      <c r="AC109" s="1">
        <v>1</v>
      </c>
      <c r="AD109" s="15">
        <f t="shared" si="120"/>
        <v>17.278199999999998</v>
      </c>
      <c r="AF109" s="15">
        <f t="shared" si="121"/>
        <v>6.6899999999999995</v>
      </c>
      <c r="AH109" s="15">
        <f t="shared" si="122"/>
        <v>16.292974588938716</v>
      </c>
      <c r="AJ109" s="15">
        <v>17.600000000000001</v>
      </c>
      <c r="AK109" s="15">
        <v>74.7</v>
      </c>
      <c r="AL109" s="15">
        <v>7.7</v>
      </c>
      <c r="AM109" s="1">
        <v>2</v>
      </c>
      <c r="AN109" s="15">
        <v>1.27</v>
      </c>
      <c r="AP109" s="15" t="s">
        <v>821</v>
      </c>
      <c r="AQ109" s="1">
        <v>1</v>
      </c>
      <c r="AR109" s="1">
        <v>4</v>
      </c>
      <c r="BP109" s="16"/>
      <c r="BQ109" s="16"/>
      <c r="BR109" s="16"/>
      <c r="BU109" s="16"/>
      <c r="CC109" s="15" t="s">
        <v>689</v>
      </c>
      <c r="CE109" s="15">
        <v>1</v>
      </c>
      <c r="CF109" s="15">
        <f t="shared" si="123"/>
        <v>22500</v>
      </c>
      <c r="CG109" s="15" t="s">
        <v>766</v>
      </c>
      <c r="CH109" s="15">
        <v>8.4</v>
      </c>
      <c r="CI109" s="15">
        <v>300</v>
      </c>
      <c r="CJ109" s="15">
        <v>89</v>
      </c>
      <c r="CP109" s="15">
        <f>CP108*1.39</f>
        <v>3.6974</v>
      </c>
      <c r="CQ109" s="15">
        <f>4.39*1.3</f>
        <v>5.7069999999999999</v>
      </c>
      <c r="CR109" s="15">
        <f>2.1*1.72</f>
        <v>3.6120000000000001</v>
      </c>
      <c r="CS109" s="15">
        <f>0.14*4.17</f>
        <v>0.5838000000000001</v>
      </c>
      <c r="CV109" s="15">
        <v>89</v>
      </c>
      <c r="CY109" s="25">
        <f t="shared" si="117"/>
        <v>22500</v>
      </c>
      <c r="CZ109" s="25">
        <f t="shared" si="118"/>
        <v>28.846153846153843</v>
      </c>
      <c r="DA109" s="25">
        <f t="shared" si="119"/>
        <v>67500</v>
      </c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>
        <f t="shared" si="69"/>
        <v>3.9</v>
      </c>
      <c r="FL109" s="16">
        <f t="shared" si="70"/>
        <v>4.18</v>
      </c>
      <c r="FM109" s="15">
        <v>3.9</v>
      </c>
      <c r="FN109" s="15">
        <v>0.03</v>
      </c>
      <c r="FO109" s="15">
        <f>FN109*SQRT(AR109)</f>
        <v>0.06</v>
      </c>
      <c r="FP109" s="15">
        <v>4.18</v>
      </c>
      <c r="FQ109" s="15">
        <v>0.03</v>
      </c>
      <c r="FR109" s="15">
        <f>FQ109*SQRT(AR109)</f>
        <v>0.06</v>
      </c>
      <c r="FS109" s="15">
        <f t="shared" si="76"/>
        <v>1.0717948717948718</v>
      </c>
      <c r="FT109" s="15">
        <f t="shared" si="77"/>
        <v>0.2799999999999998</v>
      </c>
      <c r="FU109" s="15">
        <f t="shared" si="78"/>
        <v>6.9334693401064351E-2</v>
      </c>
      <c r="FV109" s="15">
        <f>((FR109*FR109)/(AR109*FP109*FP109)+(FO109*FO109)/(AR109*FM109*FM109))</f>
        <v>1.1068140739023874E-4</v>
      </c>
      <c r="HY109" s="25">
        <f>CY109</f>
        <v>22500</v>
      </c>
      <c r="HZ109" s="25">
        <f>CZ109</f>
        <v>28.846153846153843</v>
      </c>
      <c r="IA109" s="25">
        <f>DA109</f>
        <v>67500</v>
      </c>
    </row>
    <row r="110" spans="1:235" s="15" customFormat="1" x14ac:dyDescent="0.25">
      <c r="A110" s="31">
        <v>108</v>
      </c>
      <c r="B110" s="1">
        <v>23</v>
      </c>
      <c r="C110" s="1">
        <v>23</v>
      </c>
      <c r="D110" s="15" t="s">
        <v>74</v>
      </c>
      <c r="E110" s="1">
        <v>2</v>
      </c>
      <c r="F110" s="15" t="s">
        <v>777</v>
      </c>
      <c r="G110" s="15" t="s">
        <v>817</v>
      </c>
      <c r="H110" s="15" t="s">
        <v>818</v>
      </c>
      <c r="I110" s="1">
        <v>2014</v>
      </c>
      <c r="J110" s="15" t="s">
        <v>816</v>
      </c>
      <c r="K110" s="1"/>
      <c r="L110" s="15" t="s">
        <v>819</v>
      </c>
      <c r="M110" s="15" t="s">
        <v>480</v>
      </c>
      <c r="N110" s="15" t="s">
        <v>23</v>
      </c>
      <c r="O110" s="31">
        <v>2</v>
      </c>
      <c r="P110" s="15">
        <v>31.1</v>
      </c>
      <c r="Q110" s="15">
        <v>119.13</v>
      </c>
      <c r="U110" s="15" t="s">
        <v>807</v>
      </c>
      <c r="V110" s="31">
        <v>2</v>
      </c>
      <c r="W110" s="16" t="s">
        <v>1149</v>
      </c>
      <c r="X110" s="62" t="s">
        <v>803</v>
      </c>
      <c r="Y110" s="1"/>
      <c r="Z110" s="15">
        <v>4.12</v>
      </c>
      <c r="AA110" s="15" t="s">
        <v>574</v>
      </c>
      <c r="AB110" s="15">
        <f t="shared" si="68"/>
        <v>4.12</v>
      </c>
      <c r="AC110" s="1">
        <v>1</v>
      </c>
      <c r="AD110" s="15">
        <f t="shared" si="120"/>
        <v>17.278199999999998</v>
      </c>
      <c r="AF110" s="15">
        <f t="shared" si="121"/>
        <v>6.6899999999999995</v>
      </c>
      <c r="AH110" s="15">
        <f t="shared" si="122"/>
        <v>16.292974588938716</v>
      </c>
      <c r="AJ110" s="15">
        <v>17.600000000000001</v>
      </c>
      <c r="AK110" s="15">
        <v>74.7</v>
      </c>
      <c r="AL110" s="15">
        <v>7.7</v>
      </c>
      <c r="AM110" s="1">
        <v>2</v>
      </c>
      <c r="AN110" s="15">
        <v>1.27</v>
      </c>
      <c r="AP110" s="15" t="s">
        <v>821</v>
      </c>
      <c r="AQ110" s="1">
        <v>1</v>
      </c>
      <c r="AR110" s="1">
        <v>4</v>
      </c>
      <c r="BP110" s="16"/>
      <c r="BQ110" s="16"/>
      <c r="BR110" s="16"/>
      <c r="BU110" s="16"/>
      <c r="CC110" s="15" t="s">
        <v>822</v>
      </c>
      <c r="CE110" s="15">
        <v>1</v>
      </c>
      <c r="CF110" s="15">
        <f t="shared" si="123"/>
        <v>22500</v>
      </c>
      <c r="CG110" s="15" t="s">
        <v>766</v>
      </c>
      <c r="CH110" s="15">
        <v>9.1999999999999993</v>
      </c>
      <c r="CI110" s="15">
        <v>300</v>
      </c>
      <c r="CJ110" s="15">
        <v>228.4</v>
      </c>
      <c r="CP110" s="15">
        <f>CP108*2.74</f>
        <v>7.2884000000000011</v>
      </c>
      <c r="CQ110" s="15">
        <f>4.39*1.25</f>
        <v>5.4874999999999998</v>
      </c>
      <c r="CR110" s="15">
        <f>2.1*4.07</f>
        <v>8.5470000000000006</v>
      </c>
      <c r="CS110" s="15">
        <f>0.14*8.3</f>
        <v>1.1620000000000001</v>
      </c>
      <c r="CV110" s="15">
        <v>228.4</v>
      </c>
      <c r="CY110" s="25">
        <f t="shared" si="117"/>
        <v>22500</v>
      </c>
      <c r="CZ110" s="25">
        <f t="shared" si="118"/>
        <v>28.846153846153843</v>
      </c>
      <c r="DA110" s="25">
        <f t="shared" si="119"/>
        <v>67500</v>
      </c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>
        <f t="shared" si="69"/>
        <v>3.9</v>
      </c>
      <c r="FL110" s="16">
        <f t="shared" si="70"/>
        <v>4.37</v>
      </c>
      <c r="FM110" s="15">
        <v>3.9</v>
      </c>
      <c r="FN110" s="15">
        <v>0.03</v>
      </c>
      <c r="FO110" s="15">
        <f>FN110*SQRT(AR110)</f>
        <v>0.06</v>
      </c>
      <c r="FP110" s="15">
        <v>4.37</v>
      </c>
      <c r="FQ110" s="15">
        <v>0.02</v>
      </c>
      <c r="FR110" s="15">
        <f>FQ110*SQRT(AR110)</f>
        <v>0.04</v>
      </c>
      <c r="FS110" s="15">
        <f t="shared" si="76"/>
        <v>1.1205128205128205</v>
      </c>
      <c r="FT110" s="15">
        <f t="shared" si="77"/>
        <v>0.4700000000000002</v>
      </c>
      <c r="FU110" s="15">
        <f t="shared" si="78"/>
        <v>0.11378645597189818</v>
      </c>
      <c r="FV110" s="15">
        <f>((FR110*FR110)/(AR110*FP110*FP110)+(FO110*FO110)/(AR110*FM110*FM110))</f>
        <v>8.0117405591495819E-5</v>
      </c>
      <c r="HY110" s="25">
        <f>CY110</f>
        <v>22500</v>
      </c>
      <c r="HZ110" s="25">
        <f>CZ110</f>
        <v>28.846153846153843</v>
      </c>
      <c r="IA110" s="25">
        <f>DA110</f>
        <v>67500</v>
      </c>
    </row>
    <row r="111" spans="1:235" s="15" customFormat="1" x14ac:dyDescent="0.25">
      <c r="A111" s="31">
        <v>109</v>
      </c>
      <c r="B111" s="1">
        <v>23</v>
      </c>
      <c r="C111" s="1">
        <v>23</v>
      </c>
      <c r="D111" s="15" t="s">
        <v>75</v>
      </c>
      <c r="E111" s="1">
        <v>2</v>
      </c>
      <c r="F111" s="15" t="s">
        <v>777</v>
      </c>
      <c r="G111" s="15" t="s">
        <v>817</v>
      </c>
      <c r="H111" s="15" t="s">
        <v>818</v>
      </c>
      <c r="I111" s="1">
        <v>2014</v>
      </c>
      <c r="J111" s="15" t="s">
        <v>816</v>
      </c>
      <c r="K111" s="1"/>
      <c r="L111" s="15" t="s">
        <v>819</v>
      </c>
      <c r="M111" s="15" t="s">
        <v>480</v>
      </c>
      <c r="N111" s="15" t="s">
        <v>23</v>
      </c>
      <c r="O111" s="31">
        <v>2</v>
      </c>
      <c r="P111" s="15">
        <v>31.1</v>
      </c>
      <c r="Q111" s="15">
        <v>119.13</v>
      </c>
      <c r="U111" s="15" t="s">
        <v>807</v>
      </c>
      <c r="V111" s="31">
        <v>2</v>
      </c>
      <c r="W111" s="16" t="s">
        <v>1149</v>
      </c>
      <c r="X111" s="62" t="s">
        <v>803</v>
      </c>
      <c r="Y111" s="1"/>
      <c r="Z111" s="15">
        <v>4.12</v>
      </c>
      <c r="AA111" s="15" t="s">
        <v>574</v>
      </c>
      <c r="AB111" s="15">
        <f t="shared" si="68"/>
        <v>4.12</v>
      </c>
      <c r="AC111" s="1">
        <v>1</v>
      </c>
      <c r="AD111" s="15">
        <f t="shared" si="120"/>
        <v>17.278199999999998</v>
      </c>
      <c r="AF111" s="15">
        <f t="shared" si="121"/>
        <v>6.6899999999999995</v>
      </c>
      <c r="AH111" s="15">
        <f t="shared" si="122"/>
        <v>16.292974588938716</v>
      </c>
      <c r="AJ111" s="15">
        <v>17.600000000000001</v>
      </c>
      <c r="AK111" s="15">
        <v>74.7</v>
      </c>
      <c r="AL111" s="15">
        <v>7.7</v>
      </c>
      <c r="AM111" s="1">
        <v>2</v>
      </c>
      <c r="AN111" s="15">
        <v>1.27</v>
      </c>
      <c r="AP111" s="15" t="s">
        <v>821</v>
      </c>
      <c r="AQ111" s="1">
        <v>1</v>
      </c>
      <c r="AR111" s="1">
        <v>4</v>
      </c>
      <c r="BP111" s="16"/>
      <c r="BQ111" s="16"/>
      <c r="BR111" s="16"/>
      <c r="BU111" s="16"/>
      <c r="CC111" s="15" t="s">
        <v>729</v>
      </c>
      <c r="CE111" s="15">
        <v>2</v>
      </c>
      <c r="CF111" s="15">
        <f t="shared" si="123"/>
        <v>45000</v>
      </c>
      <c r="CG111" s="15" t="s">
        <v>766</v>
      </c>
      <c r="CH111" s="15">
        <v>7.1</v>
      </c>
      <c r="CI111" s="15">
        <v>300</v>
      </c>
      <c r="CJ111" s="15">
        <v>84.3</v>
      </c>
      <c r="CP111" s="15">
        <v>2.66</v>
      </c>
      <c r="CQ111" s="15">
        <v>4.3899999999999997</v>
      </c>
      <c r="CR111" s="15">
        <v>2.1</v>
      </c>
      <c r="CS111" s="15">
        <v>0.14000000000000001</v>
      </c>
      <c r="CV111" s="15">
        <v>84.3</v>
      </c>
      <c r="CY111" s="25">
        <f t="shared" si="117"/>
        <v>45000</v>
      </c>
      <c r="CZ111" s="25">
        <f t="shared" si="118"/>
        <v>57.692307692307686</v>
      </c>
      <c r="DA111" s="25">
        <f t="shared" si="119"/>
        <v>135000</v>
      </c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>
        <f t="shared" si="69"/>
        <v>3.9</v>
      </c>
      <c r="FL111" s="16">
        <f t="shared" si="70"/>
        <v>4.1500000000000004</v>
      </c>
      <c r="FM111" s="15">
        <v>3.9</v>
      </c>
      <c r="FN111" s="15">
        <v>0.03</v>
      </c>
      <c r="FO111" s="15">
        <f>FN111*SQRT(AR111)</f>
        <v>0.06</v>
      </c>
      <c r="FP111" s="15">
        <v>4.1500000000000004</v>
      </c>
      <c r="FQ111" s="15">
        <v>0.08</v>
      </c>
      <c r="FR111" s="15">
        <f>FQ111*SQRT(AR111)</f>
        <v>0.16</v>
      </c>
      <c r="FS111" s="15">
        <f t="shared" si="76"/>
        <v>1.0641025641025643</v>
      </c>
      <c r="FT111" s="15">
        <f t="shared" si="77"/>
        <v>0.25000000000000044</v>
      </c>
      <c r="FU111" s="15">
        <f t="shared" si="78"/>
        <v>6.2131781107006345E-2</v>
      </c>
      <c r="FV111" s="15">
        <f>((FR111*FR111)/(AR111*FP111*FP111)+(FO111*FO111)/(AR111*FM111*FM111))</f>
        <v>4.3077850719911077E-4</v>
      </c>
      <c r="HY111" s="25">
        <f>CY111</f>
        <v>45000</v>
      </c>
      <c r="HZ111" s="25">
        <f>CZ111</f>
        <v>57.692307692307686</v>
      </c>
      <c r="IA111" s="25">
        <f>DA111</f>
        <v>135000</v>
      </c>
    </row>
    <row r="112" spans="1:235" s="15" customFormat="1" x14ac:dyDescent="0.25">
      <c r="A112" s="31">
        <v>110</v>
      </c>
      <c r="B112" s="1">
        <v>23</v>
      </c>
      <c r="C112" s="1">
        <v>23</v>
      </c>
      <c r="D112" s="15" t="s">
        <v>76</v>
      </c>
      <c r="E112" s="1">
        <v>2</v>
      </c>
      <c r="F112" s="15" t="s">
        <v>777</v>
      </c>
      <c r="G112" s="15" t="s">
        <v>817</v>
      </c>
      <c r="H112" s="15" t="s">
        <v>818</v>
      </c>
      <c r="I112" s="1">
        <v>2014</v>
      </c>
      <c r="J112" s="15" t="s">
        <v>816</v>
      </c>
      <c r="K112" s="1"/>
      <c r="L112" s="15" t="s">
        <v>819</v>
      </c>
      <c r="M112" s="15" t="s">
        <v>480</v>
      </c>
      <c r="N112" s="15" t="s">
        <v>23</v>
      </c>
      <c r="O112" s="31">
        <v>2</v>
      </c>
      <c r="P112" s="15">
        <v>31.1</v>
      </c>
      <c r="Q112" s="15">
        <v>119.13</v>
      </c>
      <c r="U112" s="15" t="s">
        <v>807</v>
      </c>
      <c r="V112" s="31">
        <v>2</v>
      </c>
      <c r="W112" s="16" t="s">
        <v>1149</v>
      </c>
      <c r="X112" s="62" t="s">
        <v>803</v>
      </c>
      <c r="Y112" s="1"/>
      <c r="Z112" s="15">
        <v>4.12</v>
      </c>
      <c r="AA112" s="15" t="s">
        <v>574</v>
      </c>
      <c r="AB112" s="15">
        <f t="shared" si="68"/>
        <v>4.12</v>
      </c>
      <c r="AC112" s="1">
        <v>1</v>
      </c>
      <c r="AD112" s="15">
        <f t="shared" si="120"/>
        <v>17.278199999999998</v>
      </c>
      <c r="AF112" s="15">
        <f t="shared" si="121"/>
        <v>6.6899999999999995</v>
      </c>
      <c r="AH112" s="15">
        <f t="shared" si="122"/>
        <v>16.292974588938716</v>
      </c>
      <c r="AJ112" s="15">
        <v>17.600000000000001</v>
      </c>
      <c r="AK112" s="15">
        <v>74.7</v>
      </c>
      <c r="AL112" s="15">
        <v>7.7</v>
      </c>
      <c r="AM112" s="1">
        <v>2</v>
      </c>
      <c r="AN112" s="15">
        <v>1.27</v>
      </c>
      <c r="AP112" s="15" t="s">
        <v>821</v>
      </c>
      <c r="AQ112" s="1">
        <v>1</v>
      </c>
      <c r="AR112" s="1">
        <v>4</v>
      </c>
      <c r="BP112" s="16"/>
      <c r="BQ112" s="16"/>
      <c r="BR112" s="16"/>
      <c r="BU112" s="16"/>
      <c r="CC112" s="15" t="s">
        <v>689</v>
      </c>
      <c r="CE112" s="15">
        <v>2</v>
      </c>
      <c r="CF112" s="15">
        <f t="shared" si="123"/>
        <v>45000</v>
      </c>
      <c r="CG112" s="15" t="s">
        <v>766</v>
      </c>
      <c r="CH112" s="15">
        <v>8.4</v>
      </c>
      <c r="CI112" s="15">
        <v>300</v>
      </c>
      <c r="CJ112" s="15">
        <v>89</v>
      </c>
      <c r="CP112" s="15">
        <v>3.6974</v>
      </c>
      <c r="CQ112" s="15">
        <v>5.7069999999999999</v>
      </c>
      <c r="CR112" s="15">
        <v>3.6120000000000001</v>
      </c>
      <c r="CS112" s="15">
        <v>0.5838000000000001</v>
      </c>
      <c r="CV112" s="15">
        <v>89</v>
      </c>
      <c r="CY112" s="25">
        <f t="shared" si="117"/>
        <v>45000</v>
      </c>
      <c r="CZ112" s="25">
        <f t="shared" si="118"/>
        <v>57.692307692307686</v>
      </c>
      <c r="DA112" s="25">
        <f t="shared" si="119"/>
        <v>135000</v>
      </c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>
        <f t="shared" si="69"/>
        <v>3.9</v>
      </c>
      <c r="FL112" s="16">
        <f t="shared" si="70"/>
        <v>4.21</v>
      </c>
      <c r="FM112" s="15">
        <v>3.9</v>
      </c>
      <c r="FN112" s="15">
        <v>0.03</v>
      </c>
      <c r="FO112" s="15">
        <f>FN112*SQRT(AR112)</f>
        <v>0.06</v>
      </c>
      <c r="FP112" s="15">
        <v>4.21</v>
      </c>
      <c r="FQ112" s="15">
        <v>0.05</v>
      </c>
      <c r="FR112" s="15">
        <f>FQ112*SQRT(AR112)</f>
        <v>0.1</v>
      </c>
      <c r="FS112" s="15">
        <f t="shared" si="76"/>
        <v>1.0794871794871794</v>
      </c>
      <c r="FT112" s="15">
        <f t="shared" si="77"/>
        <v>0.31000000000000005</v>
      </c>
      <c r="FU112" s="15">
        <f t="shared" si="78"/>
        <v>7.6486094558689377E-2</v>
      </c>
      <c r="FV112" s="15">
        <f>((FR112*FR112)/(AR112*FP112*FP112)+(FO112*FO112)/(AR112*FM112*FM112))</f>
        <v>2.0022248315059541E-4</v>
      </c>
      <c r="HY112" s="25">
        <f>CY112</f>
        <v>45000</v>
      </c>
      <c r="HZ112" s="25">
        <f>CZ112</f>
        <v>57.692307692307686</v>
      </c>
      <c r="IA112" s="25">
        <f>DA112</f>
        <v>135000</v>
      </c>
    </row>
    <row r="113" spans="1:235" s="15" customFormat="1" x14ac:dyDescent="0.25">
      <c r="A113" s="31">
        <v>111</v>
      </c>
      <c r="B113" s="1">
        <v>23</v>
      </c>
      <c r="C113" s="1">
        <v>23</v>
      </c>
      <c r="D113" s="15" t="s">
        <v>77</v>
      </c>
      <c r="E113" s="1">
        <v>2</v>
      </c>
      <c r="F113" s="15" t="s">
        <v>777</v>
      </c>
      <c r="G113" s="15" t="s">
        <v>817</v>
      </c>
      <c r="H113" s="15" t="s">
        <v>818</v>
      </c>
      <c r="I113" s="1">
        <v>2014</v>
      </c>
      <c r="J113" s="15" t="s">
        <v>816</v>
      </c>
      <c r="K113" s="1"/>
      <c r="L113" s="15" t="s">
        <v>819</v>
      </c>
      <c r="M113" s="15" t="s">
        <v>480</v>
      </c>
      <c r="N113" s="15" t="s">
        <v>23</v>
      </c>
      <c r="O113" s="31">
        <v>2</v>
      </c>
      <c r="P113" s="15">
        <v>31.1</v>
      </c>
      <c r="Q113" s="15">
        <v>119.13</v>
      </c>
      <c r="U113" s="15" t="s">
        <v>807</v>
      </c>
      <c r="V113" s="31">
        <v>2</v>
      </c>
      <c r="W113" s="16" t="s">
        <v>1149</v>
      </c>
      <c r="X113" s="62" t="s">
        <v>803</v>
      </c>
      <c r="Y113" s="1"/>
      <c r="Z113" s="15">
        <v>4.12</v>
      </c>
      <c r="AA113" s="15" t="s">
        <v>574</v>
      </c>
      <c r="AB113" s="15">
        <f t="shared" si="68"/>
        <v>4.12</v>
      </c>
      <c r="AC113" s="1">
        <v>1</v>
      </c>
      <c r="AD113" s="15">
        <f t="shared" si="120"/>
        <v>17.278199999999998</v>
      </c>
      <c r="AF113" s="15">
        <f t="shared" si="121"/>
        <v>6.6899999999999995</v>
      </c>
      <c r="AH113" s="15">
        <f t="shared" si="122"/>
        <v>16.292974588938716</v>
      </c>
      <c r="AJ113" s="15">
        <v>17.600000000000001</v>
      </c>
      <c r="AK113" s="15">
        <v>74.7</v>
      </c>
      <c r="AL113" s="15">
        <v>7.7</v>
      </c>
      <c r="AM113" s="1">
        <v>2</v>
      </c>
      <c r="AN113" s="15">
        <v>1.27</v>
      </c>
      <c r="AP113" s="15" t="s">
        <v>821</v>
      </c>
      <c r="AQ113" s="1">
        <v>1</v>
      </c>
      <c r="AR113" s="1">
        <v>4</v>
      </c>
      <c r="BP113" s="16"/>
      <c r="BQ113" s="16"/>
      <c r="BR113" s="16"/>
      <c r="BU113" s="16"/>
      <c r="CC113" s="15" t="s">
        <v>822</v>
      </c>
      <c r="CE113" s="15">
        <v>2</v>
      </c>
      <c r="CF113" s="15">
        <f t="shared" si="123"/>
        <v>45000</v>
      </c>
      <c r="CG113" s="15" t="s">
        <v>766</v>
      </c>
      <c r="CH113" s="15">
        <v>9.1999999999999993</v>
      </c>
      <c r="CI113" s="15">
        <v>300</v>
      </c>
      <c r="CJ113" s="15">
        <v>228.4</v>
      </c>
      <c r="CP113" s="15">
        <v>7.2884000000000011</v>
      </c>
      <c r="CQ113" s="15">
        <v>5.4874999999999998</v>
      </c>
      <c r="CR113" s="15">
        <v>8.5470000000000006</v>
      </c>
      <c r="CS113" s="15">
        <v>1.1620000000000001</v>
      </c>
      <c r="CV113" s="15">
        <v>228.4</v>
      </c>
      <c r="CY113" s="25">
        <f t="shared" si="117"/>
        <v>45000</v>
      </c>
      <c r="CZ113" s="25">
        <f t="shared" si="118"/>
        <v>57.692307692307686</v>
      </c>
      <c r="DA113" s="25">
        <f t="shared" si="119"/>
        <v>135000</v>
      </c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>
        <f t="shared" si="69"/>
        <v>3.9</v>
      </c>
      <c r="FL113" s="16">
        <f t="shared" si="70"/>
        <v>4.54</v>
      </c>
      <c r="FM113" s="15">
        <v>3.9</v>
      </c>
      <c r="FN113" s="15">
        <v>0.03</v>
      </c>
      <c r="FO113" s="15">
        <f>FN113*SQRT(AR113)</f>
        <v>0.06</v>
      </c>
      <c r="FP113" s="15">
        <v>4.54</v>
      </c>
      <c r="FQ113" s="15">
        <v>0.02</v>
      </c>
      <c r="FR113" s="15">
        <f>FQ113*SQRT(AR113)</f>
        <v>0.04</v>
      </c>
      <c r="FS113" s="15">
        <f t="shared" si="76"/>
        <v>1.1641025641025642</v>
      </c>
      <c r="FT113" s="15">
        <f t="shared" si="77"/>
        <v>0.64000000000000012</v>
      </c>
      <c r="FU113" s="15">
        <f t="shared" si="78"/>
        <v>0.15195045891765591</v>
      </c>
      <c r="FV113" s="15">
        <f>((FR113*FR113)/(AR113*FP113*FP113)+(FO113*FO113)/(AR113*FM113*FM113))</f>
        <v>7.8578145402353425E-5</v>
      </c>
      <c r="HY113" s="25">
        <f>CY113</f>
        <v>45000</v>
      </c>
      <c r="HZ113" s="25">
        <f>CZ113</f>
        <v>57.692307692307686</v>
      </c>
      <c r="IA113" s="25">
        <f>DA113</f>
        <v>135000</v>
      </c>
    </row>
    <row r="114" spans="1:235" s="15" customFormat="1" x14ac:dyDescent="0.25">
      <c r="A114" s="31">
        <v>112</v>
      </c>
      <c r="B114" s="1">
        <v>23</v>
      </c>
      <c r="C114" s="1">
        <v>24</v>
      </c>
      <c r="D114" s="15" t="s">
        <v>78</v>
      </c>
      <c r="E114" s="1">
        <v>2</v>
      </c>
      <c r="F114" s="15" t="s">
        <v>777</v>
      </c>
      <c r="G114" s="15" t="s">
        <v>817</v>
      </c>
      <c r="H114" s="15" t="s">
        <v>818</v>
      </c>
      <c r="I114" s="1">
        <v>2014</v>
      </c>
      <c r="J114" s="15" t="s">
        <v>816</v>
      </c>
      <c r="K114" s="1"/>
      <c r="L114" s="15" t="s">
        <v>820</v>
      </c>
      <c r="M114" s="15" t="s">
        <v>480</v>
      </c>
      <c r="N114" s="15" t="s">
        <v>23</v>
      </c>
      <c r="O114" s="31">
        <v>2</v>
      </c>
      <c r="P114" s="15">
        <v>26.25</v>
      </c>
      <c r="Q114" s="15">
        <v>116.92</v>
      </c>
      <c r="U114" s="15" t="s">
        <v>807</v>
      </c>
      <c r="V114" s="31">
        <v>2</v>
      </c>
      <c r="W114" s="16" t="s">
        <v>1149</v>
      </c>
      <c r="X114" s="62" t="s">
        <v>803</v>
      </c>
      <c r="Y114" s="1"/>
      <c r="Z114" s="15">
        <v>4.75</v>
      </c>
      <c r="AA114" s="15" t="s">
        <v>574</v>
      </c>
      <c r="AB114" s="15">
        <f t="shared" si="68"/>
        <v>4.75</v>
      </c>
      <c r="AC114" s="1">
        <v>2</v>
      </c>
      <c r="AD114" s="15">
        <f t="shared" ref="AD114:AD119" si="124">8.96*1.74</f>
        <v>15.590400000000001</v>
      </c>
      <c r="AF114" s="15">
        <f t="shared" ref="AF114:AF119" si="125">0.1+1.6+0.42+0.88+0.06+0.15</f>
        <v>3.21</v>
      </c>
      <c r="AH114" s="15">
        <f t="shared" ref="AH114:AH119" si="126">(0.42+0.88+0.06+0.15)*100/3.21</f>
        <v>47.0404984423676</v>
      </c>
      <c r="AJ114" s="15">
        <v>21.7</v>
      </c>
      <c r="AK114" s="15">
        <v>63</v>
      </c>
      <c r="AL114" s="15">
        <v>15.3</v>
      </c>
      <c r="AM114" s="1">
        <v>2</v>
      </c>
      <c r="AN114" s="15">
        <v>1.27</v>
      </c>
      <c r="AP114" s="15" t="s">
        <v>821</v>
      </c>
      <c r="AQ114" s="1">
        <v>1</v>
      </c>
      <c r="AR114" s="1">
        <v>4</v>
      </c>
      <c r="BP114" s="16"/>
      <c r="BQ114" s="16"/>
      <c r="BR114" s="16"/>
      <c r="BU114" s="16"/>
      <c r="CC114" s="15" t="s">
        <v>729</v>
      </c>
      <c r="CE114" s="15">
        <v>1</v>
      </c>
      <c r="CF114" s="15">
        <f t="shared" si="123"/>
        <v>22500</v>
      </c>
      <c r="CG114" s="15" t="s">
        <v>766</v>
      </c>
      <c r="CH114" s="15">
        <v>7.1</v>
      </c>
      <c r="CI114" s="15">
        <v>300</v>
      </c>
      <c r="CJ114" s="15">
        <v>84.3</v>
      </c>
      <c r="CP114" s="15">
        <v>2.66</v>
      </c>
      <c r="CQ114" s="15">
        <v>4.3899999999999997</v>
      </c>
      <c r="CR114" s="15">
        <v>2.1</v>
      </c>
      <c r="CS114" s="15">
        <v>0.14000000000000001</v>
      </c>
      <c r="CV114" s="15">
        <v>84.3</v>
      </c>
      <c r="CY114" s="25">
        <f t="shared" si="117"/>
        <v>22500</v>
      </c>
      <c r="CZ114" s="25">
        <f t="shared" si="118"/>
        <v>28.846153846153843</v>
      </c>
      <c r="DA114" s="25">
        <f t="shared" si="119"/>
        <v>67500</v>
      </c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>
        <f t="shared" si="69"/>
        <v>4.5599999999999996</v>
      </c>
      <c r="FL114" s="16">
        <f t="shared" si="70"/>
        <v>4.63</v>
      </c>
      <c r="FM114" s="15">
        <v>4.5599999999999996</v>
      </c>
      <c r="FN114" s="15">
        <v>0.03</v>
      </c>
      <c r="FO114" s="15">
        <f>FN114*SQRT(AR114)</f>
        <v>0.06</v>
      </c>
      <c r="FP114" s="15">
        <v>4.63</v>
      </c>
      <c r="FQ114" s="15">
        <v>0.02</v>
      </c>
      <c r="FR114" s="15">
        <f>FQ114*SQRT(AR114)</f>
        <v>0.04</v>
      </c>
      <c r="FS114" s="15">
        <f t="shared" si="76"/>
        <v>1.0153508771929824</v>
      </c>
      <c r="FT114" s="15">
        <f t="shared" si="77"/>
        <v>7.0000000000000284E-2</v>
      </c>
      <c r="FU114" s="15">
        <f t="shared" si="78"/>
        <v>1.5234244571848077E-2</v>
      </c>
      <c r="FV114" s="15">
        <f>((FR114*FR114)/(AR114*FP114*FP114)+(FO114*FO114)/(AR114*FM114*FM114))</f>
        <v>6.1941962850734156E-5</v>
      </c>
      <c r="HY114" s="25">
        <f>CY114</f>
        <v>22500</v>
      </c>
      <c r="HZ114" s="25">
        <f>CZ114</f>
        <v>28.846153846153843</v>
      </c>
      <c r="IA114" s="25">
        <f>DA114</f>
        <v>67500</v>
      </c>
    </row>
    <row r="115" spans="1:235" s="15" customFormat="1" x14ac:dyDescent="0.25">
      <c r="A115" s="31">
        <v>113</v>
      </c>
      <c r="B115" s="1">
        <v>23</v>
      </c>
      <c r="C115" s="1">
        <v>24</v>
      </c>
      <c r="D115" s="15" t="s">
        <v>79</v>
      </c>
      <c r="E115" s="1">
        <v>2</v>
      </c>
      <c r="F115" s="15" t="s">
        <v>777</v>
      </c>
      <c r="G115" s="15" t="s">
        <v>817</v>
      </c>
      <c r="H115" s="15" t="s">
        <v>818</v>
      </c>
      <c r="I115" s="1">
        <v>2014</v>
      </c>
      <c r="J115" s="15" t="s">
        <v>816</v>
      </c>
      <c r="K115" s="1"/>
      <c r="L115" s="15" t="s">
        <v>820</v>
      </c>
      <c r="M115" s="15" t="s">
        <v>480</v>
      </c>
      <c r="N115" s="15" t="s">
        <v>23</v>
      </c>
      <c r="O115" s="31">
        <v>2</v>
      </c>
      <c r="P115" s="15">
        <v>26.25</v>
      </c>
      <c r="Q115" s="15">
        <v>116.92</v>
      </c>
      <c r="U115" s="15" t="s">
        <v>807</v>
      </c>
      <c r="V115" s="31">
        <v>2</v>
      </c>
      <c r="W115" s="16" t="s">
        <v>1149</v>
      </c>
      <c r="X115" s="62" t="s">
        <v>803</v>
      </c>
      <c r="Y115" s="1"/>
      <c r="Z115" s="15">
        <v>4.75</v>
      </c>
      <c r="AA115" s="15" t="s">
        <v>574</v>
      </c>
      <c r="AB115" s="15">
        <f t="shared" si="68"/>
        <v>4.75</v>
      </c>
      <c r="AC115" s="1">
        <v>2</v>
      </c>
      <c r="AD115" s="15">
        <f t="shared" si="124"/>
        <v>15.590400000000001</v>
      </c>
      <c r="AF115" s="15">
        <f t="shared" si="125"/>
        <v>3.21</v>
      </c>
      <c r="AH115" s="15">
        <f t="shared" si="126"/>
        <v>47.0404984423676</v>
      </c>
      <c r="AJ115" s="15">
        <v>21.7</v>
      </c>
      <c r="AK115" s="15">
        <v>63</v>
      </c>
      <c r="AL115" s="15">
        <v>15.3</v>
      </c>
      <c r="AM115" s="1">
        <v>2</v>
      </c>
      <c r="AN115" s="15">
        <v>1.27</v>
      </c>
      <c r="AP115" s="15" t="s">
        <v>821</v>
      </c>
      <c r="AQ115" s="1">
        <v>1</v>
      </c>
      <c r="AR115" s="1">
        <v>4</v>
      </c>
      <c r="BP115" s="16"/>
      <c r="BQ115" s="16"/>
      <c r="BR115" s="16"/>
      <c r="BU115" s="16"/>
      <c r="CC115" s="15" t="s">
        <v>689</v>
      </c>
      <c r="CE115" s="15">
        <v>1</v>
      </c>
      <c r="CF115" s="15">
        <f t="shared" si="123"/>
        <v>22500</v>
      </c>
      <c r="CG115" s="15" t="s">
        <v>766</v>
      </c>
      <c r="CH115" s="15">
        <v>8.4</v>
      </c>
      <c r="CI115" s="15">
        <v>300</v>
      </c>
      <c r="CJ115" s="15">
        <v>89</v>
      </c>
      <c r="CP115" s="15">
        <v>3.6974</v>
      </c>
      <c r="CQ115" s="15">
        <v>5.7069999999999999</v>
      </c>
      <c r="CR115" s="15">
        <v>3.6120000000000001</v>
      </c>
      <c r="CS115" s="15">
        <v>0.5838000000000001</v>
      </c>
      <c r="CV115" s="15">
        <v>89</v>
      </c>
      <c r="CY115" s="25">
        <f t="shared" si="117"/>
        <v>22500</v>
      </c>
      <c r="CZ115" s="25">
        <f t="shared" si="118"/>
        <v>28.846153846153843</v>
      </c>
      <c r="DA115" s="25">
        <f t="shared" si="119"/>
        <v>67500</v>
      </c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>
        <f t="shared" si="69"/>
        <v>4.5599999999999996</v>
      </c>
      <c r="FL115" s="16">
        <f t="shared" si="70"/>
        <v>4.8600000000000003</v>
      </c>
      <c r="FM115" s="15">
        <v>4.5599999999999996</v>
      </c>
      <c r="FN115" s="15">
        <v>0.03</v>
      </c>
      <c r="FO115" s="15">
        <f>FN115*SQRT(AR115)</f>
        <v>0.06</v>
      </c>
      <c r="FP115" s="15">
        <v>4.8600000000000003</v>
      </c>
      <c r="FQ115" s="15">
        <v>0.02</v>
      </c>
      <c r="FR115" s="15">
        <f>FQ115*SQRT(AR115)</f>
        <v>0.04</v>
      </c>
      <c r="FS115" s="15">
        <f t="shared" si="76"/>
        <v>1.0657894736842106</v>
      </c>
      <c r="FT115" s="15">
        <f t="shared" si="77"/>
        <v>0.30000000000000071</v>
      </c>
      <c r="FU115" s="15">
        <f t="shared" si="78"/>
        <v>6.371581438610785E-2</v>
      </c>
      <c r="FV115" s="15">
        <f>((FR115*FR115)/(AR115*FP115*FP115)+(FO115*FO115)/(AR115*FM115*FM115))</f>
        <v>6.0217636284884579E-5</v>
      </c>
      <c r="HY115" s="25">
        <f>CY115</f>
        <v>22500</v>
      </c>
      <c r="HZ115" s="25">
        <f>CZ115</f>
        <v>28.846153846153843</v>
      </c>
      <c r="IA115" s="25">
        <f>DA115</f>
        <v>67500</v>
      </c>
    </row>
    <row r="116" spans="1:235" s="15" customFormat="1" x14ac:dyDescent="0.25">
      <c r="A116" s="31">
        <v>114</v>
      </c>
      <c r="B116" s="1">
        <v>23</v>
      </c>
      <c r="C116" s="1">
        <v>24</v>
      </c>
      <c r="D116" s="15" t="s">
        <v>80</v>
      </c>
      <c r="E116" s="1">
        <v>2</v>
      </c>
      <c r="F116" s="15" t="s">
        <v>777</v>
      </c>
      <c r="G116" s="15" t="s">
        <v>817</v>
      </c>
      <c r="H116" s="15" t="s">
        <v>818</v>
      </c>
      <c r="I116" s="1">
        <v>2014</v>
      </c>
      <c r="J116" s="15" t="s">
        <v>816</v>
      </c>
      <c r="K116" s="1"/>
      <c r="L116" s="15" t="s">
        <v>820</v>
      </c>
      <c r="M116" s="15" t="s">
        <v>480</v>
      </c>
      <c r="N116" s="15" t="s">
        <v>23</v>
      </c>
      <c r="O116" s="31">
        <v>2</v>
      </c>
      <c r="P116" s="15">
        <v>26.25</v>
      </c>
      <c r="Q116" s="15">
        <v>116.92</v>
      </c>
      <c r="U116" s="15" t="s">
        <v>807</v>
      </c>
      <c r="V116" s="31">
        <v>2</v>
      </c>
      <c r="W116" s="16" t="s">
        <v>1149</v>
      </c>
      <c r="X116" s="62" t="s">
        <v>803</v>
      </c>
      <c r="Y116" s="1"/>
      <c r="Z116" s="15">
        <v>4.75</v>
      </c>
      <c r="AA116" s="15" t="s">
        <v>574</v>
      </c>
      <c r="AB116" s="15">
        <f t="shared" si="68"/>
        <v>4.75</v>
      </c>
      <c r="AC116" s="1">
        <v>2</v>
      </c>
      <c r="AD116" s="15">
        <f t="shared" si="124"/>
        <v>15.590400000000001</v>
      </c>
      <c r="AF116" s="15">
        <f t="shared" si="125"/>
        <v>3.21</v>
      </c>
      <c r="AH116" s="15">
        <f t="shared" si="126"/>
        <v>47.0404984423676</v>
      </c>
      <c r="AJ116" s="15">
        <v>21.7</v>
      </c>
      <c r="AK116" s="15">
        <v>63</v>
      </c>
      <c r="AL116" s="15">
        <v>15.3</v>
      </c>
      <c r="AM116" s="1">
        <v>2</v>
      </c>
      <c r="AN116" s="15">
        <v>1.27</v>
      </c>
      <c r="AP116" s="15" t="s">
        <v>821</v>
      </c>
      <c r="AQ116" s="1">
        <v>1</v>
      </c>
      <c r="AR116" s="1">
        <v>4</v>
      </c>
      <c r="BP116" s="16"/>
      <c r="BQ116" s="16"/>
      <c r="BR116" s="16"/>
      <c r="BU116" s="16"/>
      <c r="CC116" s="15" t="s">
        <v>822</v>
      </c>
      <c r="CE116" s="15">
        <v>1</v>
      </c>
      <c r="CF116" s="15">
        <f t="shared" si="123"/>
        <v>22500</v>
      </c>
      <c r="CG116" s="15" t="s">
        <v>766</v>
      </c>
      <c r="CH116" s="15">
        <v>9.1999999999999993</v>
      </c>
      <c r="CI116" s="15">
        <v>300</v>
      </c>
      <c r="CJ116" s="15">
        <v>228.4</v>
      </c>
      <c r="CP116" s="15">
        <v>7.2884000000000011</v>
      </c>
      <c r="CQ116" s="15">
        <v>5.4874999999999998</v>
      </c>
      <c r="CR116" s="15">
        <v>8.5470000000000006</v>
      </c>
      <c r="CS116" s="15">
        <v>1.1620000000000001</v>
      </c>
      <c r="CV116" s="15">
        <v>228.4</v>
      </c>
      <c r="CY116" s="25">
        <f t="shared" si="117"/>
        <v>22500</v>
      </c>
      <c r="CZ116" s="25">
        <f t="shared" si="118"/>
        <v>28.846153846153843</v>
      </c>
      <c r="DA116" s="25">
        <f t="shared" si="119"/>
        <v>67500</v>
      </c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>
        <f t="shared" si="69"/>
        <v>4.5599999999999996</v>
      </c>
      <c r="FL116" s="16">
        <f t="shared" si="70"/>
        <v>5.09</v>
      </c>
      <c r="FM116" s="15">
        <v>4.5599999999999996</v>
      </c>
      <c r="FN116" s="15">
        <v>0.03</v>
      </c>
      <c r="FO116" s="15">
        <f>FN116*SQRT(AR116)</f>
        <v>0.06</v>
      </c>
      <c r="FP116" s="15">
        <v>5.09</v>
      </c>
      <c r="FQ116" s="15">
        <v>0.02</v>
      </c>
      <c r="FR116" s="15">
        <f>FQ116*SQRT(AR116)</f>
        <v>0.04</v>
      </c>
      <c r="FS116" s="15">
        <f t="shared" si="76"/>
        <v>1.1162280701754386</v>
      </c>
      <c r="FT116" s="15">
        <f t="shared" si="77"/>
        <v>0.53000000000000025</v>
      </c>
      <c r="FU116" s="15">
        <f t="shared" si="78"/>
        <v>0.1099552070361367</v>
      </c>
      <c r="FV116" s="15">
        <f>((FR116*FR116)/(AR116*FP116*FP116)+(FO116*FO116)/(AR116*FM116*FM116))</f>
        <v>5.8721735448868332E-5</v>
      </c>
      <c r="HY116" s="25">
        <f>CY116</f>
        <v>22500</v>
      </c>
      <c r="HZ116" s="25">
        <f>CZ116</f>
        <v>28.846153846153843</v>
      </c>
      <c r="IA116" s="25">
        <f>DA116</f>
        <v>67500</v>
      </c>
    </row>
    <row r="117" spans="1:235" s="15" customFormat="1" x14ac:dyDescent="0.25">
      <c r="A117" s="31">
        <v>115</v>
      </c>
      <c r="B117" s="1">
        <v>23</v>
      </c>
      <c r="C117" s="1">
        <v>24</v>
      </c>
      <c r="D117" s="15" t="s">
        <v>81</v>
      </c>
      <c r="E117" s="1">
        <v>2</v>
      </c>
      <c r="F117" s="15" t="s">
        <v>777</v>
      </c>
      <c r="G117" s="15" t="s">
        <v>817</v>
      </c>
      <c r="H117" s="15" t="s">
        <v>818</v>
      </c>
      <c r="I117" s="1">
        <v>2014</v>
      </c>
      <c r="J117" s="15" t="s">
        <v>816</v>
      </c>
      <c r="K117" s="1"/>
      <c r="L117" s="15" t="s">
        <v>820</v>
      </c>
      <c r="M117" s="15" t="s">
        <v>480</v>
      </c>
      <c r="N117" s="15" t="s">
        <v>23</v>
      </c>
      <c r="O117" s="31">
        <v>2</v>
      </c>
      <c r="P117" s="15">
        <v>26.25</v>
      </c>
      <c r="Q117" s="15">
        <v>116.92</v>
      </c>
      <c r="U117" s="15" t="s">
        <v>807</v>
      </c>
      <c r="V117" s="31">
        <v>2</v>
      </c>
      <c r="W117" s="16" t="s">
        <v>1149</v>
      </c>
      <c r="X117" s="62" t="s">
        <v>803</v>
      </c>
      <c r="Y117" s="1"/>
      <c r="Z117" s="15">
        <v>4.75</v>
      </c>
      <c r="AA117" s="15" t="s">
        <v>574</v>
      </c>
      <c r="AB117" s="15">
        <f t="shared" si="68"/>
        <v>4.75</v>
      </c>
      <c r="AC117" s="1">
        <v>2</v>
      </c>
      <c r="AD117" s="15">
        <f t="shared" si="124"/>
        <v>15.590400000000001</v>
      </c>
      <c r="AF117" s="15">
        <f t="shared" si="125"/>
        <v>3.21</v>
      </c>
      <c r="AH117" s="15">
        <f t="shared" si="126"/>
        <v>47.0404984423676</v>
      </c>
      <c r="AJ117" s="15">
        <v>21.7</v>
      </c>
      <c r="AK117" s="15">
        <v>63</v>
      </c>
      <c r="AL117" s="15">
        <v>15.3</v>
      </c>
      <c r="AM117" s="1">
        <v>2</v>
      </c>
      <c r="AN117" s="15">
        <v>1.27</v>
      </c>
      <c r="AP117" s="15" t="s">
        <v>821</v>
      </c>
      <c r="AQ117" s="1">
        <v>1</v>
      </c>
      <c r="AR117" s="1">
        <v>4</v>
      </c>
      <c r="BP117" s="16"/>
      <c r="BQ117" s="16"/>
      <c r="BR117" s="16"/>
      <c r="BU117" s="16"/>
      <c r="CC117" s="15" t="s">
        <v>729</v>
      </c>
      <c r="CE117" s="15">
        <v>2</v>
      </c>
      <c r="CF117" s="15">
        <f t="shared" si="123"/>
        <v>45000</v>
      </c>
      <c r="CG117" s="15" t="s">
        <v>766</v>
      </c>
      <c r="CH117" s="15">
        <v>7.1</v>
      </c>
      <c r="CI117" s="15">
        <v>300</v>
      </c>
      <c r="CJ117" s="15">
        <v>84.3</v>
      </c>
      <c r="CP117" s="15">
        <v>2.66</v>
      </c>
      <c r="CQ117" s="15">
        <v>4.3899999999999997</v>
      </c>
      <c r="CR117" s="15">
        <v>2.1</v>
      </c>
      <c r="CS117" s="15">
        <v>0.14000000000000001</v>
      </c>
      <c r="CV117" s="15">
        <v>84.3</v>
      </c>
      <c r="CY117" s="25">
        <f t="shared" si="117"/>
        <v>45000</v>
      </c>
      <c r="CZ117" s="25">
        <f t="shared" si="118"/>
        <v>57.692307692307686</v>
      </c>
      <c r="DA117" s="25">
        <f t="shared" si="119"/>
        <v>135000</v>
      </c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>
        <f t="shared" si="69"/>
        <v>4.5599999999999996</v>
      </c>
      <c r="FL117" s="16">
        <f t="shared" si="70"/>
        <v>4.71</v>
      </c>
      <c r="FM117" s="15">
        <v>4.5599999999999996</v>
      </c>
      <c r="FN117" s="15">
        <v>0.03</v>
      </c>
      <c r="FO117" s="15">
        <f>FN117*SQRT(AR117)</f>
        <v>0.06</v>
      </c>
      <c r="FP117" s="15">
        <v>4.71</v>
      </c>
      <c r="FQ117" s="15">
        <v>0.02</v>
      </c>
      <c r="FR117" s="15">
        <f>FQ117*SQRT(AR117)</f>
        <v>0.04</v>
      </c>
      <c r="FS117" s="15">
        <f t="shared" si="76"/>
        <v>1.0328947368421053</v>
      </c>
      <c r="FT117" s="15">
        <f t="shared" si="77"/>
        <v>0.15000000000000036</v>
      </c>
      <c r="FU117" s="15">
        <f t="shared" si="78"/>
        <v>3.2365284502031688E-2</v>
      </c>
      <c r="FV117" s="15">
        <f>((FR117*FR117)/(AR117*FP117*FP117)+(FO117*FO117)/(AR117*FM117*FM117))</f>
        <v>6.1313480540410009E-5</v>
      </c>
      <c r="HY117" s="25">
        <f>CY117</f>
        <v>45000</v>
      </c>
      <c r="HZ117" s="25">
        <f>CZ117</f>
        <v>57.692307692307686</v>
      </c>
      <c r="IA117" s="25">
        <f>DA117</f>
        <v>135000</v>
      </c>
    </row>
    <row r="118" spans="1:235" s="15" customFormat="1" x14ac:dyDescent="0.25">
      <c r="A118" s="31">
        <v>116</v>
      </c>
      <c r="B118" s="1">
        <v>23</v>
      </c>
      <c r="C118" s="1">
        <v>24</v>
      </c>
      <c r="D118" s="15" t="s">
        <v>82</v>
      </c>
      <c r="E118" s="1">
        <v>2</v>
      </c>
      <c r="F118" s="15" t="s">
        <v>777</v>
      </c>
      <c r="G118" s="15" t="s">
        <v>817</v>
      </c>
      <c r="H118" s="15" t="s">
        <v>818</v>
      </c>
      <c r="I118" s="1">
        <v>2014</v>
      </c>
      <c r="J118" s="15" t="s">
        <v>816</v>
      </c>
      <c r="K118" s="1"/>
      <c r="L118" s="15" t="s">
        <v>820</v>
      </c>
      <c r="M118" s="15" t="s">
        <v>480</v>
      </c>
      <c r="N118" s="15" t="s">
        <v>23</v>
      </c>
      <c r="O118" s="31">
        <v>2</v>
      </c>
      <c r="P118" s="15">
        <v>26.25</v>
      </c>
      <c r="Q118" s="15">
        <v>116.92</v>
      </c>
      <c r="U118" s="15" t="s">
        <v>807</v>
      </c>
      <c r="V118" s="31">
        <v>2</v>
      </c>
      <c r="W118" s="16" t="s">
        <v>1149</v>
      </c>
      <c r="X118" s="62" t="s">
        <v>803</v>
      </c>
      <c r="Y118" s="1"/>
      <c r="Z118" s="15">
        <v>4.75</v>
      </c>
      <c r="AA118" s="15" t="s">
        <v>574</v>
      </c>
      <c r="AB118" s="15">
        <f t="shared" si="68"/>
        <v>4.75</v>
      </c>
      <c r="AC118" s="1">
        <v>2</v>
      </c>
      <c r="AD118" s="15">
        <f t="shared" si="124"/>
        <v>15.590400000000001</v>
      </c>
      <c r="AF118" s="15">
        <f t="shared" si="125"/>
        <v>3.21</v>
      </c>
      <c r="AH118" s="15">
        <f t="shared" si="126"/>
        <v>47.0404984423676</v>
      </c>
      <c r="AJ118" s="15">
        <v>21.7</v>
      </c>
      <c r="AK118" s="15">
        <v>63</v>
      </c>
      <c r="AL118" s="15">
        <v>15.3</v>
      </c>
      <c r="AM118" s="1">
        <v>2</v>
      </c>
      <c r="AN118" s="15">
        <v>1.27</v>
      </c>
      <c r="AP118" s="15" t="s">
        <v>821</v>
      </c>
      <c r="AQ118" s="1">
        <v>1</v>
      </c>
      <c r="AR118" s="1">
        <v>4</v>
      </c>
      <c r="BP118" s="16"/>
      <c r="BQ118" s="16"/>
      <c r="BR118" s="16"/>
      <c r="BU118" s="16"/>
      <c r="CC118" s="15" t="s">
        <v>689</v>
      </c>
      <c r="CE118" s="15">
        <v>2</v>
      </c>
      <c r="CF118" s="15">
        <f t="shared" si="123"/>
        <v>45000</v>
      </c>
      <c r="CG118" s="15" t="s">
        <v>766</v>
      </c>
      <c r="CH118" s="15">
        <v>8.4</v>
      </c>
      <c r="CI118" s="15">
        <v>300</v>
      </c>
      <c r="CJ118" s="15">
        <v>89</v>
      </c>
      <c r="CP118" s="15">
        <v>3.6974</v>
      </c>
      <c r="CQ118" s="15">
        <v>5.7069999999999999</v>
      </c>
      <c r="CR118" s="15">
        <v>3.6120000000000001</v>
      </c>
      <c r="CS118" s="15">
        <v>0.5838000000000001</v>
      </c>
      <c r="CV118" s="15">
        <v>89</v>
      </c>
      <c r="CY118" s="25">
        <f t="shared" si="117"/>
        <v>45000</v>
      </c>
      <c r="CZ118" s="25">
        <f t="shared" si="118"/>
        <v>57.692307692307686</v>
      </c>
      <c r="DA118" s="25">
        <f t="shared" si="119"/>
        <v>135000</v>
      </c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>
        <f t="shared" si="69"/>
        <v>4.5599999999999996</v>
      </c>
      <c r="FL118" s="16">
        <f t="shared" si="70"/>
        <v>4.82</v>
      </c>
      <c r="FM118" s="15">
        <v>4.5599999999999996</v>
      </c>
      <c r="FN118" s="15">
        <v>0.03</v>
      </c>
      <c r="FO118" s="15">
        <f>FN118*SQRT(AR118)</f>
        <v>0.06</v>
      </c>
      <c r="FP118" s="15">
        <v>4.82</v>
      </c>
      <c r="FQ118" s="15">
        <v>0.04</v>
      </c>
      <c r="FR118" s="15">
        <f>FQ118*SQRT(AR118)</f>
        <v>0.08</v>
      </c>
      <c r="FS118" s="15">
        <f t="shared" si="76"/>
        <v>1.0570175438596492</v>
      </c>
      <c r="FT118" s="15">
        <f t="shared" si="77"/>
        <v>0.26000000000000068</v>
      </c>
      <c r="FU118" s="15">
        <f t="shared" si="78"/>
        <v>5.5451304536214385E-2</v>
      </c>
      <c r="FV118" s="15">
        <f>((FR118*FR118)/(AR118*FP118*FP118)+(FO118*FO118)/(AR118*FM118*FM118))</f>
        <v>1.1215188612559944E-4</v>
      </c>
      <c r="HY118" s="25">
        <f>CY118</f>
        <v>45000</v>
      </c>
      <c r="HZ118" s="25">
        <f>CZ118</f>
        <v>57.692307692307686</v>
      </c>
      <c r="IA118" s="25">
        <f>DA118</f>
        <v>135000</v>
      </c>
    </row>
    <row r="119" spans="1:235" s="15" customFormat="1" x14ac:dyDescent="0.25">
      <c r="A119" s="31">
        <v>117</v>
      </c>
      <c r="B119" s="1">
        <v>23</v>
      </c>
      <c r="C119" s="1">
        <v>24</v>
      </c>
      <c r="D119" s="15" t="s">
        <v>83</v>
      </c>
      <c r="E119" s="1">
        <v>2</v>
      </c>
      <c r="F119" s="15" t="s">
        <v>777</v>
      </c>
      <c r="G119" s="15" t="s">
        <v>817</v>
      </c>
      <c r="H119" s="15" t="s">
        <v>818</v>
      </c>
      <c r="I119" s="1">
        <v>2014</v>
      </c>
      <c r="J119" s="15" t="s">
        <v>816</v>
      </c>
      <c r="K119" s="1"/>
      <c r="L119" s="15" t="s">
        <v>820</v>
      </c>
      <c r="M119" s="15" t="s">
        <v>480</v>
      </c>
      <c r="N119" s="15" t="s">
        <v>23</v>
      </c>
      <c r="O119" s="31">
        <v>2</v>
      </c>
      <c r="P119" s="15">
        <v>26.25</v>
      </c>
      <c r="Q119" s="15">
        <v>116.92</v>
      </c>
      <c r="U119" s="15" t="s">
        <v>807</v>
      </c>
      <c r="V119" s="31">
        <v>2</v>
      </c>
      <c r="W119" s="16" t="s">
        <v>1149</v>
      </c>
      <c r="X119" s="62" t="s">
        <v>803</v>
      </c>
      <c r="Y119" s="1"/>
      <c r="Z119" s="15">
        <v>4.75</v>
      </c>
      <c r="AA119" s="15" t="s">
        <v>574</v>
      </c>
      <c r="AB119" s="15">
        <f t="shared" si="68"/>
        <v>4.75</v>
      </c>
      <c r="AC119" s="1">
        <v>2</v>
      </c>
      <c r="AD119" s="15">
        <f t="shared" si="124"/>
        <v>15.590400000000001</v>
      </c>
      <c r="AF119" s="15">
        <f t="shared" si="125"/>
        <v>3.21</v>
      </c>
      <c r="AH119" s="15">
        <f t="shared" si="126"/>
        <v>47.0404984423676</v>
      </c>
      <c r="AJ119" s="15">
        <v>21.7</v>
      </c>
      <c r="AK119" s="15">
        <v>63</v>
      </c>
      <c r="AL119" s="15">
        <v>15.3</v>
      </c>
      <c r="AM119" s="1">
        <v>2</v>
      </c>
      <c r="AN119" s="15">
        <v>1.27</v>
      </c>
      <c r="AP119" s="15" t="s">
        <v>821</v>
      </c>
      <c r="AQ119" s="1">
        <v>1</v>
      </c>
      <c r="AR119" s="1">
        <v>4</v>
      </c>
      <c r="BP119" s="16"/>
      <c r="BQ119" s="16"/>
      <c r="BR119" s="16"/>
      <c r="BU119" s="16"/>
      <c r="CC119" s="15" t="s">
        <v>822</v>
      </c>
      <c r="CE119" s="15">
        <v>2</v>
      </c>
      <c r="CF119" s="15">
        <f t="shared" si="123"/>
        <v>45000</v>
      </c>
      <c r="CG119" s="15" t="s">
        <v>766</v>
      </c>
      <c r="CH119" s="15">
        <v>9.1999999999999993</v>
      </c>
      <c r="CI119" s="15">
        <v>300</v>
      </c>
      <c r="CJ119" s="15">
        <v>228.4</v>
      </c>
      <c r="CP119" s="15">
        <v>7.2884000000000011</v>
      </c>
      <c r="CQ119" s="15">
        <v>5.4874999999999998</v>
      </c>
      <c r="CR119" s="15">
        <v>8.5470000000000006</v>
      </c>
      <c r="CS119" s="15">
        <v>1.1620000000000001</v>
      </c>
      <c r="CV119" s="15">
        <v>228.4</v>
      </c>
      <c r="CY119" s="25">
        <f t="shared" si="117"/>
        <v>45000</v>
      </c>
      <c r="CZ119" s="25">
        <f t="shared" si="118"/>
        <v>57.692307692307686</v>
      </c>
      <c r="DA119" s="25">
        <f t="shared" si="119"/>
        <v>135000</v>
      </c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>
        <f t="shared" si="69"/>
        <v>4.5599999999999996</v>
      </c>
      <c r="FL119" s="16">
        <f t="shared" si="70"/>
        <v>5.12</v>
      </c>
      <c r="FM119" s="15">
        <v>4.5599999999999996</v>
      </c>
      <c r="FN119" s="15">
        <v>0.03</v>
      </c>
      <c r="FO119" s="15">
        <f>FN119*SQRT(AR119)</f>
        <v>0.06</v>
      </c>
      <c r="FP119" s="15">
        <v>5.12</v>
      </c>
      <c r="FQ119" s="15">
        <v>0.05</v>
      </c>
      <c r="FR119" s="15">
        <f>FQ119*SQRT(AR119)</f>
        <v>0.1</v>
      </c>
      <c r="FS119" s="15">
        <f t="shared" si="76"/>
        <v>1.1228070175438598</v>
      </c>
      <c r="FT119" s="15">
        <f t="shared" si="77"/>
        <v>0.5600000000000005</v>
      </c>
      <c r="FU119" s="15">
        <f t="shared" si="78"/>
        <v>0.11583181552512167</v>
      </c>
      <c r="FV119" s="15">
        <f>((FR119*FR119)/(AR119*FP119*FP119)+(FO119*FO119)/(AR119*FM119*FM119))</f>
        <v>1.3864998011707931E-4</v>
      </c>
      <c r="HY119" s="25">
        <f>CY119</f>
        <v>45000</v>
      </c>
      <c r="HZ119" s="25">
        <f>CZ119</f>
        <v>57.692307692307686</v>
      </c>
      <c r="IA119" s="25">
        <f>DA119</f>
        <v>135000</v>
      </c>
    </row>
    <row r="120" spans="1:235" s="15" customFormat="1" x14ac:dyDescent="0.25">
      <c r="A120" s="31">
        <v>118</v>
      </c>
      <c r="B120" s="1">
        <v>24</v>
      </c>
      <c r="C120" s="1">
        <v>25</v>
      </c>
      <c r="D120" s="15" t="s">
        <v>84</v>
      </c>
      <c r="E120" s="1">
        <v>2</v>
      </c>
      <c r="F120" s="15" t="s">
        <v>777</v>
      </c>
      <c r="G120" s="15" t="s">
        <v>823</v>
      </c>
      <c r="H120" s="15" t="s">
        <v>824</v>
      </c>
      <c r="I120" s="1">
        <v>2020</v>
      </c>
      <c r="J120" s="15" t="s">
        <v>825</v>
      </c>
      <c r="K120" s="1"/>
      <c r="L120" s="15" t="s">
        <v>826</v>
      </c>
      <c r="M120" s="15" t="s">
        <v>480</v>
      </c>
      <c r="N120" s="15" t="s">
        <v>23</v>
      </c>
      <c r="O120" s="31">
        <v>2</v>
      </c>
      <c r="P120" s="15">
        <v>30.67</v>
      </c>
      <c r="Q120" s="15">
        <v>119.55</v>
      </c>
      <c r="S120" s="15">
        <v>1500</v>
      </c>
      <c r="T120" s="15">
        <v>15</v>
      </c>
      <c r="U120" s="15" t="s">
        <v>807</v>
      </c>
      <c r="V120" s="31">
        <v>2</v>
      </c>
      <c r="W120" s="16" t="s">
        <v>1166</v>
      </c>
      <c r="Y120" s="1"/>
      <c r="Z120" s="15">
        <v>4.03</v>
      </c>
      <c r="AA120" s="15" t="s">
        <v>574</v>
      </c>
      <c r="AB120" s="15">
        <f t="shared" si="68"/>
        <v>4.03</v>
      </c>
      <c r="AC120" s="1">
        <v>1</v>
      </c>
      <c r="AD120" s="15">
        <v>10.23</v>
      </c>
      <c r="AM120" s="1">
        <v>3</v>
      </c>
      <c r="AN120" s="15">
        <v>1.1299999999999999</v>
      </c>
      <c r="AQ120" s="1"/>
      <c r="AR120" s="1">
        <v>3</v>
      </c>
      <c r="BP120" s="16"/>
      <c r="BQ120" s="16"/>
      <c r="BR120" s="16"/>
      <c r="BU120" s="16"/>
      <c r="CC120" s="15" t="s">
        <v>827</v>
      </c>
      <c r="CE120" s="15">
        <v>1</v>
      </c>
      <c r="CF120" s="15">
        <f t="shared" si="123"/>
        <v>22500</v>
      </c>
      <c r="CG120" s="15" t="s">
        <v>766</v>
      </c>
      <c r="CH120" s="15">
        <v>8.6</v>
      </c>
      <c r="CI120" s="15">
        <v>550</v>
      </c>
      <c r="CK120" s="15">
        <v>360</v>
      </c>
      <c r="CL120" s="15">
        <v>23.8</v>
      </c>
      <c r="CM120" s="15">
        <v>12.1</v>
      </c>
      <c r="CY120" s="25">
        <f t="shared" si="117"/>
        <v>22500</v>
      </c>
      <c r="CZ120" s="25">
        <f t="shared" si="118"/>
        <v>28.846153846153843</v>
      </c>
      <c r="DA120" s="25">
        <f t="shared" si="119"/>
        <v>67500</v>
      </c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>
        <f t="shared" si="69"/>
        <v>3.28</v>
      </c>
      <c r="FL120" s="16">
        <f t="shared" si="70"/>
        <v>3.42</v>
      </c>
      <c r="FM120" s="15">
        <v>3.28</v>
      </c>
      <c r="FN120" s="15">
        <v>0.02</v>
      </c>
      <c r="FO120" s="15">
        <f>FN120*SQRT(AR120)</f>
        <v>3.4641016151377546E-2</v>
      </c>
      <c r="FP120" s="15">
        <v>3.42</v>
      </c>
      <c r="FQ120" s="15">
        <v>0.01</v>
      </c>
      <c r="FR120" s="15">
        <f>FQ120*SQRT(AR120)</f>
        <v>1.7320508075688773E-2</v>
      </c>
      <c r="FS120" s="15">
        <f t="shared" si="76"/>
        <v>1.0426829268292683</v>
      </c>
      <c r="FT120" s="15">
        <f t="shared" si="77"/>
        <v>0.14000000000000012</v>
      </c>
      <c r="FU120" s="15">
        <f t="shared" si="78"/>
        <v>4.1797128678461526E-2</v>
      </c>
      <c r="FV120" s="15">
        <f>((FR120*FR120)/(AR120*FP120*FP120)+(FO120*FO120)/(AR120*FM120*FM120))</f>
        <v>4.5729889056504552E-5</v>
      </c>
      <c r="HY120" s="25">
        <f>CY120</f>
        <v>22500</v>
      </c>
      <c r="HZ120" s="25">
        <f>CZ120</f>
        <v>28.846153846153843</v>
      </c>
      <c r="IA120" s="25">
        <f>DA120</f>
        <v>67500</v>
      </c>
    </row>
    <row r="121" spans="1:235" s="15" customFormat="1" x14ac:dyDescent="0.25">
      <c r="A121" s="31">
        <v>119</v>
      </c>
      <c r="B121" s="1">
        <v>24</v>
      </c>
      <c r="C121" s="1">
        <v>25</v>
      </c>
      <c r="D121" s="15" t="s">
        <v>85</v>
      </c>
      <c r="E121" s="1">
        <v>2</v>
      </c>
      <c r="F121" s="15" t="s">
        <v>777</v>
      </c>
      <c r="G121" s="15" t="s">
        <v>823</v>
      </c>
      <c r="H121" s="15" t="s">
        <v>824</v>
      </c>
      <c r="I121" s="1">
        <v>2020</v>
      </c>
      <c r="J121" s="15" t="s">
        <v>825</v>
      </c>
      <c r="K121" s="1"/>
      <c r="L121" s="15" t="s">
        <v>826</v>
      </c>
      <c r="M121" s="15" t="s">
        <v>480</v>
      </c>
      <c r="N121" s="15" t="s">
        <v>23</v>
      </c>
      <c r="O121" s="31">
        <v>2</v>
      </c>
      <c r="P121" s="15">
        <v>30.67</v>
      </c>
      <c r="Q121" s="15">
        <v>119.55</v>
      </c>
      <c r="S121" s="15">
        <v>1500</v>
      </c>
      <c r="T121" s="15">
        <v>15</v>
      </c>
      <c r="U121" s="15" t="s">
        <v>807</v>
      </c>
      <c r="V121" s="31">
        <v>2</v>
      </c>
      <c r="W121" s="16" t="s">
        <v>1166</v>
      </c>
      <c r="Y121" s="1"/>
      <c r="Z121" s="15">
        <v>4.03</v>
      </c>
      <c r="AA121" s="15" t="s">
        <v>574</v>
      </c>
      <c r="AB121" s="15">
        <f t="shared" ref="AB121:AB150" si="127">Z121</f>
        <v>4.03</v>
      </c>
      <c r="AC121" s="1">
        <v>1</v>
      </c>
      <c r="AD121" s="15">
        <v>10.23</v>
      </c>
      <c r="AM121" s="1">
        <v>3</v>
      </c>
      <c r="AN121" s="15">
        <v>1.1299999999999999</v>
      </c>
      <c r="AQ121" s="1"/>
      <c r="AR121" s="1">
        <v>3</v>
      </c>
      <c r="BP121" s="16"/>
      <c r="BQ121" s="16"/>
      <c r="BR121" s="16"/>
      <c r="BU121" s="16"/>
      <c r="CC121" s="15" t="s">
        <v>827</v>
      </c>
      <c r="CE121" s="15">
        <v>2</v>
      </c>
      <c r="CF121" s="15">
        <f t="shared" si="123"/>
        <v>45000</v>
      </c>
      <c r="CG121" s="15" t="s">
        <v>766</v>
      </c>
      <c r="CH121" s="15">
        <v>8.6</v>
      </c>
      <c r="CI121" s="15">
        <v>550</v>
      </c>
      <c r="CK121" s="15">
        <v>360</v>
      </c>
      <c r="CL121" s="15">
        <v>23.8</v>
      </c>
      <c r="CM121" s="15">
        <v>12.1</v>
      </c>
      <c r="CY121" s="25">
        <f t="shared" si="117"/>
        <v>45000</v>
      </c>
      <c r="CZ121" s="25">
        <f t="shared" si="118"/>
        <v>57.692307692307686</v>
      </c>
      <c r="DA121" s="25">
        <f t="shared" si="119"/>
        <v>135000</v>
      </c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>
        <f t="shared" ref="FK121:FK150" si="128">FM121</f>
        <v>3.28</v>
      </c>
      <c r="FL121" s="16">
        <f t="shared" ref="FL121:FL150" si="129">FP121</f>
        <v>3.55</v>
      </c>
      <c r="FM121" s="15">
        <v>3.28</v>
      </c>
      <c r="FN121" s="15">
        <v>0.02</v>
      </c>
      <c r="FO121" s="15">
        <f>FN121*SQRT(AR121)</f>
        <v>3.4641016151377546E-2</v>
      </c>
      <c r="FP121" s="15">
        <v>3.55</v>
      </c>
      <c r="FQ121" s="15">
        <v>0.01</v>
      </c>
      <c r="FR121" s="15">
        <f>FQ121*SQRT(AR121)</f>
        <v>1.7320508075688773E-2</v>
      </c>
      <c r="FS121" s="15">
        <f t="shared" si="76"/>
        <v>1.0823170731707317</v>
      </c>
      <c r="FT121" s="15">
        <f t="shared" si="77"/>
        <v>0.27</v>
      </c>
      <c r="FU121" s="15">
        <f t="shared" si="78"/>
        <v>7.9104181091272041E-2</v>
      </c>
      <c r="FV121" s="15">
        <f>((FR121*FR121)/(AR121*FP121*FP121)+(FO121*FO121)/(AR121*FM121*FM121))</f>
        <v>4.5115183396210576E-5</v>
      </c>
      <c r="HY121" s="25">
        <f>CY121</f>
        <v>45000</v>
      </c>
      <c r="HZ121" s="25">
        <f>CZ121</f>
        <v>57.692307692307686</v>
      </c>
      <c r="IA121" s="25">
        <f>DA121</f>
        <v>135000</v>
      </c>
    </row>
    <row r="122" spans="1:235" s="15" customFormat="1" x14ac:dyDescent="0.25">
      <c r="A122" s="31">
        <v>120</v>
      </c>
      <c r="B122" s="1">
        <v>24</v>
      </c>
      <c r="C122" s="1">
        <v>25</v>
      </c>
      <c r="D122" s="15" t="s">
        <v>86</v>
      </c>
      <c r="E122" s="1">
        <v>2</v>
      </c>
      <c r="F122" s="15" t="s">
        <v>777</v>
      </c>
      <c r="G122" s="15" t="s">
        <v>823</v>
      </c>
      <c r="H122" s="15" t="s">
        <v>824</v>
      </c>
      <c r="I122" s="1">
        <v>2020</v>
      </c>
      <c r="J122" s="15" t="s">
        <v>825</v>
      </c>
      <c r="K122" s="1"/>
      <c r="L122" s="15" t="s">
        <v>826</v>
      </c>
      <c r="M122" s="15" t="s">
        <v>480</v>
      </c>
      <c r="N122" s="15" t="s">
        <v>23</v>
      </c>
      <c r="O122" s="31">
        <v>2</v>
      </c>
      <c r="P122" s="15">
        <v>30.67</v>
      </c>
      <c r="Q122" s="15">
        <v>119.55</v>
      </c>
      <c r="S122" s="15">
        <v>1500</v>
      </c>
      <c r="T122" s="15">
        <v>15</v>
      </c>
      <c r="U122" s="15" t="s">
        <v>807</v>
      </c>
      <c r="V122" s="31">
        <v>2</v>
      </c>
      <c r="W122" s="16" t="s">
        <v>1166</v>
      </c>
      <c r="Y122" s="1"/>
      <c r="Z122" s="15">
        <v>4.03</v>
      </c>
      <c r="AA122" s="15" t="s">
        <v>574</v>
      </c>
      <c r="AB122" s="15">
        <f t="shared" si="127"/>
        <v>4.03</v>
      </c>
      <c r="AC122" s="1">
        <v>1</v>
      </c>
      <c r="AD122" s="15">
        <v>10.23</v>
      </c>
      <c r="AM122" s="1">
        <v>3</v>
      </c>
      <c r="AN122" s="15">
        <v>1.1299999999999999</v>
      </c>
      <c r="AQ122" s="1"/>
      <c r="AR122" s="1">
        <v>3</v>
      </c>
      <c r="BP122" s="16"/>
      <c r="BQ122" s="16"/>
      <c r="BR122" s="16"/>
      <c r="BU122" s="16"/>
      <c r="CC122" s="15" t="s">
        <v>827</v>
      </c>
      <c r="CE122" s="15">
        <v>5</v>
      </c>
      <c r="CF122" s="15">
        <f t="shared" si="123"/>
        <v>112500</v>
      </c>
      <c r="CG122" s="15" t="s">
        <v>766</v>
      </c>
      <c r="CH122" s="15">
        <v>8.6</v>
      </c>
      <c r="CI122" s="15">
        <v>550</v>
      </c>
      <c r="CK122" s="15">
        <v>360</v>
      </c>
      <c r="CL122" s="15">
        <v>23.8</v>
      </c>
      <c r="CM122" s="15">
        <v>12.1</v>
      </c>
      <c r="CY122" s="25">
        <f t="shared" si="117"/>
        <v>112500</v>
      </c>
      <c r="CZ122" s="25">
        <f t="shared" si="118"/>
        <v>144.23076923076923</v>
      </c>
      <c r="DA122" s="25">
        <f t="shared" si="119"/>
        <v>337500</v>
      </c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>
        <f t="shared" si="128"/>
        <v>3.28</v>
      </c>
      <c r="FL122" s="16">
        <f t="shared" si="129"/>
        <v>3.65</v>
      </c>
      <c r="FM122" s="15">
        <v>3.28</v>
      </c>
      <c r="FN122" s="15">
        <v>0.02</v>
      </c>
      <c r="FO122" s="15">
        <f>FN122*SQRT(AR122)</f>
        <v>3.4641016151377546E-2</v>
      </c>
      <c r="FP122" s="15">
        <v>3.65</v>
      </c>
      <c r="FQ122" s="15">
        <v>0.01</v>
      </c>
      <c r="FR122" s="15">
        <f>FQ122*SQRT(AR122)</f>
        <v>1.7320508075688773E-2</v>
      </c>
      <c r="FS122" s="15">
        <f t="shared" si="76"/>
        <v>1.1128048780487805</v>
      </c>
      <c r="FT122" s="15">
        <f t="shared" si="77"/>
        <v>0.37000000000000011</v>
      </c>
      <c r="FU122" s="15">
        <f t="shared" si="78"/>
        <v>0.10688374519834776</v>
      </c>
      <c r="FV122" s="15">
        <f>((FR122*FR122)/(AR122*FP122*FP122)+(FO122*FO122)/(AR122*FM122*FM122))</f>
        <v>4.4686348556476988E-5</v>
      </c>
      <c r="HY122" s="25">
        <f>CY122</f>
        <v>112500</v>
      </c>
      <c r="HZ122" s="25">
        <f>CZ122</f>
        <v>144.23076923076923</v>
      </c>
      <c r="IA122" s="25">
        <f>DA122</f>
        <v>337500</v>
      </c>
    </row>
    <row r="123" spans="1:235" s="15" customFormat="1" x14ac:dyDescent="0.25">
      <c r="A123" s="31">
        <v>121</v>
      </c>
      <c r="B123" s="1">
        <v>25</v>
      </c>
      <c r="C123" s="1">
        <v>26</v>
      </c>
      <c r="D123" s="15" t="s">
        <v>87</v>
      </c>
      <c r="E123" s="1">
        <v>2</v>
      </c>
      <c r="F123" s="15" t="s">
        <v>777</v>
      </c>
      <c r="G123" s="15" t="s">
        <v>828</v>
      </c>
      <c r="H123" s="15" t="s">
        <v>829</v>
      </c>
      <c r="I123" s="1">
        <v>2019</v>
      </c>
      <c r="J123" s="15" t="s">
        <v>830</v>
      </c>
      <c r="K123" s="1" t="s">
        <v>832</v>
      </c>
      <c r="L123" s="15" t="s">
        <v>831</v>
      </c>
      <c r="M123" s="15" t="s">
        <v>480</v>
      </c>
      <c r="N123" s="15" t="s">
        <v>23</v>
      </c>
      <c r="O123" s="31">
        <v>2</v>
      </c>
      <c r="P123" s="15">
        <v>27.79</v>
      </c>
      <c r="Q123" s="15">
        <v>109.22</v>
      </c>
      <c r="U123" s="15" t="s">
        <v>807</v>
      </c>
      <c r="V123" s="31">
        <v>2</v>
      </c>
      <c r="W123" s="16" t="s">
        <v>1167</v>
      </c>
      <c r="Y123" s="1"/>
      <c r="Z123" s="15">
        <v>6.21</v>
      </c>
      <c r="AA123" s="15" t="s">
        <v>574</v>
      </c>
      <c r="AB123" s="15">
        <f t="shared" si="127"/>
        <v>6.21</v>
      </c>
      <c r="AC123" s="1">
        <v>5</v>
      </c>
      <c r="AD123" s="15">
        <f t="shared" ref="AD123:AD131" si="130">2.99*1.74</f>
        <v>5.2026000000000003</v>
      </c>
      <c r="AM123" s="1"/>
      <c r="AP123" s="15" t="s">
        <v>837</v>
      </c>
      <c r="AQ123" s="1">
        <v>2</v>
      </c>
      <c r="AR123" s="1">
        <v>3</v>
      </c>
      <c r="BP123" s="16"/>
      <c r="BQ123" s="16"/>
      <c r="BR123" s="16"/>
      <c r="BU123" s="16"/>
      <c r="CC123" s="15" t="s">
        <v>833</v>
      </c>
      <c r="CE123" s="15">
        <v>1</v>
      </c>
      <c r="CF123" s="15">
        <f t="shared" si="123"/>
        <v>22500</v>
      </c>
      <c r="CG123" s="15" t="s">
        <v>766</v>
      </c>
      <c r="CH123" s="15">
        <v>8.23</v>
      </c>
      <c r="CI123" s="15">
        <v>500</v>
      </c>
      <c r="CK123" s="15">
        <v>534.5</v>
      </c>
      <c r="CL123" s="15">
        <v>10.51</v>
      </c>
      <c r="CM123" s="15">
        <v>3.99</v>
      </c>
      <c r="CO123" s="15">
        <v>15.34</v>
      </c>
      <c r="CY123" s="25">
        <f t="shared" si="117"/>
        <v>22500</v>
      </c>
      <c r="CZ123" s="25">
        <f t="shared" si="118"/>
        <v>28.846153846153843</v>
      </c>
      <c r="DA123" s="25">
        <f t="shared" si="119"/>
        <v>67500</v>
      </c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>
        <f t="shared" si="128"/>
        <v>6.21</v>
      </c>
      <c r="FL123" s="16">
        <f t="shared" si="129"/>
        <v>6.78</v>
      </c>
      <c r="FM123" s="15">
        <v>6.21</v>
      </c>
      <c r="FN123" s="15">
        <v>0.22</v>
      </c>
      <c r="FO123" s="15">
        <f>FN123*SQRT(AR123)</f>
        <v>0.38105117766515301</v>
      </c>
      <c r="FP123" s="15">
        <v>6.78</v>
      </c>
      <c r="FQ123" s="15">
        <v>0.09</v>
      </c>
      <c r="FR123" s="15">
        <f>FQ123*SQRT(AR123)</f>
        <v>0.15588457268119893</v>
      </c>
      <c r="FS123" s="15">
        <f t="shared" si="76"/>
        <v>1.0917874396135265</v>
      </c>
      <c r="FT123" s="15">
        <f t="shared" si="77"/>
        <v>0.57000000000000028</v>
      </c>
      <c r="FU123" s="15">
        <f t="shared" si="78"/>
        <v>8.7816206006916753E-2</v>
      </c>
      <c r="FV123" s="15">
        <f>((FR123*FR123)/(AR123*FP123*FP123)+(FO123*FO123)/(AR123*FM123*FM123))</f>
        <v>1.4312612786961569E-3</v>
      </c>
      <c r="FX123" s="15">
        <v>5.15</v>
      </c>
      <c r="FY123" s="15">
        <v>0.22</v>
      </c>
      <c r="FZ123" s="15">
        <f>FY123*SQRT(AR123)</f>
        <v>0.38105117766515301</v>
      </c>
      <c r="GA123" s="15">
        <v>12.71</v>
      </c>
      <c r="GB123" s="15">
        <v>0.74</v>
      </c>
      <c r="GC123" s="15">
        <f>GB123*SQRT(AR123)</f>
        <v>1.2817175976009691</v>
      </c>
      <c r="GD123" s="15">
        <f t="shared" ref="GD123:GD140" si="131">GA123/FX123</f>
        <v>2.4679611650485436</v>
      </c>
      <c r="GE123" s="15">
        <f t="shared" ref="GE123:GE140" si="132">GA123-FX123</f>
        <v>7.5600000000000005</v>
      </c>
      <c r="GF123" s="15">
        <f t="shared" ref="GF123:GF140" si="133">LN(GA123)-LN(FX123)</f>
        <v>0.90339237052571808</v>
      </c>
      <c r="GG123" s="15">
        <f>((GC123*GC123)/(AR123*GA123*GA123)+(FZ123*FZ123)/(AR123*FX123*FX123))</f>
        <v>5.2146521222990357E-3</v>
      </c>
      <c r="HY123" s="25">
        <f>CY123</f>
        <v>22500</v>
      </c>
      <c r="HZ123" s="25">
        <f>CZ123</f>
        <v>28.846153846153843</v>
      </c>
      <c r="IA123" s="25">
        <f>DA123</f>
        <v>67500</v>
      </c>
    </row>
    <row r="124" spans="1:235" s="15" customFormat="1" x14ac:dyDescent="0.25">
      <c r="A124" s="31">
        <v>122</v>
      </c>
      <c r="B124" s="1">
        <v>25</v>
      </c>
      <c r="C124" s="1">
        <v>26</v>
      </c>
      <c r="D124" s="15" t="s">
        <v>88</v>
      </c>
      <c r="E124" s="1">
        <v>2</v>
      </c>
      <c r="F124" s="15" t="s">
        <v>777</v>
      </c>
      <c r="G124" s="15" t="s">
        <v>828</v>
      </c>
      <c r="H124" s="15" t="s">
        <v>829</v>
      </c>
      <c r="I124" s="1">
        <v>2019</v>
      </c>
      <c r="J124" s="15" t="s">
        <v>830</v>
      </c>
      <c r="K124" s="1" t="s">
        <v>832</v>
      </c>
      <c r="L124" s="15" t="s">
        <v>831</v>
      </c>
      <c r="M124" s="15" t="s">
        <v>480</v>
      </c>
      <c r="N124" s="15" t="s">
        <v>23</v>
      </c>
      <c r="O124" s="31">
        <v>2</v>
      </c>
      <c r="P124" s="15">
        <v>27.79</v>
      </c>
      <c r="Q124" s="15">
        <v>109.22</v>
      </c>
      <c r="U124" s="15" t="s">
        <v>807</v>
      </c>
      <c r="V124" s="31">
        <v>2</v>
      </c>
      <c r="W124" s="16" t="s">
        <v>1167</v>
      </c>
      <c r="Y124" s="1"/>
      <c r="Z124" s="15">
        <v>6.21</v>
      </c>
      <c r="AA124" s="15" t="s">
        <v>574</v>
      </c>
      <c r="AB124" s="15">
        <f t="shared" si="127"/>
        <v>6.21</v>
      </c>
      <c r="AC124" s="1">
        <v>5</v>
      </c>
      <c r="AD124" s="15">
        <f t="shared" si="130"/>
        <v>5.2026000000000003</v>
      </c>
      <c r="AM124" s="1"/>
      <c r="AP124" s="15" t="s">
        <v>837</v>
      </c>
      <c r="AQ124" s="1">
        <v>2</v>
      </c>
      <c r="AR124" s="1">
        <v>3</v>
      </c>
      <c r="BP124" s="16"/>
      <c r="BQ124" s="16"/>
      <c r="BR124" s="16"/>
      <c r="BU124" s="16"/>
      <c r="CC124" s="15" t="s">
        <v>833</v>
      </c>
      <c r="CE124" s="15">
        <v>2</v>
      </c>
      <c r="CF124" s="15">
        <f t="shared" si="123"/>
        <v>45000</v>
      </c>
      <c r="CG124" s="15" t="s">
        <v>766</v>
      </c>
      <c r="CH124" s="15">
        <v>8.23</v>
      </c>
      <c r="CI124" s="15">
        <v>500</v>
      </c>
      <c r="CK124" s="15">
        <v>534.5</v>
      </c>
      <c r="CL124" s="15">
        <v>10.51</v>
      </c>
      <c r="CM124" s="15">
        <v>3.99</v>
      </c>
      <c r="CO124" s="15">
        <v>15.34</v>
      </c>
      <c r="CY124" s="25">
        <f t="shared" si="117"/>
        <v>45000</v>
      </c>
      <c r="CZ124" s="25">
        <f t="shared" si="118"/>
        <v>57.692307692307686</v>
      </c>
      <c r="DA124" s="25">
        <f t="shared" si="119"/>
        <v>135000</v>
      </c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>
        <f t="shared" si="128"/>
        <v>6.21</v>
      </c>
      <c r="FL124" s="16">
        <f t="shared" si="129"/>
        <v>6.68</v>
      </c>
      <c r="FM124" s="15">
        <v>6.21</v>
      </c>
      <c r="FN124" s="15">
        <v>0.22</v>
      </c>
      <c r="FO124" s="15">
        <f>FN124*SQRT(AR124)</f>
        <v>0.38105117766515301</v>
      </c>
      <c r="FP124" s="15">
        <v>6.68</v>
      </c>
      <c r="FQ124" s="15">
        <v>0.03</v>
      </c>
      <c r="FR124" s="15">
        <f>FQ124*SQRT(AR124)</f>
        <v>5.1961524227066312E-2</v>
      </c>
      <c r="FS124" s="15">
        <f t="shared" si="76"/>
        <v>1.075684380032206</v>
      </c>
      <c r="FT124" s="15">
        <f t="shared" si="77"/>
        <v>0.46999999999999975</v>
      </c>
      <c r="FU124" s="15">
        <f t="shared" si="78"/>
        <v>7.2957091603166768E-2</v>
      </c>
      <c r="FV124" s="15">
        <f>((FR124*FR124)/(AR124*FP124*FP124)+(FO124*FO124)/(AR124*FM124*FM124))</f>
        <v>1.275222517290669E-3</v>
      </c>
      <c r="FX124" s="15">
        <v>5.15</v>
      </c>
      <c r="FY124" s="15">
        <v>0.22</v>
      </c>
      <c r="FZ124" s="15">
        <f>FY124*SQRT(AR124)</f>
        <v>0.38105117766515301</v>
      </c>
      <c r="GA124" s="15">
        <v>20.170000000000002</v>
      </c>
      <c r="GB124" s="15">
        <v>0.8</v>
      </c>
      <c r="GC124" s="15">
        <f>GB124*SQRT(AR124)</f>
        <v>1.3856406460551018</v>
      </c>
      <c r="GD124" s="15">
        <f t="shared" si="131"/>
        <v>3.9165048543689323</v>
      </c>
      <c r="GE124" s="15">
        <f t="shared" si="132"/>
        <v>15.020000000000001</v>
      </c>
      <c r="GF124" s="15">
        <f t="shared" si="133"/>
        <v>1.3651996372904758</v>
      </c>
      <c r="GG124" s="15">
        <f>((GC124*GC124)/(AR124*GA124*GA124)+(FZ124*FZ124)/(AR124*FX124*FX124))</f>
        <v>3.3980085910216744E-3</v>
      </c>
      <c r="HY124" s="25">
        <f>CY124</f>
        <v>45000</v>
      </c>
      <c r="HZ124" s="25">
        <f>CZ124</f>
        <v>57.692307692307686</v>
      </c>
      <c r="IA124" s="25">
        <f>DA124</f>
        <v>135000</v>
      </c>
    </row>
    <row r="125" spans="1:235" s="15" customFormat="1" x14ac:dyDescent="0.25">
      <c r="A125" s="31">
        <v>123</v>
      </c>
      <c r="B125" s="1">
        <v>25</v>
      </c>
      <c r="C125" s="1">
        <v>26</v>
      </c>
      <c r="D125" s="15" t="s">
        <v>89</v>
      </c>
      <c r="E125" s="1">
        <v>2</v>
      </c>
      <c r="F125" s="15" t="s">
        <v>777</v>
      </c>
      <c r="G125" s="15" t="s">
        <v>828</v>
      </c>
      <c r="H125" s="15" t="s">
        <v>829</v>
      </c>
      <c r="I125" s="1">
        <v>2019</v>
      </c>
      <c r="J125" s="15" t="s">
        <v>830</v>
      </c>
      <c r="K125" s="1" t="s">
        <v>832</v>
      </c>
      <c r="L125" s="15" t="s">
        <v>831</v>
      </c>
      <c r="M125" s="15" t="s">
        <v>480</v>
      </c>
      <c r="N125" s="15" t="s">
        <v>23</v>
      </c>
      <c r="O125" s="31">
        <v>2</v>
      </c>
      <c r="P125" s="15">
        <v>27.79</v>
      </c>
      <c r="Q125" s="15">
        <v>109.22</v>
      </c>
      <c r="U125" s="15" t="s">
        <v>807</v>
      </c>
      <c r="V125" s="31">
        <v>2</v>
      </c>
      <c r="W125" s="16" t="s">
        <v>1167</v>
      </c>
      <c r="Y125" s="1"/>
      <c r="Z125" s="15">
        <v>6.21</v>
      </c>
      <c r="AA125" s="15" t="s">
        <v>574</v>
      </c>
      <c r="AB125" s="15">
        <f t="shared" si="127"/>
        <v>6.21</v>
      </c>
      <c r="AC125" s="1">
        <v>5</v>
      </c>
      <c r="AD125" s="15">
        <f t="shared" si="130"/>
        <v>5.2026000000000003</v>
      </c>
      <c r="AM125" s="1"/>
      <c r="AP125" s="15" t="s">
        <v>837</v>
      </c>
      <c r="AQ125" s="1">
        <v>2</v>
      </c>
      <c r="AR125" s="1">
        <v>3</v>
      </c>
      <c r="BP125" s="16"/>
      <c r="BQ125" s="16"/>
      <c r="BR125" s="16"/>
      <c r="BU125" s="16"/>
      <c r="CC125" s="15" t="s">
        <v>833</v>
      </c>
      <c r="CE125" s="15">
        <v>4</v>
      </c>
      <c r="CF125" s="15">
        <f t="shared" si="123"/>
        <v>90000</v>
      </c>
      <c r="CG125" s="15" t="s">
        <v>766</v>
      </c>
      <c r="CH125" s="15">
        <v>8.23</v>
      </c>
      <c r="CI125" s="15">
        <v>500</v>
      </c>
      <c r="CK125" s="15">
        <v>534.5</v>
      </c>
      <c r="CL125" s="15">
        <v>10.51</v>
      </c>
      <c r="CM125" s="15">
        <v>3.99</v>
      </c>
      <c r="CO125" s="15">
        <v>15.34</v>
      </c>
      <c r="CY125" s="25">
        <f t="shared" si="117"/>
        <v>90000</v>
      </c>
      <c r="CZ125" s="25">
        <f t="shared" si="118"/>
        <v>115.38461538461537</v>
      </c>
      <c r="DA125" s="25">
        <f t="shared" si="119"/>
        <v>270000</v>
      </c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>
        <f t="shared" si="128"/>
        <v>6.21</v>
      </c>
      <c r="FL125" s="16">
        <f t="shared" si="129"/>
        <v>6.89</v>
      </c>
      <c r="FM125" s="15">
        <v>6.21</v>
      </c>
      <c r="FN125" s="15">
        <v>0.22</v>
      </c>
      <c r="FO125" s="15">
        <f>FN125*SQRT(AR125)</f>
        <v>0.38105117766515301</v>
      </c>
      <c r="FP125" s="15">
        <v>6.89</v>
      </c>
      <c r="FQ125" s="15">
        <v>0.05</v>
      </c>
      <c r="FR125" s="15">
        <f>FQ125*SQRT(AR125)</f>
        <v>8.6602540378443865E-2</v>
      </c>
      <c r="FS125" s="15">
        <f t="shared" si="76"/>
        <v>1.1095008051529791</v>
      </c>
      <c r="FT125" s="15">
        <f t="shared" si="77"/>
        <v>0.67999999999999972</v>
      </c>
      <c r="FU125" s="15">
        <f t="shared" si="78"/>
        <v>0.10391018908017968</v>
      </c>
      <c r="FV125" s="15">
        <f>((FR125*FR125)/(AR125*FP125*FP125)+(FO125*FO125)/(AR125*FM125*FM125))</f>
        <v>1.307715786180499E-3</v>
      </c>
      <c r="FX125" s="15">
        <v>5.15</v>
      </c>
      <c r="FY125" s="15">
        <v>0.22</v>
      </c>
      <c r="FZ125" s="15">
        <f>FY125*SQRT(AR125)</f>
        <v>0.38105117766515301</v>
      </c>
      <c r="GA125" s="15">
        <v>26.47</v>
      </c>
      <c r="GB125" s="15">
        <v>0.63</v>
      </c>
      <c r="GC125" s="15">
        <f>GB125*SQRT(AR125)</f>
        <v>1.0911920087683926</v>
      </c>
      <c r="GD125" s="15">
        <f t="shared" si="131"/>
        <v>5.1398058252427177</v>
      </c>
      <c r="GE125" s="15">
        <f t="shared" si="132"/>
        <v>21.32</v>
      </c>
      <c r="GF125" s="15">
        <f t="shared" si="133"/>
        <v>1.6370153015633651</v>
      </c>
      <c r="GG125" s="15">
        <f>((GC125*GC125)/(AR125*GA125*GA125)+(FZ125*FZ125)/(AR125*FX125*FX125))</f>
        <v>2.3913308560332544E-3</v>
      </c>
      <c r="HY125" s="25">
        <f>CY125</f>
        <v>90000</v>
      </c>
      <c r="HZ125" s="25">
        <f>CZ125</f>
        <v>115.38461538461537</v>
      </c>
      <c r="IA125" s="25">
        <f>DA125</f>
        <v>270000</v>
      </c>
    </row>
    <row r="126" spans="1:235" s="15" customFormat="1" x14ac:dyDescent="0.25">
      <c r="A126" s="31">
        <v>124</v>
      </c>
      <c r="B126" s="1">
        <v>25</v>
      </c>
      <c r="C126" s="1">
        <v>26</v>
      </c>
      <c r="D126" s="15" t="s">
        <v>90</v>
      </c>
      <c r="E126" s="1">
        <v>2</v>
      </c>
      <c r="F126" s="15" t="s">
        <v>777</v>
      </c>
      <c r="G126" s="15" t="s">
        <v>828</v>
      </c>
      <c r="H126" s="15" t="s">
        <v>829</v>
      </c>
      <c r="I126" s="1">
        <v>2019</v>
      </c>
      <c r="J126" s="15" t="s">
        <v>830</v>
      </c>
      <c r="K126" s="1" t="s">
        <v>832</v>
      </c>
      <c r="L126" s="15" t="s">
        <v>831</v>
      </c>
      <c r="M126" s="15" t="s">
        <v>480</v>
      </c>
      <c r="N126" s="15" t="s">
        <v>23</v>
      </c>
      <c r="O126" s="31">
        <v>2</v>
      </c>
      <c r="P126" s="15">
        <v>27.79</v>
      </c>
      <c r="Q126" s="15">
        <v>109.22</v>
      </c>
      <c r="U126" s="15" t="s">
        <v>807</v>
      </c>
      <c r="V126" s="31">
        <v>2</v>
      </c>
      <c r="W126" s="16" t="s">
        <v>1167</v>
      </c>
      <c r="Y126" s="1"/>
      <c r="Z126" s="15">
        <v>6.21</v>
      </c>
      <c r="AA126" s="15" t="s">
        <v>574</v>
      </c>
      <c r="AB126" s="15">
        <f t="shared" si="127"/>
        <v>6.21</v>
      </c>
      <c r="AC126" s="1">
        <v>5</v>
      </c>
      <c r="AD126" s="15">
        <f t="shared" si="130"/>
        <v>5.2026000000000003</v>
      </c>
      <c r="AM126" s="1"/>
      <c r="AP126" s="15" t="s">
        <v>837</v>
      </c>
      <c r="AQ126" s="1">
        <v>2</v>
      </c>
      <c r="AR126" s="1">
        <v>3</v>
      </c>
      <c r="BP126" s="16"/>
      <c r="BQ126" s="16"/>
      <c r="BR126" s="16"/>
      <c r="BU126" s="16"/>
      <c r="CC126" s="15" t="s">
        <v>835</v>
      </c>
      <c r="CE126" s="15">
        <v>1</v>
      </c>
      <c r="CF126" s="15">
        <f t="shared" si="123"/>
        <v>22500</v>
      </c>
      <c r="CG126" s="15" t="s">
        <v>766</v>
      </c>
      <c r="CH126" s="15">
        <v>9.59</v>
      </c>
      <c r="CI126" s="15">
        <v>500</v>
      </c>
      <c r="CK126" s="15">
        <v>248.6</v>
      </c>
      <c r="CL126" s="15">
        <v>8.92</v>
      </c>
      <c r="CM126" s="15">
        <v>4.34</v>
      </c>
      <c r="CO126" s="15">
        <v>16.09</v>
      </c>
      <c r="CY126" s="25">
        <f t="shared" si="117"/>
        <v>22500</v>
      </c>
      <c r="CZ126" s="25">
        <f t="shared" si="118"/>
        <v>28.846153846153843</v>
      </c>
      <c r="DA126" s="25">
        <f t="shared" si="119"/>
        <v>67500</v>
      </c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>
        <f t="shared" si="128"/>
        <v>6.21</v>
      </c>
      <c r="FL126" s="16">
        <f t="shared" si="129"/>
        <v>6.42</v>
      </c>
      <c r="FM126" s="15">
        <v>6.21</v>
      </c>
      <c r="FN126" s="15">
        <v>0.22</v>
      </c>
      <c r="FO126" s="15">
        <f>FN126*SQRT(AR126)</f>
        <v>0.38105117766515301</v>
      </c>
      <c r="FP126" s="15">
        <v>6.42</v>
      </c>
      <c r="FQ126" s="15">
        <v>0.09</v>
      </c>
      <c r="FR126" s="15">
        <f>FQ126*SQRT(AR126)</f>
        <v>0.15588457268119893</v>
      </c>
      <c r="FS126" s="15">
        <f t="shared" si="76"/>
        <v>1.0338164251207729</v>
      </c>
      <c r="FT126" s="15">
        <f t="shared" si="77"/>
        <v>0.20999999999999996</v>
      </c>
      <c r="FU126" s="15">
        <f t="shared" si="78"/>
        <v>3.325722175648238E-2</v>
      </c>
      <c r="FV126" s="15">
        <f>((FR126*FR126)/(AR126*FP126*FP126)+(FO126*FO126)/(AR126*FM126*FM126))</f>
        <v>1.4515769887985255E-3</v>
      </c>
      <c r="FX126" s="15">
        <v>5.15</v>
      </c>
      <c r="FY126" s="15">
        <v>0.22</v>
      </c>
      <c r="FZ126" s="15">
        <f>FY126*SQRT(AR126)</f>
        <v>0.38105117766515301</v>
      </c>
      <c r="GA126" s="15">
        <v>13.97</v>
      </c>
      <c r="GB126" s="15">
        <v>0.53</v>
      </c>
      <c r="GC126" s="15">
        <f>GB126*SQRT(AR126)</f>
        <v>0.91798692801150494</v>
      </c>
      <c r="GD126" s="15">
        <f t="shared" si="131"/>
        <v>2.7126213592233008</v>
      </c>
      <c r="GE126" s="15">
        <f t="shared" si="132"/>
        <v>8.82</v>
      </c>
      <c r="GF126" s="15">
        <f t="shared" si="133"/>
        <v>0.99791545859322572</v>
      </c>
      <c r="GG126" s="15">
        <f>((GC126*GC126)/(AR126*GA126*GA126)+(FZ126*FZ126)/(AR126*FX126*FX126))</f>
        <v>3.2641908727829203E-3</v>
      </c>
      <c r="HY126" s="25">
        <f>CY126</f>
        <v>22500</v>
      </c>
      <c r="HZ126" s="25">
        <f>CZ126</f>
        <v>28.846153846153843</v>
      </c>
      <c r="IA126" s="25">
        <f>DA126</f>
        <v>67500</v>
      </c>
    </row>
    <row r="127" spans="1:235" s="15" customFormat="1" x14ac:dyDescent="0.25">
      <c r="A127" s="31">
        <v>125</v>
      </c>
      <c r="B127" s="1">
        <v>25</v>
      </c>
      <c r="C127" s="1">
        <v>26</v>
      </c>
      <c r="D127" s="15" t="s">
        <v>91</v>
      </c>
      <c r="E127" s="1">
        <v>2</v>
      </c>
      <c r="F127" s="15" t="s">
        <v>777</v>
      </c>
      <c r="G127" s="15" t="s">
        <v>828</v>
      </c>
      <c r="H127" s="15" t="s">
        <v>829</v>
      </c>
      <c r="I127" s="1">
        <v>2019</v>
      </c>
      <c r="J127" s="15" t="s">
        <v>830</v>
      </c>
      <c r="K127" s="1" t="s">
        <v>832</v>
      </c>
      <c r="L127" s="15" t="s">
        <v>831</v>
      </c>
      <c r="M127" s="15" t="s">
        <v>480</v>
      </c>
      <c r="N127" s="15" t="s">
        <v>23</v>
      </c>
      <c r="O127" s="31">
        <v>2</v>
      </c>
      <c r="P127" s="15">
        <v>27.79</v>
      </c>
      <c r="Q127" s="15">
        <v>109.22</v>
      </c>
      <c r="U127" s="15" t="s">
        <v>807</v>
      </c>
      <c r="V127" s="31">
        <v>2</v>
      </c>
      <c r="W127" s="16" t="s">
        <v>1167</v>
      </c>
      <c r="Y127" s="1"/>
      <c r="Z127" s="15">
        <v>6.21</v>
      </c>
      <c r="AA127" s="15" t="s">
        <v>574</v>
      </c>
      <c r="AB127" s="15">
        <f t="shared" si="127"/>
        <v>6.21</v>
      </c>
      <c r="AC127" s="1">
        <v>5</v>
      </c>
      <c r="AD127" s="15">
        <f t="shared" si="130"/>
        <v>5.2026000000000003</v>
      </c>
      <c r="AM127" s="1"/>
      <c r="AP127" s="15" t="s">
        <v>837</v>
      </c>
      <c r="AQ127" s="1">
        <v>2</v>
      </c>
      <c r="AR127" s="1">
        <v>3</v>
      </c>
      <c r="BP127" s="16"/>
      <c r="BQ127" s="16"/>
      <c r="BR127" s="16"/>
      <c r="BU127" s="16"/>
      <c r="CC127" s="15" t="s">
        <v>835</v>
      </c>
      <c r="CE127" s="15">
        <v>2</v>
      </c>
      <c r="CF127" s="15">
        <f t="shared" si="123"/>
        <v>45000</v>
      </c>
      <c r="CG127" s="15" t="s">
        <v>766</v>
      </c>
      <c r="CH127" s="15">
        <v>9.59</v>
      </c>
      <c r="CI127" s="15">
        <v>500</v>
      </c>
      <c r="CK127" s="15">
        <v>248.6</v>
      </c>
      <c r="CL127" s="15">
        <v>8.92</v>
      </c>
      <c r="CM127" s="15">
        <v>4.34</v>
      </c>
      <c r="CO127" s="15">
        <v>16.09</v>
      </c>
      <c r="CY127" s="25">
        <f t="shared" si="117"/>
        <v>45000</v>
      </c>
      <c r="CZ127" s="25">
        <f t="shared" si="118"/>
        <v>57.692307692307686</v>
      </c>
      <c r="DA127" s="25">
        <f t="shared" si="119"/>
        <v>135000</v>
      </c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>
        <f t="shared" si="128"/>
        <v>6.21</v>
      </c>
      <c r="FL127" s="16">
        <f t="shared" si="129"/>
        <v>6.67</v>
      </c>
      <c r="FM127" s="15">
        <v>6.21</v>
      </c>
      <c r="FN127" s="15">
        <v>0.22</v>
      </c>
      <c r="FO127" s="15">
        <f>FN127*SQRT(AR127)</f>
        <v>0.38105117766515301</v>
      </c>
      <c r="FP127" s="15">
        <v>6.67</v>
      </c>
      <c r="FQ127" s="15">
        <v>7.0000000000000007E-2</v>
      </c>
      <c r="FR127" s="15">
        <f>FQ127*SQRT(AR127)</f>
        <v>0.12124355652982141</v>
      </c>
      <c r="FS127" s="15">
        <f t="shared" si="76"/>
        <v>1.074074074074074</v>
      </c>
      <c r="FT127" s="15">
        <f t="shared" si="77"/>
        <v>0.45999999999999996</v>
      </c>
      <c r="FU127" s="15">
        <f t="shared" si="78"/>
        <v>7.1458963982144796E-2</v>
      </c>
      <c r="FV127" s="15">
        <f>((FR127*FR127)/(AR127*FP127*FP127)+(FO127*FO127)/(AR127*FM127*FM127))</f>
        <v>1.3651931075694622E-3</v>
      </c>
      <c r="FX127" s="15">
        <v>5.15</v>
      </c>
      <c r="FY127" s="15">
        <v>0.22</v>
      </c>
      <c r="FZ127" s="15">
        <f>FY127*SQRT(AR127)</f>
        <v>0.38105117766515301</v>
      </c>
      <c r="GA127" s="15">
        <v>22.84</v>
      </c>
      <c r="GB127" s="15">
        <v>1.32</v>
      </c>
      <c r="GC127" s="15">
        <f>GB127*SQRT(AR127)</f>
        <v>2.2863070659909179</v>
      </c>
      <c r="GD127" s="15">
        <f t="shared" si="131"/>
        <v>4.4349514563106789</v>
      </c>
      <c r="GE127" s="15">
        <f t="shared" si="132"/>
        <v>17.689999999999998</v>
      </c>
      <c r="GF127" s="15">
        <f t="shared" si="133"/>
        <v>1.4895166701121647</v>
      </c>
      <c r="GG127" s="15">
        <f>((GC127*GC127)/(AR127*GA127*GA127)+(FZ127*FZ127)/(AR127*FX127*FX127))</f>
        <v>5.1649364073841162E-3</v>
      </c>
      <c r="HY127" s="25">
        <f>CY127</f>
        <v>45000</v>
      </c>
      <c r="HZ127" s="25">
        <f>CZ127</f>
        <v>57.692307692307686</v>
      </c>
      <c r="IA127" s="25">
        <f>DA127</f>
        <v>135000</v>
      </c>
    </row>
    <row r="128" spans="1:235" s="15" customFormat="1" x14ac:dyDescent="0.25">
      <c r="A128" s="31">
        <v>126</v>
      </c>
      <c r="B128" s="1">
        <v>25</v>
      </c>
      <c r="C128" s="1">
        <v>26</v>
      </c>
      <c r="D128" s="15" t="s">
        <v>92</v>
      </c>
      <c r="E128" s="1">
        <v>2</v>
      </c>
      <c r="F128" s="15" t="s">
        <v>777</v>
      </c>
      <c r="G128" s="15" t="s">
        <v>828</v>
      </c>
      <c r="H128" s="15" t="s">
        <v>829</v>
      </c>
      <c r="I128" s="1">
        <v>2019</v>
      </c>
      <c r="J128" s="15" t="s">
        <v>830</v>
      </c>
      <c r="K128" s="1" t="s">
        <v>832</v>
      </c>
      <c r="L128" s="15" t="s">
        <v>831</v>
      </c>
      <c r="M128" s="15" t="s">
        <v>480</v>
      </c>
      <c r="N128" s="15" t="s">
        <v>23</v>
      </c>
      <c r="O128" s="31">
        <v>2</v>
      </c>
      <c r="P128" s="15">
        <v>27.79</v>
      </c>
      <c r="Q128" s="15">
        <v>109.22</v>
      </c>
      <c r="U128" s="15" t="s">
        <v>807</v>
      </c>
      <c r="V128" s="31">
        <v>2</v>
      </c>
      <c r="W128" s="16" t="s">
        <v>1167</v>
      </c>
      <c r="Y128" s="1"/>
      <c r="Z128" s="15">
        <v>6.21</v>
      </c>
      <c r="AA128" s="15" t="s">
        <v>574</v>
      </c>
      <c r="AB128" s="15">
        <f t="shared" si="127"/>
        <v>6.21</v>
      </c>
      <c r="AC128" s="1">
        <v>5</v>
      </c>
      <c r="AD128" s="15">
        <f t="shared" si="130"/>
        <v>5.2026000000000003</v>
      </c>
      <c r="AM128" s="1"/>
      <c r="AP128" s="15" t="s">
        <v>837</v>
      </c>
      <c r="AQ128" s="1">
        <v>2</v>
      </c>
      <c r="AR128" s="1">
        <v>3</v>
      </c>
      <c r="BP128" s="16"/>
      <c r="BQ128" s="16"/>
      <c r="BR128" s="16"/>
      <c r="BU128" s="16"/>
      <c r="CC128" s="15" t="s">
        <v>835</v>
      </c>
      <c r="CE128" s="15">
        <v>4</v>
      </c>
      <c r="CF128" s="15">
        <f t="shared" si="123"/>
        <v>90000</v>
      </c>
      <c r="CG128" s="15" t="s">
        <v>766</v>
      </c>
      <c r="CH128" s="15">
        <v>9.59</v>
      </c>
      <c r="CI128" s="15">
        <v>500</v>
      </c>
      <c r="CK128" s="15">
        <v>248.6</v>
      </c>
      <c r="CL128" s="15">
        <v>8.92</v>
      </c>
      <c r="CM128" s="15">
        <v>4.34</v>
      </c>
      <c r="CO128" s="15">
        <v>16.09</v>
      </c>
      <c r="CY128" s="25">
        <f t="shared" si="117"/>
        <v>90000</v>
      </c>
      <c r="CZ128" s="25">
        <f t="shared" si="118"/>
        <v>115.38461538461537</v>
      </c>
      <c r="DA128" s="25">
        <f t="shared" si="119"/>
        <v>270000</v>
      </c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>
        <f t="shared" si="128"/>
        <v>6.21</v>
      </c>
      <c r="FL128" s="16">
        <f t="shared" si="129"/>
        <v>6.85</v>
      </c>
      <c r="FM128" s="15">
        <v>6.21</v>
      </c>
      <c r="FN128" s="15">
        <v>0.22</v>
      </c>
      <c r="FO128" s="15">
        <f>FN128*SQRT(AR128)</f>
        <v>0.38105117766515301</v>
      </c>
      <c r="FP128" s="15">
        <v>6.85</v>
      </c>
      <c r="FQ128" s="15">
        <v>0.04</v>
      </c>
      <c r="FR128" s="15">
        <f>FQ128*SQRT(AR128)</f>
        <v>6.9282032302755092E-2</v>
      </c>
      <c r="FS128" s="15">
        <f t="shared" si="76"/>
        <v>1.1030595813204509</v>
      </c>
      <c r="FT128" s="15">
        <f t="shared" si="77"/>
        <v>0.63999999999999968</v>
      </c>
      <c r="FU128" s="15">
        <f t="shared" si="78"/>
        <v>9.8087756328746334E-2</v>
      </c>
      <c r="FV128" s="15">
        <f>((FR128*FR128)/(AR128*FP128*FP128)+(FO128*FO128)/(AR128*FM128*FM128))</f>
        <v>1.2891520548400845E-3</v>
      </c>
      <c r="FX128" s="15">
        <v>5.15</v>
      </c>
      <c r="FY128" s="15">
        <v>0.22</v>
      </c>
      <c r="FZ128" s="15">
        <f>FY128*SQRT(AR128)</f>
        <v>0.38105117766515301</v>
      </c>
      <c r="GA128" s="15">
        <v>27.44</v>
      </c>
      <c r="GB128" s="15">
        <v>5.0599999999999996</v>
      </c>
      <c r="GC128" s="15">
        <f>GB128*SQRT(AR128)</f>
        <v>8.7641770862985187</v>
      </c>
      <c r="GD128" s="15">
        <f t="shared" si="131"/>
        <v>5.328155339805825</v>
      </c>
      <c r="GE128" s="15">
        <f t="shared" si="132"/>
        <v>22.29</v>
      </c>
      <c r="GF128" s="15">
        <f t="shared" si="133"/>
        <v>1.6730050881820395</v>
      </c>
      <c r="GG128" s="15">
        <f>((GC128*GC128)/(AR128*GA128*GA128)+(FZ128*FZ128)/(AR128*FX128*FX128))</f>
        <v>3.5829085860449965E-2</v>
      </c>
      <c r="HY128" s="25">
        <f>CY128</f>
        <v>90000</v>
      </c>
      <c r="HZ128" s="25">
        <f>CZ128</f>
        <v>115.38461538461537</v>
      </c>
      <c r="IA128" s="25">
        <f>DA128</f>
        <v>270000</v>
      </c>
    </row>
    <row r="129" spans="1:235" s="15" customFormat="1" x14ac:dyDescent="0.25">
      <c r="A129" s="31">
        <v>127</v>
      </c>
      <c r="B129" s="1">
        <v>25</v>
      </c>
      <c r="C129" s="1">
        <v>26</v>
      </c>
      <c r="D129" s="15" t="s">
        <v>93</v>
      </c>
      <c r="E129" s="1">
        <v>2</v>
      </c>
      <c r="F129" s="15" t="s">
        <v>777</v>
      </c>
      <c r="G129" s="15" t="s">
        <v>828</v>
      </c>
      <c r="H129" s="15" t="s">
        <v>829</v>
      </c>
      <c r="I129" s="1">
        <v>2019</v>
      </c>
      <c r="J129" s="15" t="s">
        <v>830</v>
      </c>
      <c r="K129" s="1" t="s">
        <v>832</v>
      </c>
      <c r="L129" s="15" t="s">
        <v>831</v>
      </c>
      <c r="M129" s="15" t="s">
        <v>480</v>
      </c>
      <c r="N129" s="15" t="s">
        <v>23</v>
      </c>
      <c r="O129" s="31">
        <v>2</v>
      </c>
      <c r="P129" s="15">
        <v>27.79</v>
      </c>
      <c r="Q129" s="15">
        <v>109.22</v>
      </c>
      <c r="U129" s="15" t="s">
        <v>807</v>
      </c>
      <c r="V129" s="31">
        <v>2</v>
      </c>
      <c r="W129" s="16" t="s">
        <v>1167</v>
      </c>
      <c r="Y129" s="1"/>
      <c r="Z129" s="15">
        <v>6.21</v>
      </c>
      <c r="AA129" s="15" t="s">
        <v>574</v>
      </c>
      <c r="AB129" s="15">
        <f t="shared" si="127"/>
        <v>6.21</v>
      </c>
      <c r="AC129" s="1">
        <v>5</v>
      </c>
      <c r="AD129" s="15">
        <f t="shared" si="130"/>
        <v>5.2026000000000003</v>
      </c>
      <c r="AM129" s="1"/>
      <c r="AP129" s="15" t="s">
        <v>837</v>
      </c>
      <c r="AQ129" s="1">
        <v>2</v>
      </c>
      <c r="AR129" s="1">
        <v>3</v>
      </c>
      <c r="BP129" s="16"/>
      <c r="BQ129" s="16"/>
      <c r="BR129" s="16"/>
      <c r="BU129" s="16"/>
      <c r="CC129" s="15" t="s">
        <v>836</v>
      </c>
      <c r="CE129" s="15">
        <v>1</v>
      </c>
      <c r="CF129" s="15">
        <f t="shared" si="123"/>
        <v>22500</v>
      </c>
      <c r="CG129" s="15" t="s">
        <v>766</v>
      </c>
      <c r="CH129" s="15">
        <v>9.5500000000000007</v>
      </c>
      <c r="CI129" s="15">
        <v>500</v>
      </c>
      <c r="CK129" s="15">
        <v>521.70000000000005</v>
      </c>
      <c r="CL129" s="15">
        <v>8.5299999999999994</v>
      </c>
      <c r="CM129" s="15">
        <v>3.75</v>
      </c>
      <c r="CO129" s="15">
        <v>14.32</v>
      </c>
      <c r="CY129" s="25">
        <f t="shared" si="117"/>
        <v>22500</v>
      </c>
      <c r="CZ129" s="25">
        <f t="shared" si="118"/>
        <v>28.846153846153843</v>
      </c>
      <c r="DA129" s="25">
        <f t="shared" si="119"/>
        <v>67500</v>
      </c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>
        <f t="shared" si="128"/>
        <v>6.21</v>
      </c>
      <c r="FL129" s="16">
        <f t="shared" si="129"/>
        <v>6.77</v>
      </c>
      <c r="FM129" s="15">
        <v>6.21</v>
      </c>
      <c r="FN129" s="15">
        <v>0.22</v>
      </c>
      <c r="FO129" s="15">
        <f>FN129*SQRT(AR129)</f>
        <v>0.38105117766515301</v>
      </c>
      <c r="FP129" s="15">
        <v>6.77</v>
      </c>
      <c r="FQ129" s="15">
        <v>1.8</v>
      </c>
      <c r="FR129" s="15">
        <f>FQ129*SQRT(AR129)</f>
        <v>3.117691453623979</v>
      </c>
      <c r="FS129" s="15">
        <f t="shared" si="76"/>
        <v>1.0901771336553945</v>
      </c>
      <c r="FT129" s="15">
        <f t="shared" si="77"/>
        <v>0.55999999999999961</v>
      </c>
      <c r="FU129" s="15">
        <f t="shared" si="78"/>
        <v>8.6340190978796194E-2</v>
      </c>
      <c r="FV129" s="15">
        <f>((FR129*FR129)/(AR129*FP129*FP129)+(FO129*FO129)/(AR129*FM129*FM129))</f>
        <v>7.194663072257837E-2</v>
      </c>
      <c r="FX129" s="15">
        <v>5.15</v>
      </c>
      <c r="FY129" s="15">
        <v>0.22</v>
      </c>
      <c r="FZ129" s="15">
        <f>FY129*SQRT(AR129)</f>
        <v>0.38105117766515301</v>
      </c>
      <c r="GA129" s="15">
        <v>19.07</v>
      </c>
      <c r="GB129" s="15">
        <v>1.24</v>
      </c>
      <c r="GC129" s="15">
        <f>GB129*SQRT(AR129)</f>
        <v>2.1477430013854075</v>
      </c>
      <c r="GD129" s="15">
        <f t="shared" si="131"/>
        <v>3.7029126213592232</v>
      </c>
      <c r="GE129" s="15">
        <f t="shared" si="132"/>
        <v>13.92</v>
      </c>
      <c r="GF129" s="15">
        <f t="shared" si="133"/>
        <v>1.3091197049366829</v>
      </c>
      <c r="GG129" s="15">
        <f>((GC129*GC129)/(AR129*GA129*GA129)+(FZ129*FZ129)/(AR129*FX129*FX129))</f>
        <v>6.0529338824307681E-3</v>
      </c>
      <c r="HY129" s="25">
        <f>CY129</f>
        <v>22500</v>
      </c>
      <c r="HZ129" s="25">
        <f>CZ129</f>
        <v>28.846153846153843</v>
      </c>
      <c r="IA129" s="25">
        <f>DA129</f>
        <v>67500</v>
      </c>
    </row>
    <row r="130" spans="1:235" s="15" customFormat="1" x14ac:dyDescent="0.25">
      <c r="A130" s="31">
        <v>128</v>
      </c>
      <c r="B130" s="1">
        <v>25</v>
      </c>
      <c r="C130" s="1">
        <v>26</v>
      </c>
      <c r="D130" s="15" t="s">
        <v>94</v>
      </c>
      <c r="E130" s="1">
        <v>2</v>
      </c>
      <c r="F130" s="15" t="s">
        <v>777</v>
      </c>
      <c r="G130" s="15" t="s">
        <v>828</v>
      </c>
      <c r="H130" s="15" t="s">
        <v>829</v>
      </c>
      <c r="I130" s="1">
        <v>2019</v>
      </c>
      <c r="J130" s="15" t="s">
        <v>830</v>
      </c>
      <c r="K130" s="1" t="s">
        <v>832</v>
      </c>
      <c r="L130" s="15" t="s">
        <v>831</v>
      </c>
      <c r="M130" s="15" t="s">
        <v>480</v>
      </c>
      <c r="N130" s="15" t="s">
        <v>23</v>
      </c>
      <c r="O130" s="31">
        <v>2</v>
      </c>
      <c r="P130" s="15">
        <v>27.79</v>
      </c>
      <c r="Q130" s="15">
        <v>109.22</v>
      </c>
      <c r="U130" s="15" t="s">
        <v>807</v>
      </c>
      <c r="V130" s="31">
        <v>2</v>
      </c>
      <c r="W130" s="16" t="s">
        <v>1167</v>
      </c>
      <c r="Y130" s="1"/>
      <c r="Z130" s="15">
        <v>6.21</v>
      </c>
      <c r="AA130" s="15" t="s">
        <v>574</v>
      </c>
      <c r="AB130" s="15">
        <f t="shared" si="127"/>
        <v>6.21</v>
      </c>
      <c r="AC130" s="1">
        <v>5</v>
      </c>
      <c r="AD130" s="15">
        <f t="shared" si="130"/>
        <v>5.2026000000000003</v>
      </c>
      <c r="AM130" s="1"/>
      <c r="AP130" s="15" t="s">
        <v>837</v>
      </c>
      <c r="AQ130" s="1">
        <v>2</v>
      </c>
      <c r="AR130" s="1">
        <v>3</v>
      </c>
      <c r="BP130" s="16"/>
      <c r="BQ130" s="16"/>
      <c r="BR130" s="16"/>
      <c r="BU130" s="16"/>
      <c r="CC130" s="15" t="s">
        <v>836</v>
      </c>
      <c r="CE130" s="15">
        <v>2</v>
      </c>
      <c r="CF130" s="15">
        <f t="shared" si="123"/>
        <v>45000</v>
      </c>
      <c r="CG130" s="15" t="s">
        <v>766</v>
      </c>
      <c r="CH130" s="15">
        <v>9.5500000000000007</v>
      </c>
      <c r="CI130" s="15">
        <v>500</v>
      </c>
      <c r="CK130" s="15">
        <v>521.70000000000005</v>
      </c>
      <c r="CL130" s="15">
        <v>8.5299999999999994</v>
      </c>
      <c r="CM130" s="15">
        <v>3.75</v>
      </c>
      <c r="CO130" s="15">
        <v>14.32</v>
      </c>
      <c r="CY130" s="25">
        <f t="shared" si="117"/>
        <v>45000</v>
      </c>
      <c r="CZ130" s="25">
        <f t="shared" si="118"/>
        <v>57.692307692307686</v>
      </c>
      <c r="DA130" s="25">
        <f t="shared" si="119"/>
        <v>135000</v>
      </c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>
        <f t="shared" si="128"/>
        <v>6.21</v>
      </c>
      <c r="FL130" s="16">
        <f t="shared" si="129"/>
        <v>6.81</v>
      </c>
      <c r="FM130" s="15">
        <v>6.21</v>
      </c>
      <c r="FN130" s="15">
        <v>0.22</v>
      </c>
      <c r="FO130" s="15">
        <f>FN130*SQRT(AR130)</f>
        <v>0.38105117766515301</v>
      </c>
      <c r="FP130" s="15">
        <v>6.81</v>
      </c>
      <c r="FQ130" s="15">
        <v>0.08</v>
      </c>
      <c r="FR130" s="15">
        <f>FQ130*SQRT(AR130)</f>
        <v>0.13856406460551018</v>
      </c>
      <c r="FS130" s="15">
        <f t="shared" si="76"/>
        <v>1.0966183574879227</v>
      </c>
      <c r="FT130" s="15">
        <f t="shared" si="77"/>
        <v>0.59999999999999964</v>
      </c>
      <c r="FU130" s="15">
        <f t="shared" si="78"/>
        <v>9.2231224216033469E-2</v>
      </c>
      <c r="FV130" s="15">
        <f>((FR130*FR130)/(AR130*FP130*FP130)+(FO130*FO130)/(AR130*FM130*FM130))</f>
        <v>1.3930553924070429E-3</v>
      </c>
      <c r="FX130" s="15">
        <v>5.15</v>
      </c>
      <c r="FY130" s="15">
        <v>0.22</v>
      </c>
      <c r="FZ130" s="15">
        <f>FY130*SQRT(AR130)</f>
        <v>0.38105117766515301</v>
      </c>
      <c r="GA130" s="15">
        <v>23.75</v>
      </c>
      <c r="GB130" s="15">
        <v>6.99</v>
      </c>
      <c r="GC130" s="15">
        <f>GB130*SQRT(AR130)</f>
        <v>12.107035144906453</v>
      </c>
      <c r="GD130" s="15">
        <f t="shared" si="131"/>
        <v>4.6116504854368925</v>
      </c>
      <c r="GE130" s="15">
        <f t="shared" si="132"/>
        <v>18.600000000000001</v>
      </c>
      <c r="GF130" s="15">
        <f t="shared" si="133"/>
        <v>1.5285858158050056</v>
      </c>
      <c r="GG130" s="15">
        <f>((GC130*GC130)/(AR130*GA130*GA130)+(FZ130*FZ130)/(AR130*FX130*FX130))</f>
        <v>8.8446649613600964E-2</v>
      </c>
      <c r="HY130" s="25">
        <f>CY130</f>
        <v>45000</v>
      </c>
      <c r="HZ130" s="25">
        <f>CZ130</f>
        <v>57.692307692307686</v>
      </c>
      <c r="IA130" s="25">
        <f>DA130</f>
        <v>135000</v>
      </c>
    </row>
    <row r="131" spans="1:235" s="15" customFormat="1" x14ac:dyDescent="0.25">
      <c r="A131" s="31">
        <v>129</v>
      </c>
      <c r="B131" s="1">
        <v>25</v>
      </c>
      <c r="C131" s="1">
        <v>26</v>
      </c>
      <c r="D131" s="15" t="s">
        <v>95</v>
      </c>
      <c r="E131" s="1">
        <v>2</v>
      </c>
      <c r="F131" s="15" t="s">
        <v>777</v>
      </c>
      <c r="G131" s="15" t="s">
        <v>828</v>
      </c>
      <c r="H131" s="15" t="s">
        <v>829</v>
      </c>
      <c r="I131" s="1">
        <v>2019</v>
      </c>
      <c r="J131" s="15" t="s">
        <v>830</v>
      </c>
      <c r="K131" s="1" t="s">
        <v>832</v>
      </c>
      <c r="L131" s="15" t="s">
        <v>831</v>
      </c>
      <c r="M131" s="15" t="s">
        <v>480</v>
      </c>
      <c r="N131" s="15" t="s">
        <v>23</v>
      </c>
      <c r="O131" s="31">
        <v>2</v>
      </c>
      <c r="P131" s="15">
        <v>27.79</v>
      </c>
      <c r="Q131" s="15">
        <v>109.22</v>
      </c>
      <c r="U131" s="15" t="s">
        <v>807</v>
      </c>
      <c r="V131" s="31">
        <v>2</v>
      </c>
      <c r="W131" s="16" t="s">
        <v>1167</v>
      </c>
      <c r="Y131" s="1"/>
      <c r="Z131" s="15">
        <v>6.21</v>
      </c>
      <c r="AA131" s="15" t="s">
        <v>574</v>
      </c>
      <c r="AB131" s="15">
        <f t="shared" si="127"/>
        <v>6.21</v>
      </c>
      <c r="AC131" s="1">
        <v>5</v>
      </c>
      <c r="AD131" s="15">
        <f t="shared" si="130"/>
        <v>5.2026000000000003</v>
      </c>
      <c r="AM131" s="1"/>
      <c r="AP131" s="15" t="s">
        <v>837</v>
      </c>
      <c r="AQ131" s="1">
        <v>2</v>
      </c>
      <c r="AR131" s="1">
        <v>3</v>
      </c>
      <c r="BP131" s="16"/>
      <c r="BQ131" s="16"/>
      <c r="BR131" s="16"/>
      <c r="BU131" s="16"/>
      <c r="CC131" s="15" t="s">
        <v>836</v>
      </c>
      <c r="CE131" s="15">
        <v>4</v>
      </c>
      <c r="CF131" s="15">
        <f t="shared" si="123"/>
        <v>90000</v>
      </c>
      <c r="CG131" s="15" t="s">
        <v>766</v>
      </c>
      <c r="CH131" s="15">
        <v>9.5500000000000007</v>
      </c>
      <c r="CI131" s="15">
        <v>500</v>
      </c>
      <c r="CK131" s="15">
        <v>521.70000000000005</v>
      </c>
      <c r="CL131" s="15">
        <v>8.5299999999999994</v>
      </c>
      <c r="CM131" s="15">
        <v>3.75</v>
      </c>
      <c r="CO131" s="15">
        <v>14.32</v>
      </c>
      <c r="CY131" s="25">
        <f t="shared" si="117"/>
        <v>90000</v>
      </c>
      <c r="CZ131" s="25">
        <f t="shared" si="118"/>
        <v>115.38461538461537</v>
      </c>
      <c r="DA131" s="25">
        <f t="shared" si="119"/>
        <v>270000</v>
      </c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>
        <f t="shared" si="128"/>
        <v>6.21</v>
      </c>
      <c r="FL131" s="16">
        <f t="shared" si="129"/>
        <v>7.33</v>
      </c>
      <c r="FM131" s="15">
        <v>6.21</v>
      </c>
      <c r="FN131" s="15">
        <v>0.22</v>
      </c>
      <c r="FO131" s="15">
        <f>FN131*SQRT(AR131)</f>
        <v>0.38105117766515301</v>
      </c>
      <c r="FP131" s="15">
        <v>7.33</v>
      </c>
      <c r="FQ131" s="15">
        <v>0.21</v>
      </c>
      <c r="FR131" s="15">
        <f>FQ131*SQRT(AR131)</f>
        <v>0.36373066958946421</v>
      </c>
      <c r="FS131" s="15">
        <f t="shared" ref="FS131:FS180" si="134">FP131/FM131</f>
        <v>1.180354267310789</v>
      </c>
      <c r="FT131" s="15">
        <f t="shared" ref="FT131:FT180" si="135">FP131-FM131</f>
        <v>1.1200000000000001</v>
      </c>
      <c r="FU131" s="15">
        <f t="shared" ref="FU131:FU194" si="136">LN(FP131)-LN(FM131)</f>
        <v>0.1658146199531727</v>
      </c>
      <c r="FV131" s="15">
        <f>((FR131*FR131)/(AR131*FP131*FP131)+(FO131*FO131)/(AR131*FM131*FM131))</f>
        <v>2.0758405979606023E-3</v>
      </c>
      <c r="FX131" s="15">
        <v>5.15</v>
      </c>
      <c r="FY131" s="15">
        <v>0.22</v>
      </c>
      <c r="FZ131" s="15">
        <f>FY131*SQRT(AR131)</f>
        <v>0.38105117766515301</v>
      </c>
      <c r="GA131" s="15">
        <v>28.1</v>
      </c>
      <c r="GB131" s="15">
        <v>3.31</v>
      </c>
      <c r="GC131" s="15">
        <f>GB131*SQRT(AR131)</f>
        <v>5.7330881730529839</v>
      </c>
      <c r="GD131" s="15">
        <f t="shared" si="131"/>
        <v>5.4563106796116507</v>
      </c>
      <c r="GE131" s="15">
        <f t="shared" si="132"/>
        <v>22.950000000000003</v>
      </c>
      <c r="GF131" s="15">
        <f t="shared" si="133"/>
        <v>1.6967728616640552</v>
      </c>
      <c r="GG131" s="15">
        <f>((GC131*GC131)/(AR131*GA131*GA131)+(FZ131*FZ131)/(AR131*FX131*FX131))</f>
        <v>1.5700196539621198E-2</v>
      </c>
      <c r="HY131" s="25">
        <f>CY131</f>
        <v>90000</v>
      </c>
      <c r="HZ131" s="25">
        <f>CZ131</f>
        <v>115.38461538461537</v>
      </c>
      <c r="IA131" s="25">
        <f>DA131</f>
        <v>270000</v>
      </c>
    </row>
    <row r="132" spans="1:235" s="15" customFormat="1" x14ac:dyDescent="0.25">
      <c r="A132" s="31">
        <v>130</v>
      </c>
      <c r="B132" s="1">
        <v>26</v>
      </c>
      <c r="C132" s="1">
        <v>27</v>
      </c>
      <c r="D132" s="15" t="s">
        <v>96</v>
      </c>
      <c r="E132" s="1">
        <v>2</v>
      </c>
      <c r="F132" s="15" t="s">
        <v>777</v>
      </c>
      <c r="G132" s="15" t="s">
        <v>838</v>
      </c>
      <c r="H132" s="15" t="s">
        <v>839</v>
      </c>
      <c r="I132" s="1">
        <v>2020</v>
      </c>
      <c r="J132" s="15" t="s">
        <v>840</v>
      </c>
      <c r="K132" s="1">
        <v>2018</v>
      </c>
      <c r="L132" s="15" t="s">
        <v>841</v>
      </c>
      <c r="M132" s="15" t="s">
        <v>480</v>
      </c>
      <c r="N132" s="15" t="s">
        <v>23</v>
      </c>
      <c r="O132" s="31">
        <v>2</v>
      </c>
      <c r="P132" s="15">
        <v>28.12</v>
      </c>
      <c r="Q132" s="15">
        <v>105.13</v>
      </c>
      <c r="U132" s="15" t="s">
        <v>549</v>
      </c>
      <c r="V132" s="31">
        <v>1</v>
      </c>
      <c r="W132" s="16"/>
      <c r="Y132" s="1"/>
      <c r="Z132" s="15">
        <v>5.42</v>
      </c>
      <c r="AA132" s="15" t="s">
        <v>574</v>
      </c>
      <c r="AB132" s="15">
        <f t="shared" si="127"/>
        <v>5.42</v>
      </c>
      <c r="AC132" s="1">
        <v>3</v>
      </c>
      <c r="AD132" s="15">
        <v>24.35</v>
      </c>
      <c r="AM132" s="1"/>
      <c r="AP132" s="15" t="s">
        <v>837</v>
      </c>
      <c r="AQ132" s="1">
        <v>2</v>
      </c>
      <c r="AR132" s="1">
        <v>3</v>
      </c>
      <c r="BP132" s="16"/>
      <c r="BQ132" s="16"/>
      <c r="BR132" s="16"/>
      <c r="BU132" s="16"/>
      <c r="CC132" s="15" t="s">
        <v>835</v>
      </c>
      <c r="CE132" s="15">
        <v>400</v>
      </c>
      <c r="CF132" s="15">
        <f t="shared" ref="CF132:CF137" si="137">CE132</f>
        <v>400</v>
      </c>
      <c r="CG132" s="15" t="s">
        <v>766</v>
      </c>
      <c r="CY132" s="25">
        <f t="shared" si="117"/>
        <v>400</v>
      </c>
      <c r="CZ132" s="25">
        <f t="shared" si="118"/>
        <v>0.51282051282051277</v>
      </c>
      <c r="DA132" s="25">
        <f t="shared" si="119"/>
        <v>1200</v>
      </c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>
        <f t="shared" si="128"/>
        <v>5.39</v>
      </c>
      <c r="FL132" s="16">
        <f t="shared" si="129"/>
        <v>5.49</v>
      </c>
      <c r="FM132" s="15">
        <v>5.39</v>
      </c>
      <c r="FN132" s="15">
        <v>0.05</v>
      </c>
      <c r="FO132" s="15">
        <f>FN132*SQRT(AR132)</f>
        <v>8.6602540378443865E-2</v>
      </c>
      <c r="FP132" s="15">
        <v>5.49</v>
      </c>
      <c r="FQ132" s="15">
        <v>7.0000000000000007E-2</v>
      </c>
      <c r="FR132" s="15">
        <f>FQ132*SQRT(AR132)</f>
        <v>0.12124355652982141</v>
      </c>
      <c r="FS132" s="15">
        <f t="shared" si="134"/>
        <v>1.0185528756957329</v>
      </c>
      <c r="FT132" s="15">
        <f t="shared" si="135"/>
        <v>0.10000000000000053</v>
      </c>
      <c r="FU132" s="15">
        <f t="shared" si="136"/>
        <v>1.8382870600533563E-2</v>
      </c>
      <c r="FV132" s="15">
        <f>((FR132*FR132)/(AR132*FP132*FP132)+(FO132*FO132)/(AR132*FM132*FM132))</f>
        <v>2.4862641137455145E-4</v>
      </c>
      <c r="FX132" s="15">
        <v>24.87</v>
      </c>
      <c r="FY132" s="15">
        <v>0.46</v>
      </c>
      <c r="FZ132" s="15">
        <f>FY132*SQRT(AR132)</f>
        <v>0.7967433714816835</v>
      </c>
      <c r="GA132" s="15">
        <v>26.38</v>
      </c>
      <c r="GB132" s="15">
        <v>0.8</v>
      </c>
      <c r="GC132" s="15">
        <f>GB132*SQRT(AR132)</f>
        <v>1.3856406460551018</v>
      </c>
      <c r="GD132" s="15">
        <f t="shared" si="131"/>
        <v>1.060715721753116</v>
      </c>
      <c r="GE132" s="15">
        <f t="shared" si="132"/>
        <v>1.509999999999998</v>
      </c>
      <c r="GF132" s="15">
        <f t="shared" si="133"/>
        <v>5.8943889473855204E-2</v>
      </c>
      <c r="GG132" s="15">
        <f>((GC132*GC132)/(AR132*GA132*GA132)+(FZ132*FZ132)/(AR132*FX132*FX132))</f>
        <v>1.2617752315496034E-3</v>
      </c>
      <c r="HY132" s="25">
        <f>CY132</f>
        <v>400</v>
      </c>
      <c r="HZ132" s="25">
        <f>CZ132</f>
        <v>0.51282051282051277</v>
      </c>
      <c r="IA132" s="25">
        <f>DA132</f>
        <v>1200</v>
      </c>
    </row>
    <row r="133" spans="1:235" s="15" customFormat="1" x14ac:dyDescent="0.25">
      <c r="A133" s="31">
        <v>131</v>
      </c>
      <c r="B133" s="1">
        <v>26</v>
      </c>
      <c r="C133" s="1">
        <v>27</v>
      </c>
      <c r="D133" s="15" t="s">
        <v>97</v>
      </c>
      <c r="E133" s="1">
        <v>2</v>
      </c>
      <c r="F133" s="15" t="s">
        <v>777</v>
      </c>
      <c r="G133" s="15" t="s">
        <v>838</v>
      </c>
      <c r="H133" s="15" t="s">
        <v>839</v>
      </c>
      <c r="I133" s="1">
        <v>2020</v>
      </c>
      <c r="J133" s="15" t="s">
        <v>840</v>
      </c>
      <c r="K133" s="1">
        <v>2018</v>
      </c>
      <c r="L133" s="15" t="s">
        <v>841</v>
      </c>
      <c r="M133" s="15" t="s">
        <v>480</v>
      </c>
      <c r="N133" s="15" t="s">
        <v>23</v>
      </c>
      <c r="O133" s="31">
        <v>2</v>
      </c>
      <c r="P133" s="15">
        <v>28.12</v>
      </c>
      <c r="Q133" s="15">
        <v>105.13</v>
      </c>
      <c r="U133" s="15" t="s">
        <v>549</v>
      </c>
      <c r="V133" s="31">
        <v>1</v>
      </c>
      <c r="W133" s="16"/>
      <c r="Y133" s="1"/>
      <c r="Z133" s="15">
        <v>5.42</v>
      </c>
      <c r="AA133" s="15" t="s">
        <v>574</v>
      </c>
      <c r="AB133" s="15">
        <f t="shared" si="127"/>
        <v>5.42</v>
      </c>
      <c r="AC133" s="1">
        <v>3</v>
      </c>
      <c r="AD133" s="15">
        <v>24.35</v>
      </c>
      <c r="AM133" s="1"/>
      <c r="AP133" s="15" t="s">
        <v>837</v>
      </c>
      <c r="AQ133" s="1">
        <v>2</v>
      </c>
      <c r="AR133" s="1">
        <v>3</v>
      </c>
      <c r="BP133" s="16"/>
      <c r="BQ133" s="16"/>
      <c r="BR133" s="16"/>
      <c r="BU133" s="16"/>
      <c r="CC133" s="15" t="s">
        <v>835</v>
      </c>
      <c r="CE133" s="15">
        <v>800</v>
      </c>
      <c r="CF133" s="15">
        <f t="shared" si="137"/>
        <v>800</v>
      </c>
      <c r="CG133" s="15" t="s">
        <v>766</v>
      </c>
      <c r="CY133" s="25">
        <f t="shared" si="117"/>
        <v>800</v>
      </c>
      <c r="CZ133" s="25">
        <f t="shared" si="118"/>
        <v>1.0256410256410255</v>
      </c>
      <c r="DA133" s="25">
        <f t="shared" si="119"/>
        <v>2400</v>
      </c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>
        <f t="shared" si="128"/>
        <v>5.39</v>
      </c>
      <c r="FL133" s="16">
        <f t="shared" si="129"/>
        <v>5.56</v>
      </c>
      <c r="FM133" s="15">
        <v>5.39</v>
      </c>
      <c r="FN133" s="15">
        <v>0.05</v>
      </c>
      <c r="FO133" s="15">
        <f>FN133*SQRT(AR133)</f>
        <v>8.6602540378443865E-2</v>
      </c>
      <c r="FP133" s="15">
        <v>5.56</v>
      </c>
      <c r="FQ133" s="15">
        <v>0.16</v>
      </c>
      <c r="FR133" s="15">
        <f>FQ133*SQRT(AR133)</f>
        <v>0.27712812921102037</v>
      </c>
      <c r="FS133" s="15">
        <f t="shared" si="134"/>
        <v>1.0315398886827458</v>
      </c>
      <c r="FT133" s="15">
        <f t="shared" si="135"/>
        <v>0.16999999999999993</v>
      </c>
      <c r="FU133" s="15">
        <f t="shared" si="136"/>
        <v>3.1052723341585153E-2</v>
      </c>
      <c r="FV133" s="15">
        <f>((FR133*FR133)/(AR133*FP133*FP133)+(FO133*FO133)/(AR133*FM133*FM133))</f>
        <v>9.1416678597313272E-4</v>
      </c>
      <c r="FX133" s="15">
        <v>24.87</v>
      </c>
      <c r="FY133" s="15">
        <v>0.46</v>
      </c>
      <c r="FZ133" s="15">
        <f>FY133*SQRT(AR133)</f>
        <v>0.7967433714816835</v>
      </c>
      <c r="GA133" s="15">
        <v>28.69</v>
      </c>
      <c r="GB133" s="15">
        <v>0.34</v>
      </c>
      <c r="GC133" s="15">
        <f>GB133*SQRT(AR133)</f>
        <v>0.58889727457341834</v>
      </c>
      <c r="GD133" s="15">
        <f t="shared" si="131"/>
        <v>1.1535987133092078</v>
      </c>
      <c r="GE133" s="15">
        <f t="shared" si="132"/>
        <v>3.8200000000000003</v>
      </c>
      <c r="GF133" s="15">
        <f t="shared" si="133"/>
        <v>0.1428863721779603</v>
      </c>
      <c r="GG133" s="15">
        <f>((GC133*GC133)/(AR133*GA133*GA133)+(FZ133*FZ133)/(AR133*FX133*FX133))</f>
        <v>4.8255059300793225E-4</v>
      </c>
      <c r="HY133" s="25">
        <f>CY133</f>
        <v>800</v>
      </c>
      <c r="HZ133" s="25">
        <f>CZ133</f>
        <v>1.0256410256410255</v>
      </c>
      <c r="IA133" s="25">
        <f>DA133</f>
        <v>2400</v>
      </c>
    </row>
    <row r="134" spans="1:235" s="15" customFormat="1" x14ac:dyDescent="0.25">
      <c r="A134" s="31">
        <v>132</v>
      </c>
      <c r="B134" s="1">
        <v>26</v>
      </c>
      <c r="C134" s="1">
        <v>27</v>
      </c>
      <c r="D134" s="15" t="s">
        <v>98</v>
      </c>
      <c r="E134" s="1">
        <v>2</v>
      </c>
      <c r="F134" s="15" t="s">
        <v>777</v>
      </c>
      <c r="G134" s="15" t="s">
        <v>838</v>
      </c>
      <c r="H134" s="15" t="s">
        <v>839</v>
      </c>
      <c r="I134" s="1">
        <v>2020</v>
      </c>
      <c r="J134" s="15" t="s">
        <v>840</v>
      </c>
      <c r="K134" s="1">
        <v>2018</v>
      </c>
      <c r="L134" s="15" t="s">
        <v>841</v>
      </c>
      <c r="M134" s="15" t="s">
        <v>480</v>
      </c>
      <c r="N134" s="15" t="s">
        <v>23</v>
      </c>
      <c r="O134" s="31">
        <v>2</v>
      </c>
      <c r="P134" s="15">
        <v>28.12</v>
      </c>
      <c r="Q134" s="15">
        <v>105.13</v>
      </c>
      <c r="U134" s="15" t="s">
        <v>549</v>
      </c>
      <c r="V134" s="31">
        <v>1</v>
      </c>
      <c r="W134" s="16"/>
      <c r="Y134" s="1"/>
      <c r="Z134" s="15">
        <v>5.42</v>
      </c>
      <c r="AA134" s="15" t="s">
        <v>574</v>
      </c>
      <c r="AB134" s="15">
        <f t="shared" si="127"/>
        <v>5.42</v>
      </c>
      <c r="AC134" s="1">
        <v>3</v>
      </c>
      <c r="AD134" s="15">
        <v>24.35</v>
      </c>
      <c r="AM134" s="1"/>
      <c r="AP134" s="15" t="s">
        <v>837</v>
      </c>
      <c r="AQ134" s="1">
        <v>2</v>
      </c>
      <c r="AR134" s="1">
        <v>3</v>
      </c>
      <c r="BP134" s="16"/>
      <c r="BQ134" s="16"/>
      <c r="BR134" s="16"/>
      <c r="BU134" s="16"/>
      <c r="CC134" s="15" t="s">
        <v>835</v>
      </c>
      <c r="CE134" s="15">
        <v>1200</v>
      </c>
      <c r="CF134" s="15">
        <f t="shared" si="137"/>
        <v>1200</v>
      </c>
      <c r="CG134" s="15" t="s">
        <v>766</v>
      </c>
      <c r="CY134" s="25">
        <f t="shared" si="117"/>
        <v>1200</v>
      </c>
      <c r="CZ134" s="25">
        <f t="shared" si="118"/>
        <v>1.5384615384615383</v>
      </c>
      <c r="DA134" s="25">
        <f t="shared" si="119"/>
        <v>3600</v>
      </c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>
        <f t="shared" si="128"/>
        <v>5.39</v>
      </c>
      <c r="FL134" s="16">
        <f t="shared" si="129"/>
        <v>5.46</v>
      </c>
      <c r="FM134" s="15">
        <v>5.39</v>
      </c>
      <c r="FN134" s="15">
        <v>0.05</v>
      </c>
      <c r="FO134" s="15">
        <f>FN134*SQRT(AR134)</f>
        <v>8.6602540378443865E-2</v>
      </c>
      <c r="FP134" s="15">
        <v>5.46</v>
      </c>
      <c r="FQ134" s="15">
        <v>0.1</v>
      </c>
      <c r="FR134" s="15">
        <f>FQ134*SQRT(AR134)</f>
        <v>0.17320508075688773</v>
      </c>
      <c r="FS134" s="15">
        <f t="shared" si="134"/>
        <v>1.0129870129870131</v>
      </c>
      <c r="FT134" s="15">
        <f t="shared" si="135"/>
        <v>7.0000000000000284E-2</v>
      </c>
      <c r="FU134" s="15">
        <f t="shared" si="136"/>
        <v>1.2903404835907795E-2</v>
      </c>
      <c r="FV134" s="15">
        <f>((FR134*FR134)/(AR134*FP134*FP134)+(FO134*FO134)/(AR134*FM134*FM134))</f>
        <v>4.2149219502478493E-4</v>
      </c>
      <c r="FX134" s="15">
        <v>24.87</v>
      </c>
      <c r="FY134" s="15">
        <v>0.46</v>
      </c>
      <c r="FZ134" s="15">
        <f>FY134*SQRT(AR134)</f>
        <v>0.7967433714816835</v>
      </c>
      <c r="GA134" s="15">
        <v>29.05</v>
      </c>
      <c r="GB134" s="15">
        <v>0.92</v>
      </c>
      <c r="GC134" s="15">
        <f>GB134*SQRT(AR134)</f>
        <v>1.593486742963367</v>
      </c>
      <c r="GD134" s="15">
        <f t="shared" si="131"/>
        <v>1.1680739847205468</v>
      </c>
      <c r="GE134" s="15">
        <f t="shared" si="132"/>
        <v>4.18</v>
      </c>
      <c r="GF134" s="15">
        <f t="shared" si="133"/>
        <v>0.15535622548260708</v>
      </c>
      <c r="GG134" s="15">
        <f>((GC134*GC134)/(AR134*GA134*GA134)+(FZ134*FZ134)/(AR134*FX134*FX134))</f>
        <v>1.3450681447537433E-3</v>
      </c>
      <c r="HY134" s="25">
        <f>CY134</f>
        <v>1200</v>
      </c>
      <c r="HZ134" s="25">
        <f>CZ134</f>
        <v>1.5384615384615383</v>
      </c>
      <c r="IA134" s="25">
        <f>DA134</f>
        <v>3600</v>
      </c>
    </row>
    <row r="135" spans="1:235" s="15" customFormat="1" x14ac:dyDescent="0.25">
      <c r="A135" s="31">
        <v>133</v>
      </c>
      <c r="B135" s="1">
        <v>26</v>
      </c>
      <c r="C135" s="1">
        <v>27</v>
      </c>
      <c r="D135" s="15" t="s">
        <v>99</v>
      </c>
      <c r="E135" s="1">
        <v>2</v>
      </c>
      <c r="F135" s="15" t="s">
        <v>777</v>
      </c>
      <c r="G135" s="15" t="s">
        <v>838</v>
      </c>
      <c r="H135" s="15" t="s">
        <v>839</v>
      </c>
      <c r="I135" s="1">
        <v>2020</v>
      </c>
      <c r="J135" s="15" t="s">
        <v>840</v>
      </c>
      <c r="K135" s="1">
        <v>2018</v>
      </c>
      <c r="L135" s="15" t="s">
        <v>841</v>
      </c>
      <c r="M135" s="15" t="s">
        <v>480</v>
      </c>
      <c r="N135" s="15" t="s">
        <v>23</v>
      </c>
      <c r="O135" s="31">
        <v>2</v>
      </c>
      <c r="P135" s="15">
        <v>28.12</v>
      </c>
      <c r="Q135" s="15">
        <v>105.13</v>
      </c>
      <c r="U135" s="15" t="s">
        <v>549</v>
      </c>
      <c r="V135" s="31">
        <v>1</v>
      </c>
      <c r="W135" s="16"/>
      <c r="Y135" s="1"/>
      <c r="Z135" s="15">
        <v>5.42</v>
      </c>
      <c r="AA135" s="15" t="s">
        <v>574</v>
      </c>
      <c r="AB135" s="15">
        <f t="shared" si="127"/>
        <v>5.42</v>
      </c>
      <c r="AC135" s="1">
        <v>3</v>
      </c>
      <c r="AD135" s="15">
        <v>24.35</v>
      </c>
      <c r="AM135" s="1"/>
      <c r="AP135" s="15" t="s">
        <v>837</v>
      </c>
      <c r="AQ135" s="1">
        <v>2</v>
      </c>
      <c r="AR135" s="1">
        <v>3</v>
      </c>
      <c r="BP135" s="16"/>
      <c r="BQ135" s="16"/>
      <c r="BR135" s="16"/>
      <c r="BU135" s="16"/>
      <c r="CC135" s="15" t="s">
        <v>842</v>
      </c>
      <c r="CE135" s="15">
        <v>400</v>
      </c>
      <c r="CF135" s="15">
        <f t="shared" si="137"/>
        <v>400</v>
      </c>
      <c r="CG135" s="15" t="s">
        <v>766</v>
      </c>
      <c r="CY135" s="25">
        <f t="shared" si="117"/>
        <v>400</v>
      </c>
      <c r="CZ135" s="25">
        <f t="shared" si="118"/>
        <v>0.51282051282051277</v>
      </c>
      <c r="DA135" s="25">
        <f t="shared" si="119"/>
        <v>1200</v>
      </c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>
        <f t="shared" si="128"/>
        <v>5.39</v>
      </c>
      <c r="FL135" s="16">
        <f t="shared" si="129"/>
        <v>5.47</v>
      </c>
      <c r="FM135" s="15">
        <v>5.39</v>
      </c>
      <c r="FN135" s="15">
        <v>0.05</v>
      </c>
      <c r="FO135" s="15">
        <f>FN135*SQRT(AR135)</f>
        <v>8.6602540378443865E-2</v>
      </c>
      <c r="FP135" s="15">
        <v>5.47</v>
      </c>
      <c r="FQ135" s="15">
        <v>0.13</v>
      </c>
      <c r="FR135" s="15">
        <f>FQ135*SQRT(AR135)</f>
        <v>0.22516660498395405</v>
      </c>
      <c r="FS135" s="15">
        <f t="shared" si="134"/>
        <v>1.0148423005565863</v>
      </c>
      <c r="FT135" s="15">
        <f t="shared" si="135"/>
        <v>8.0000000000000071E-2</v>
      </c>
      <c r="FU135" s="15">
        <f t="shared" si="136"/>
        <v>1.4733231512984002E-2</v>
      </c>
      <c r="FV135" s="15">
        <f>((FR135*FR135)/(AR135*FP135*FP135)+(FO135*FO135)/(AR135*FM135*FM135))</f>
        <v>6.5087488135375155E-4</v>
      </c>
      <c r="FX135" s="15">
        <v>24.87</v>
      </c>
      <c r="FY135" s="15">
        <v>0.46</v>
      </c>
      <c r="FZ135" s="15">
        <f>FY135*SQRT(AR135)</f>
        <v>0.7967433714816835</v>
      </c>
      <c r="GA135" s="15">
        <v>28.37</v>
      </c>
      <c r="GB135" s="15">
        <v>0.92</v>
      </c>
      <c r="GC135" s="15">
        <f>GB135*SQRT(AR135)</f>
        <v>1.593486742963367</v>
      </c>
      <c r="GD135" s="15">
        <f t="shared" si="131"/>
        <v>1.1407318053880178</v>
      </c>
      <c r="GE135" s="15">
        <f t="shared" si="132"/>
        <v>3.5</v>
      </c>
      <c r="GF135" s="15">
        <f t="shared" si="133"/>
        <v>0.13166999100544663</v>
      </c>
      <c r="GG135" s="15">
        <f>((GC135*GC135)/(AR135*GA135*GA135)+(FZ135*FZ135)/(AR135*FX135*FX135))</f>
        <v>1.3937241904317613E-3</v>
      </c>
      <c r="HY135" s="25">
        <f>CY135</f>
        <v>400</v>
      </c>
      <c r="HZ135" s="25">
        <f>CZ135</f>
        <v>0.51282051282051277</v>
      </c>
      <c r="IA135" s="25">
        <f>DA135</f>
        <v>1200</v>
      </c>
    </row>
    <row r="136" spans="1:235" s="15" customFormat="1" x14ac:dyDescent="0.25">
      <c r="A136" s="31">
        <v>134</v>
      </c>
      <c r="B136" s="1">
        <v>26</v>
      </c>
      <c r="C136" s="1">
        <v>27</v>
      </c>
      <c r="D136" s="15" t="s">
        <v>100</v>
      </c>
      <c r="E136" s="1">
        <v>2</v>
      </c>
      <c r="F136" s="15" t="s">
        <v>777</v>
      </c>
      <c r="G136" s="15" t="s">
        <v>838</v>
      </c>
      <c r="H136" s="15" t="s">
        <v>839</v>
      </c>
      <c r="I136" s="1">
        <v>2020</v>
      </c>
      <c r="J136" s="15" t="s">
        <v>840</v>
      </c>
      <c r="K136" s="1">
        <v>2018</v>
      </c>
      <c r="L136" s="15" t="s">
        <v>841</v>
      </c>
      <c r="M136" s="15" t="s">
        <v>480</v>
      </c>
      <c r="N136" s="15" t="s">
        <v>23</v>
      </c>
      <c r="O136" s="31">
        <v>2</v>
      </c>
      <c r="P136" s="15">
        <v>28.12</v>
      </c>
      <c r="Q136" s="15">
        <v>105.13</v>
      </c>
      <c r="U136" s="15" t="s">
        <v>549</v>
      </c>
      <c r="V136" s="31">
        <v>1</v>
      </c>
      <c r="W136" s="16"/>
      <c r="Y136" s="1"/>
      <c r="Z136" s="15">
        <v>5.42</v>
      </c>
      <c r="AA136" s="15" t="s">
        <v>574</v>
      </c>
      <c r="AB136" s="15">
        <f t="shared" si="127"/>
        <v>5.42</v>
      </c>
      <c r="AC136" s="1">
        <v>3</v>
      </c>
      <c r="AD136" s="15">
        <v>24.35</v>
      </c>
      <c r="AM136" s="1"/>
      <c r="AP136" s="15" t="s">
        <v>837</v>
      </c>
      <c r="AQ136" s="1">
        <v>2</v>
      </c>
      <c r="AR136" s="1">
        <v>3</v>
      </c>
      <c r="BP136" s="16"/>
      <c r="BQ136" s="16"/>
      <c r="BR136" s="16"/>
      <c r="BU136" s="16"/>
      <c r="CC136" s="15" t="s">
        <v>842</v>
      </c>
      <c r="CE136" s="15">
        <v>800</v>
      </c>
      <c r="CF136" s="15">
        <f t="shared" si="137"/>
        <v>800</v>
      </c>
      <c r="CG136" s="15" t="s">
        <v>766</v>
      </c>
      <c r="CY136" s="25">
        <f t="shared" si="117"/>
        <v>800</v>
      </c>
      <c r="CZ136" s="25">
        <f t="shared" si="118"/>
        <v>1.0256410256410255</v>
      </c>
      <c r="DA136" s="25">
        <f t="shared" si="119"/>
        <v>2400</v>
      </c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>
        <f t="shared" si="128"/>
        <v>5.39</v>
      </c>
      <c r="FL136" s="16">
        <f t="shared" si="129"/>
        <v>5.88</v>
      </c>
      <c r="FM136" s="15">
        <v>5.39</v>
      </c>
      <c r="FN136" s="15">
        <v>0.05</v>
      </c>
      <c r="FO136" s="15">
        <f>FN136*SQRT(AR136)</f>
        <v>8.6602540378443865E-2</v>
      </c>
      <c r="FP136" s="15">
        <v>5.88</v>
      </c>
      <c r="FQ136" s="15">
        <v>0.1</v>
      </c>
      <c r="FR136" s="15">
        <f>FQ136*SQRT(AR136)</f>
        <v>0.17320508075688773</v>
      </c>
      <c r="FS136" s="15">
        <f t="shared" si="134"/>
        <v>1.0909090909090911</v>
      </c>
      <c r="FT136" s="15">
        <f t="shared" si="135"/>
        <v>0.49000000000000021</v>
      </c>
      <c r="FU136" s="15">
        <f t="shared" si="136"/>
        <v>8.7011376989629685E-2</v>
      </c>
      <c r="FV136" s="15">
        <f>((FR136*FR136)/(AR136*FP136*FP136)+(FO136*FO136)/(AR136*FM136*FM136))</f>
        <v>3.7528363793934958E-4</v>
      </c>
      <c r="FX136" s="15">
        <v>24.87</v>
      </c>
      <c r="FY136" s="15">
        <v>0.46</v>
      </c>
      <c r="FZ136" s="15">
        <f>FY136*SQRT(AR136)</f>
        <v>0.7967433714816835</v>
      </c>
      <c r="GA136" s="15">
        <v>29.38</v>
      </c>
      <c r="GB136" s="15">
        <v>2.88</v>
      </c>
      <c r="GC136" s="15">
        <f>GB136*SQRT(AR136)</f>
        <v>4.9883063257983657</v>
      </c>
      <c r="GD136" s="15">
        <f t="shared" si="131"/>
        <v>1.1813429835142741</v>
      </c>
      <c r="GE136" s="15">
        <f t="shared" si="132"/>
        <v>4.509999999999998</v>
      </c>
      <c r="GF136" s="15">
        <f t="shared" si="133"/>
        <v>0.16665191293041781</v>
      </c>
      <c r="GG136" s="15">
        <f>((GC136*GC136)/(AR136*GA136*GA136)+(FZ136*FZ136)/(AR136*FX136*FX136))</f>
        <v>9.9511794645248224E-3</v>
      </c>
      <c r="HY136" s="25">
        <f>CY136</f>
        <v>800</v>
      </c>
      <c r="HZ136" s="25">
        <f>CZ136</f>
        <v>1.0256410256410255</v>
      </c>
      <c r="IA136" s="25">
        <f>DA136</f>
        <v>2400</v>
      </c>
    </row>
    <row r="137" spans="1:235" s="15" customFormat="1" x14ac:dyDescent="0.25">
      <c r="A137" s="31">
        <v>135</v>
      </c>
      <c r="B137" s="1">
        <v>26</v>
      </c>
      <c r="C137" s="1">
        <v>27</v>
      </c>
      <c r="D137" s="15" t="s">
        <v>101</v>
      </c>
      <c r="E137" s="1">
        <v>2</v>
      </c>
      <c r="F137" s="15" t="s">
        <v>777</v>
      </c>
      <c r="G137" s="15" t="s">
        <v>838</v>
      </c>
      <c r="H137" s="15" t="s">
        <v>839</v>
      </c>
      <c r="I137" s="1">
        <v>2020</v>
      </c>
      <c r="J137" s="15" t="s">
        <v>840</v>
      </c>
      <c r="K137" s="1">
        <v>2018</v>
      </c>
      <c r="L137" s="15" t="s">
        <v>841</v>
      </c>
      <c r="M137" s="15" t="s">
        <v>480</v>
      </c>
      <c r="N137" s="15" t="s">
        <v>23</v>
      </c>
      <c r="O137" s="31">
        <v>2</v>
      </c>
      <c r="P137" s="15">
        <v>28.12</v>
      </c>
      <c r="Q137" s="15">
        <v>105.13</v>
      </c>
      <c r="U137" s="15" t="s">
        <v>549</v>
      </c>
      <c r="V137" s="31">
        <v>1</v>
      </c>
      <c r="W137" s="16"/>
      <c r="Y137" s="1"/>
      <c r="Z137" s="15">
        <v>5.42</v>
      </c>
      <c r="AA137" s="15" t="s">
        <v>574</v>
      </c>
      <c r="AB137" s="15">
        <f t="shared" si="127"/>
        <v>5.42</v>
      </c>
      <c r="AC137" s="1">
        <v>3</v>
      </c>
      <c r="AD137" s="15">
        <v>24.35</v>
      </c>
      <c r="AM137" s="1"/>
      <c r="AP137" s="15" t="s">
        <v>837</v>
      </c>
      <c r="AQ137" s="1">
        <v>2</v>
      </c>
      <c r="AR137" s="1">
        <v>3</v>
      </c>
      <c r="BP137" s="16"/>
      <c r="BQ137" s="16"/>
      <c r="BR137" s="16"/>
      <c r="BU137" s="16"/>
      <c r="CC137" s="15" t="s">
        <v>842</v>
      </c>
      <c r="CE137" s="15">
        <v>1200</v>
      </c>
      <c r="CF137" s="15">
        <f t="shared" si="137"/>
        <v>1200</v>
      </c>
      <c r="CG137" s="15" t="s">
        <v>766</v>
      </c>
      <c r="CY137" s="25">
        <f t="shared" si="117"/>
        <v>1200</v>
      </c>
      <c r="CZ137" s="25">
        <f t="shared" si="118"/>
        <v>1.5384615384615383</v>
      </c>
      <c r="DA137" s="25">
        <f t="shared" si="119"/>
        <v>3600</v>
      </c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>
        <f t="shared" si="128"/>
        <v>5.39</v>
      </c>
      <c r="FL137" s="16">
        <f t="shared" si="129"/>
        <v>5.85</v>
      </c>
      <c r="FM137" s="15">
        <v>5.39</v>
      </c>
      <c r="FN137" s="15">
        <v>0.05</v>
      </c>
      <c r="FO137" s="15">
        <f>FN137*SQRT(AR137)</f>
        <v>8.6602540378443865E-2</v>
      </c>
      <c r="FP137" s="15">
        <v>5.85</v>
      </c>
      <c r="FQ137" s="15">
        <v>0.1</v>
      </c>
      <c r="FR137" s="15">
        <f>FQ137*SQRT(AR137)</f>
        <v>0.17320508075688773</v>
      </c>
      <c r="FS137" s="15">
        <f t="shared" si="134"/>
        <v>1.085343228200371</v>
      </c>
      <c r="FT137" s="15">
        <f t="shared" si="135"/>
        <v>0.45999999999999996</v>
      </c>
      <c r="FU137" s="15">
        <f t="shared" si="136"/>
        <v>8.1896276322859229E-2</v>
      </c>
      <c r="FV137" s="15">
        <f>((FR137*FR137)/(AR137*FP137*FP137)+(FO137*FO137)/(AR137*FM137*FM137))</f>
        <v>3.7825771955587724E-4</v>
      </c>
      <c r="FX137" s="15">
        <v>24.87</v>
      </c>
      <c r="FY137" s="15">
        <v>0.46</v>
      </c>
      <c r="FZ137" s="15">
        <f>FY137*SQRT(AR137)</f>
        <v>0.7967433714816835</v>
      </c>
      <c r="GA137" s="15">
        <v>30.46</v>
      </c>
      <c r="GB137" s="15">
        <v>1.49</v>
      </c>
      <c r="GC137" s="15">
        <f>GB137*SQRT(AR137)</f>
        <v>2.5807557032776272</v>
      </c>
      <c r="GD137" s="15">
        <f t="shared" si="131"/>
        <v>1.2247687977482911</v>
      </c>
      <c r="GE137" s="15">
        <f t="shared" si="132"/>
        <v>5.59</v>
      </c>
      <c r="GF137" s="15">
        <f t="shared" si="133"/>
        <v>0.20275208965170233</v>
      </c>
      <c r="GG137" s="15">
        <f>((GC137*GC137)/(AR137*GA137*GA137)+(FZ137*FZ137)/(AR137*FX137*FX137))</f>
        <v>2.7349436043261773E-3</v>
      </c>
      <c r="HY137" s="25">
        <f>CY137</f>
        <v>1200</v>
      </c>
      <c r="HZ137" s="25">
        <f>CZ137</f>
        <v>1.5384615384615383</v>
      </c>
      <c r="IA137" s="25">
        <f>DA137</f>
        <v>3600</v>
      </c>
    </row>
    <row r="138" spans="1:235" s="15" customFormat="1" x14ac:dyDescent="0.25">
      <c r="A138" s="31">
        <v>136</v>
      </c>
      <c r="B138" s="1">
        <v>26</v>
      </c>
      <c r="C138" s="1">
        <v>27</v>
      </c>
      <c r="D138" s="15" t="s">
        <v>102</v>
      </c>
      <c r="E138" s="1">
        <v>1</v>
      </c>
      <c r="F138" s="15" t="s">
        <v>761</v>
      </c>
      <c r="G138" s="15" t="s">
        <v>838</v>
      </c>
      <c r="H138" s="15" t="s">
        <v>839</v>
      </c>
      <c r="I138" s="1">
        <v>2020</v>
      </c>
      <c r="J138" s="15" t="s">
        <v>840</v>
      </c>
      <c r="K138" s="1">
        <v>2018</v>
      </c>
      <c r="L138" s="15" t="s">
        <v>841</v>
      </c>
      <c r="M138" s="15" t="s">
        <v>480</v>
      </c>
      <c r="N138" s="15" t="s">
        <v>23</v>
      </c>
      <c r="O138" s="31">
        <v>2</v>
      </c>
      <c r="P138" s="15">
        <v>28.12</v>
      </c>
      <c r="Q138" s="15">
        <v>105.13</v>
      </c>
      <c r="U138" s="15" t="s">
        <v>549</v>
      </c>
      <c r="V138" s="31">
        <v>1</v>
      </c>
      <c r="W138" s="16"/>
      <c r="Y138" s="1"/>
      <c r="Z138" s="15">
        <v>5.42</v>
      </c>
      <c r="AA138" s="15" t="s">
        <v>574</v>
      </c>
      <c r="AB138" s="15">
        <f t="shared" si="127"/>
        <v>5.42</v>
      </c>
      <c r="AC138" s="1">
        <v>3</v>
      </c>
      <c r="AD138" s="15">
        <v>24.35</v>
      </c>
      <c r="AM138" s="1"/>
      <c r="AP138" s="15" t="s">
        <v>837</v>
      </c>
      <c r="AQ138" s="1">
        <v>2</v>
      </c>
      <c r="AR138" s="1">
        <v>3</v>
      </c>
      <c r="AT138" s="15" t="s">
        <v>545</v>
      </c>
      <c r="AW138" s="15">
        <v>400</v>
      </c>
      <c r="AX138" s="15">
        <f>AW138*1.78</f>
        <v>712</v>
      </c>
      <c r="AY138" s="15" t="s">
        <v>766</v>
      </c>
      <c r="AZ138" s="15">
        <f>AX138</f>
        <v>712</v>
      </c>
      <c r="BA138" s="15">
        <f>AZ138/2.93/1000</f>
        <v>0.24300341296928327</v>
      </c>
      <c r="BB138" s="15">
        <f>AZ138*0.6</f>
        <v>427.2</v>
      </c>
      <c r="BP138" s="16"/>
      <c r="BQ138" s="16"/>
      <c r="BR138" s="16"/>
      <c r="BU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>
        <f t="shared" si="128"/>
        <v>5.39</v>
      </c>
      <c r="FL138" s="16">
        <f t="shared" si="129"/>
        <v>6.36</v>
      </c>
      <c r="FM138" s="15">
        <v>5.39</v>
      </c>
      <c r="FN138" s="15">
        <v>0.05</v>
      </c>
      <c r="FO138" s="15">
        <f>FN138*SQRT(AR138)</f>
        <v>8.6602540378443865E-2</v>
      </c>
      <c r="FP138" s="15">
        <v>6.36</v>
      </c>
      <c r="FQ138" s="15">
        <v>0.18</v>
      </c>
      <c r="FR138" s="15">
        <f>FQ138*SQRT(AR138)</f>
        <v>0.31176914536239786</v>
      </c>
      <c r="FS138" s="15">
        <f t="shared" si="134"/>
        <v>1.1799628942486087</v>
      </c>
      <c r="FT138" s="15">
        <f t="shared" si="135"/>
        <v>0.97000000000000064</v>
      </c>
      <c r="FU138" s="15">
        <f t="shared" si="136"/>
        <v>0.16548299243112496</v>
      </c>
      <c r="FV138" s="15">
        <f>((FR138*FR138)/(AR138*FP138*FP138)+(FO138*FO138)/(AR138*FM138*FM138))</f>
        <v>8.8704909515814417E-4</v>
      </c>
      <c r="FX138" s="15">
        <v>24.87</v>
      </c>
      <c r="FY138" s="15">
        <v>0.46</v>
      </c>
      <c r="FZ138" s="15">
        <f>FY138*SQRT(AR138)</f>
        <v>0.7967433714816835</v>
      </c>
      <c r="GA138" s="15">
        <v>26.56</v>
      </c>
      <c r="GB138" s="15">
        <v>0.7</v>
      </c>
      <c r="GC138" s="15">
        <f>GB138*SQRT(AR138)</f>
        <v>1.2124355652982139</v>
      </c>
      <c r="GD138" s="15">
        <f t="shared" si="131"/>
        <v>1.0679533574587856</v>
      </c>
      <c r="GE138" s="15">
        <f t="shared" si="132"/>
        <v>1.6899999999999977</v>
      </c>
      <c r="GF138" s="15">
        <f t="shared" si="133"/>
        <v>6.5744066792919664E-2</v>
      </c>
      <c r="GG138" s="15">
        <f>((GC138*GC138)/(AR138*GA138*GA138)+(FZ138*FZ138)/(AR138*FX138*FX138))</f>
        <v>1.0367169319359121E-3</v>
      </c>
      <c r="HY138" s="15">
        <f>AZ138</f>
        <v>712</v>
      </c>
      <c r="HZ138" s="15">
        <f>BA138</f>
        <v>0.24300341296928327</v>
      </c>
      <c r="IA138" s="15">
        <f>BB138</f>
        <v>427.2</v>
      </c>
    </row>
    <row r="139" spans="1:235" s="15" customFormat="1" x14ac:dyDescent="0.25">
      <c r="A139" s="31">
        <v>137</v>
      </c>
      <c r="B139" s="1">
        <v>26</v>
      </c>
      <c r="C139" s="1">
        <v>27</v>
      </c>
      <c r="D139" s="15" t="s">
        <v>103</v>
      </c>
      <c r="E139" s="1">
        <v>1</v>
      </c>
      <c r="F139" s="15" t="s">
        <v>761</v>
      </c>
      <c r="G139" s="15" t="s">
        <v>838</v>
      </c>
      <c r="H139" s="15" t="s">
        <v>839</v>
      </c>
      <c r="I139" s="1">
        <v>2020</v>
      </c>
      <c r="J139" s="15" t="s">
        <v>840</v>
      </c>
      <c r="K139" s="1">
        <v>2018</v>
      </c>
      <c r="L139" s="15" t="s">
        <v>841</v>
      </c>
      <c r="M139" s="15" t="s">
        <v>480</v>
      </c>
      <c r="N139" s="15" t="s">
        <v>23</v>
      </c>
      <c r="O139" s="31">
        <v>2</v>
      </c>
      <c r="P139" s="15">
        <v>28.12</v>
      </c>
      <c r="Q139" s="15">
        <v>105.13</v>
      </c>
      <c r="U139" s="15" t="s">
        <v>549</v>
      </c>
      <c r="V139" s="31">
        <v>1</v>
      </c>
      <c r="W139" s="16"/>
      <c r="Y139" s="1"/>
      <c r="Z139" s="15">
        <v>5.42</v>
      </c>
      <c r="AA139" s="15" t="s">
        <v>574</v>
      </c>
      <c r="AB139" s="15">
        <f t="shared" si="127"/>
        <v>5.42</v>
      </c>
      <c r="AC139" s="1">
        <v>3</v>
      </c>
      <c r="AD139" s="15">
        <v>24.35</v>
      </c>
      <c r="AM139" s="1"/>
      <c r="AP139" s="15" t="s">
        <v>837</v>
      </c>
      <c r="AQ139" s="1">
        <v>2</v>
      </c>
      <c r="AR139" s="1">
        <v>3</v>
      </c>
      <c r="AT139" s="15" t="s">
        <v>545</v>
      </c>
      <c r="AW139" s="15">
        <v>800</v>
      </c>
      <c r="AX139" s="15">
        <f>AW139*1.78</f>
        <v>1424</v>
      </c>
      <c r="AY139" s="15" t="s">
        <v>766</v>
      </c>
      <c r="AZ139" s="15">
        <f>AX139</f>
        <v>1424</v>
      </c>
      <c r="BA139" s="15">
        <f>AZ139/2.93/1000</f>
        <v>0.48600682593856653</v>
      </c>
      <c r="BB139" s="15">
        <f>AZ139*0.6</f>
        <v>854.4</v>
      </c>
      <c r="BP139" s="16"/>
      <c r="BQ139" s="16"/>
      <c r="BR139" s="16"/>
      <c r="BU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>
        <f t="shared" si="128"/>
        <v>5.39</v>
      </c>
      <c r="FL139" s="16">
        <f t="shared" si="129"/>
        <v>6.91</v>
      </c>
      <c r="FM139" s="15">
        <v>5.39</v>
      </c>
      <c r="FN139" s="15">
        <v>0.05</v>
      </c>
      <c r="FO139" s="15">
        <f>FN139*SQRT(AR139)</f>
        <v>8.6602540378443865E-2</v>
      </c>
      <c r="FP139" s="15">
        <v>6.91</v>
      </c>
      <c r="FQ139" s="15">
        <v>0.3</v>
      </c>
      <c r="FR139" s="15">
        <f>FQ139*SQRT(AR139)</f>
        <v>0.51961524227066314</v>
      </c>
      <c r="FS139" s="15">
        <f t="shared" si="134"/>
        <v>1.2820037105751392</v>
      </c>
      <c r="FT139" s="15">
        <f t="shared" si="135"/>
        <v>1.5200000000000005</v>
      </c>
      <c r="FU139" s="15">
        <f t="shared" si="136"/>
        <v>0.24842425285867287</v>
      </c>
      <c r="FV139" s="15">
        <f>((FR139*FR139)/(AR139*FP139*FP139)+(FO139*FO139)/(AR139*FM139*FM139))</f>
        <v>1.9709440540004951E-3</v>
      </c>
      <c r="FX139" s="15">
        <v>24.87</v>
      </c>
      <c r="FY139" s="15">
        <v>0.46</v>
      </c>
      <c r="FZ139" s="15">
        <f>FY139*SQRT(AR139)</f>
        <v>0.7967433714816835</v>
      </c>
      <c r="GA139" s="15">
        <v>27.83</v>
      </c>
      <c r="GB139" s="15">
        <v>0.17</v>
      </c>
      <c r="GC139" s="15">
        <f>GB139*SQRT(AR139)</f>
        <v>0.29444863728670917</v>
      </c>
      <c r="GD139" s="15">
        <f t="shared" si="131"/>
        <v>1.1190188982710092</v>
      </c>
      <c r="GE139" s="15">
        <f t="shared" si="132"/>
        <v>2.9599999999999973</v>
      </c>
      <c r="GF139" s="15">
        <f t="shared" si="133"/>
        <v>0.11245231772248587</v>
      </c>
      <c r="GG139" s="15">
        <f>((GC139*GC139)/(AR139*GA139*GA139)+(FZ139*FZ139)/(AR139*FX139*FX139))</f>
        <v>3.7942264724899813E-4</v>
      </c>
      <c r="HY139" s="15">
        <f>AZ139</f>
        <v>1424</v>
      </c>
      <c r="HZ139" s="15">
        <f>BA139</f>
        <v>0.48600682593856653</v>
      </c>
      <c r="IA139" s="15">
        <f>BB139</f>
        <v>854.4</v>
      </c>
    </row>
    <row r="140" spans="1:235" s="15" customFormat="1" x14ac:dyDescent="0.25">
      <c r="A140" s="31">
        <v>138</v>
      </c>
      <c r="B140" s="1">
        <v>26</v>
      </c>
      <c r="C140" s="1">
        <v>27</v>
      </c>
      <c r="D140" s="15" t="s">
        <v>104</v>
      </c>
      <c r="E140" s="1">
        <v>1</v>
      </c>
      <c r="F140" s="15" t="s">
        <v>761</v>
      </c>
      <c r="G140" s="15" t="s">
        <v>838</v>
      </c>
      <c r="H140" s="15" t="s">
        <v>839</v>
      </c>
      <c r="I140" s="1">
        <v>2020</v>
      </c>
      <c r="J140" s="15" t="s">
        <v>840</v>
      </c>
      <c r="K140" s="1">
        <v>2018</v>
      </c>
      <c r="L140" s="15" t="s">
        <v>841</v>
      </c>
      <c r="M140" s="15" t="s">
        <v>480</v>
      </c>
      <c r="N140" s="15" t="s">
        <v>23</v>
      </c>
      <c r="O140" s="31">
        <v>2</v>
      </c>
      <c r="P140" s="15">
        <v>28.12</v>
      </c>
      <c r="Q140" s="15">
        <v>105.13</v>
      </c>
      <c r="U140" s="15" t="s">
        <v>549</v>
      </c>
      <c r="V140" s="31">
        <v>1</v>
      </c>
      <c r="W140" s="16"/>
      <c r="Y140" s="1"/>
      <c r="Z140" s="15">
        <v>5.42</v>
      </c>
      <c r="AA140" s="15" t="s">
        <v>574</v>
      </c>
      <c r="AB140" s="15">
        <f t="shared" si="127"/>
        <v>5.42</v>
      </c>
      <c r="AC140" s="1">
        <v>3</v>
      </c>
      <c r="AD140" s="15">
        <v>24.35</v>
      </c>
      <c r="AM140" s="1"/>
      <c r="AP140" s="15" t="s">
        <v>837</v>
      </c>
      <c r="AQ140" s="1">
        <v>2</v>
      </c>
      <c r="AR140" s="1">
        <v>3</v>
      </c>
      <c r="AT140" s="15" t="s">
        <v>545</v>
      </c>
      <c r="AW140" s="15">
        <v>1200</v>
      </c>
      <c r="AX140" s="15">
        <f>AW140*1.78</f>
        <v>2136</v>
      </c>
      <c r="AY140" s="15" t="s">
        <v>766</v>
      </c>
      <c r="AZ140" s="15">
        <f>AX140</f>
        <v>2136</v>
      </c>
      <c r="BA140" s="15">
        <f>AZ140/2.93/1000</f>
        <v>0.72901023890784988</v>
      </c>
      <c r="BB140" s="15">
        <f>AZ140*0.6</f>
        <v>1281.5999999999999</v>
      </c>
      <c r="BP140" s="16"/>
      <c r="BQ140" s="16"/>
      <c r="BR140" s="16"/>
      <c r="BU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>
        <f t="shared" si="128"/>
        <v>5.39</v>
      </c>
      <c r="FL140" s="16">
        <f t="shared" si="129"/>
        <v>7.32</v>
      </c>
      <c r="FM140" s="15">
        <v>5.39</v>
      </c>
      <c r="FN140" s="15">
        <v>0.05</v>
      </c>
      <c r="FO140" s="15">
        <f>FN140*SQRT(AR140)</f>
        <v>8.6602540378443865E-2</v>
      </c>
      <c r="FP140" s="15">
        <v>7.32</v>
      </c>
      <c r="FQ140" s="15">
        <v>0.3</v>
      </c>
      <c r="FR140" s="15">
        <f>FQ140*SQRT(AR140)</f>
        <v>0.51961524227066314</v>
      </c>
      <c r="FS140" s="15">
        <f t="shared" si="134"/>
        <v>1.3580705009276439</v>
      </c>
      <c r="FT140" s="15">
        <f t="shared" si="135"/>
        <v>1.9300000000000006</v>
      </c>
      <c r="FU140" s="15">
        <f t="shared" si="136"/>
        <v>0.30606494305231435</v>
      </c>
      <c r="FV140" s="15">
        <f>((FR140*FR140)/(AR140*FP140*FP140)+(FO140*FO140)/(AR140*FM140*FM140))</f>
        <v>1.7657083055952073E-3</v>
      </c>
      <c r="FX140" s="15">
        <v>24.87</v>
      </c>
      <c r="FY140" s="15">
        <v>0.46</v>
      </c>
      <c r="FZ140" s="15">
        <f>FY140*SQRT(AR140)</f>
        <v>0.7967433714816835</v>
      </c>
      <c r="GA140" s="15">
        <v>27.84</v>
      </c>
      <c r="GB140" s="15">
        <v>1.1000000000000001</v>
      </c>
      <c r="GC140" s="15">
        <f>GB140*SQRT(AR140)</f>
        <v>1.9052558883257651</v>
      </c>
      <c r="GD140" s="15">
        <f t="shared" si="131"/>
        <v>1.1194209891435465</v>
      </c>
      <c r="GE140" s="15">
        <f t="shared" si="132"/>
        <v>2.9699999999999989</v>
      </c>
      <c r="GF140" s="15">
        <f t="shared" si="133"/>
        <v>0.11281157765090555</v>
      </c>
      <c r="GG140" s="15">
        <f>((GC140*GC140)/(AR140*GA140*GA140)+(FZ140*FZ140)/(AR140*FX140*FX140))</f>
        <v>1.9032668577445195E-3</v>
      </c>
      <c r="HY140" s="15">
        <f>AZ140</f>
        <v>2136</v>
      </c>
      <c r="HZ140" s="15">
        <f>BA140</f>
        <v>0.72901023890784988</v>
      </c>
      <c r="IA140" s="15">
        <f>BB140</f>
        <v>1281.5999999999999</v>
      </c>
    </row>
    <row r="141" spans="1:235" s="15" customFormat="1" x14ac:dyDescent="0.25">
      <c r="A141" s="31">
        <v>139</v>
      </c>
      <c r="B141" s="1">
        <v>27</v>
      </c>
      <c r="C141" s="1">
        <v>28</v>
      </c>
      <c r="D141" s="15" t="s">
        <v>105</v>
      </c>
      <c r="E141" s="1">
        <v>2</v>
      </c>
      <c r="F141" s="15" t="s">
        <v>777</v>
      </c>
      <c r="G141" s="15" t="s">
        <v>843</v>
      </c>
      <c r="H141" s="15" t="s">
        <v>844</v>
      </c>
      <c r="I141" s="1">
        <v>2012</v>
      </c>
      <c r="J141" s="15" t="s">
        <v>845</v>
      </c>
      <c r="K141" s="1"/>
      <c r="L141" s="15" t="s">
        <v>820</v>
      </c>
      <c r="M141" s="15" t="s">
        <v>480</v>
      </c>
      <c r="N141" s="15" t="s">
        <v>23</v>
      </c>
      <c r="O141" s="31">
        <v>2</v>
      </c>
      <c r="P141" s="15">
        <v>28.24</v>
      </c>
      <c r="Q141" s="15">
        <v>117.04</v>
      </c>
      <c r="U141" s="15" t="s">
        <v>807</v>
      </c>
      <c r="V141" s="31">
        <v>2</v>
      </c>
      <c r="W141" s="16"/>
      <c r="Y141" s="1"/>
      <c r="Z141" s="15">
        <v>4.05</v>
      </c>
      <c r="AA141" s="15" t="s">
        <v>574</v>
      </c>
      <c r="AB141" s="15">
        <f t="shared" si="127"/>
        <v>4.05</v>
      </c>
      <c r="AC141" s="1">
        <v>1</v>
      </c>
      <c r="AM141" s="1"/>
      <c r="AP141" s="15" t="s">
        <v>821</v>
      </c>
      <c r="AQ141" s="1">
        <v>1</v>
      </c>
      <c r="AR141" s="1">
        <v>3</v>
      </c>
      <c r="BP141" s="16"/>
      <c r="BQ141" s="16"/>
      <c r="BR141" s="16"/>
      <c r="BU141" s="16"/>
      <c r="CC141" s="15" t="s">
        <v>846</v>
      </c>
      <c r="CE141" s="15">
        <v>1</v>
      </c>
      <c r="CF141" s="15">
        <f t="shared" ref="CF141:CF150" si="138">CE141*22500</f>
        <v>22500</v>
      </c>
      <c r="CG141" s="15" t="s">
        <v>766</v>
      </c>
      <c r="CH141" s="15">
        <v>8</v>
      </c>
      <c r="CI141" s="15">
        <v>350</v>
      </c>
      <c r="CJ141" s="15">
        <v>180</v>
      </c>
      <c r="CK141" s="15">
        <v>617</v>
      </c>
      <c r="CL141" s="15">
        <v>1.7</v>
      </c>
      <c r="CM141" s="15">
        <v>2.2000000000000002</v>
      </c>
      <c r="CW141" s="15">
        <v>25</v>
      </c>
      <c r="CY141" s="25">
        <f t="shared" ref="CY141:CY150" si="139">CF141</f>
        <v>22500</v>
      </c>
      <c r="CZ141" s="25">
        <f t="shared" ref="CZ141:CZ150" si="140">CY141/0.78/1000</f>
        <v>28.846153846153843</v>
      </c>
      <c r="DA141" s="25">
        <f t="shared" ref="DA141:DA150" si="141">CY141*3</f>
        <v>67500</v>
      </c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>
        <f t="shared" si="128"/>
        <v>4.05</v>
      </c>
      <c r="FL141" s="16">
        <f t="shared" si="129"/>
        <v>4.5599999999999996</v>
      </c>
      <c r="FM141" s="15">
        <v>4.05</v>
      </c>
      <c r="FN141" s="15">
        <f t="shared" ref="FN141:FN150" si="142">FM141*0.05</f>
        <v>0.20250000000000001</v>
      </c>
      <c r="FO141" s="15">
        <f>FN141*SQRT(AR141)</f>
        <v>0.35074028853269767</v>
      </c>
      <c r="FP141" s="15">
        <v>4.5599999999999996</v>
      </c>
      <c r="FQ141" s="15">
        <f t="shared" ref="FQ141:FQ150" si="143">FP141*0.05</f>
        <v>0.22799999999999998</v>
      </c>
      <c r="FR141" s="15">
        <f>FQ141*SQRT(AR141)</f>
        <v>0.39490758412570398</v>
      </c>
      <c r="FS141" s="15">
        <f t="shared" si="134"/>
        <v>1.1259259259259258</v>
      </c>
      <c r="FT141" s="15">
        <f t="shared" si="135"/>
        <v>0.50999999999999979</v>
      </c>
      <c r="FU141" s="15">
        <f t="shared" si="136"/>
        <v>0.11860574240784683</v>
      </c>
      <c r="FV141" s="15">
        <f>((FR141*FR141)/(AR141*FP141*FP141)+(FO141*FO141)/(AR141*FM141*FM141))</f>
        <v>5.000000000000001E-3</v>
      </c>
      <c r="GT141" s="15">
        <f t="shared" ref="GT141:GT150" si="144">33.3*100/(66.1+33.3)</f>
        <v>33.501006036217305</v>
      </c>
      <c r="GU141" s="15">
        <f t="shared" ref="GU141:GU150" si="145">GT141*0.05</f>
        <v>1.6750503018108653</v>
      </c>
      <c r="GV141" s="15">
        <f>GU141*SQRT(AR141)</f>
        <v>2.9012722279700007</v>
      </c>
      <c r="GW141" s="15">
        <f>61.1*100/(61.1+39.9)</f>
        <v>60.495049504950494</v>
      </c>
      <c r="GX141" s="15">
        <f t="shared" ref="GX141:GX150" si="146">GW141*0.05</f>
        <v>3.0247524752475248</v>
      </c>
      <c r="GY141" s="15">
        <f>GX141*SQRT(AR141)</f>
        <v>5.2390249674484357</v>
      </c>
      <c r="GZ141" s="15">
        <f t="shared" ref="GZ141:GZ150" si="147">GW141/GT141</f>
        <v>1.8057681443820057</v>
      </c>
      <c r="HA141" s="15">
        <f t="shared" ref="HA141:HA150" si="148">GW141-GT141</f>
        <v>26.994043468733189</v>
      </c>
      <c r="HB141" s="15">
        <f t="shared" ref="HB141:HB150" si="149">LN(GW141)-LN(GT141)</f>
        <v>0.59098606601242043</v>
      </c>
      <c r="HC141" s="15">
        <f>((GY141*GY141)/(AR141*GW141*GW141)+(GV141*GV141)/(AR141*GT141*GT141))</f>
        <v>4.9999999999999992E-3</v>
      </c>
      <c r="HY141" s="25">
        <f>CY141</f>
        <v>22500</v>
      </c>
      <c r="HZ141" s="25">
        <f>CZ141</f>
        <v>28.846153846153843</v>
      </c>
      <c r="IA141" s="25">
        <f>DA141</f>
        <v>67500</v>
      </c>
    </row>
    <row r="142" spans="1:235" s="15" customFormat="1" x14ac:dyDescent="0.25">
      <c r="A142" s="31">
        <v>140</v>
      </c>
      <c r="B142" s="1">
        <v>27</v>
      </c>
      <c r="C142" s="1">
        <v>28</v>
      </c>
      <c r="D142" s="15" t="s">
        <v>106</v>
      </c>
      <c r="E142" s="1">
        <v>2</v>
      </c>
      <c r="F142" s="15" t="s">
        <v>777</v>
      </c>
      <c r="G142" s="15" t="s">
        <v>843</v>
      </c>
      <c r="H142" s="15" t="s">
        <v>844</v>
      </c>
      <c r="I142" s="1">
        <v>2012</v>
      </c>
      <c r="J142" s="15" t="s">
        <v>845</v>
      </c>
      <c r="K142" s="1"/>
      <c r="L142" s="15" t="s">
        <v>820</v>
      </c>
      <c r="M142" s="15" t="s">
        <v>480</v>
      </c>
      <c r="N142" s="15" t="s">
        <v>23</v>
      </c>
      <c r="O142" s="31">
        <v>2</v>
      </c>
      <c r="P142" s="15">
        <v>28.24</v>
      </c>
      <c r="Q142" s="15">
        <v>117.04</v>
      </c>
      <c r="U142" s="15" t="s">
        <v>807</v>
      </c>
      <c r="V142" s="31">
        <v>2</v>
      </c>
      <c r="W142" s="16"/>
      <c r="Y142" s="1"/>
      <c r="Z142" s="15">
        <v>4.05</v>
      </c>
      <c r="AA142" s="15" t="s">
        <v>574</v>
      </c>
      <c r="AB142" s="15">
        <f t="shared" si="127"/>
        <v>4.05</v>
      </c>
      <c r="AC142" s="1">
        <v>1</v>
      </c>
      <c r="AM142" s="1"/>
      <c r="AP142" s="15" t="s">
        <v>821</v>
      </c>
      <c r="AQ142" s="1">
        <v>1</v>
      </c>
      <c r="AR142" s="1">
        <v>3</v>
      </c>
      <c r="BP142" s="16"/>
      <c r="BQ142" s="16"/>
      <c r="BR142" s="16"/>
      <c r="BU142" s="16"/>
      <c r="CC142" s="15" t="s">
        <v>847</v>
      </c>
      <c r="CE142" s="15">
        <v>1</v>
      </c>
      <c r="CF142" s="15">
        <f t="shared" si="138"/>
        <v>22500</v>
      </c>
      <c r="CG142" s="15" t="s">
        <v>766</v>
      </c>
      <c r="CH142" s="15">
        <v>6.42</v>
      </c>
      <c r="CI142" s="15">
        <v>350</v>
      </c>
      <c r="CJ142" s="15">
        <v>151</v>
      </c>
      <c r="CK142" s="15">
        <v>477</v>
      </c>
      <c r="CL142" s="15">
        <v>3.3</v>
      </c>
      <c r="CM142" s="15">
        <v>3</v>
      </c>
      <c r="CW142" s="15">
        <v>30.3</v>
      </c>
      <c r="CY142" s="25">
        <f t="shared" si="139"/>
        <v>22500</v>
      </c>
      <c r="CZ142" s="25">
        <f t="shared" si="140"/>
        <v>28.846153846153843</v>
      </c>
      <c r="DA142" s="25">
        <f t="shared" si="141"/>
        <v>67500</v>
      </c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>
        <f t="shared" si="128"/>
        <v>4.05</v>
      </c>
      <c r="FL142" s="16">
        <f t="shared" si="129"/>
        <v>4.3</v>
      </c>
      <c r="FM142" s="15">
        <v>4.05</v>
      </c>
      <c r="FN142" s="15">
        <f t="shared" si="142"/>
        <v>0.20250000000000001</v>
      </c>
      <c r="FO142" s="15">
        <f>FN142*SQRT(AR142)</f>
        <v>0.35074028853269767</v>
      </c>
      <c r="FP142" s="15">
        <v>4.3</v>
      </c>
      <c r="FQ142" s="15">
        <f t="shared" si="143"/>
        <v>0.215</v>
      </c>
      <c r="FR142" s="15">
        <f>FQ142*SQRT(AR142)</f>
        <v>0.37239092362730858</v>
      </c>
      <c r="FS142" s="15">
        <f t="shared" si="134"/>
        <v>1.0617283950617284</v>
      </c>
      <c r="FT142" s="15">
        <f t="shared" si="135"/>
        <v>0.25</v>
      </c>
      <c r="FU142" s="15">
        <f t="shared" si="136"/>
        <v>5.9898141581068876E-2</v>
      </c>
      <c r="FV142" s="15">
        <f>((FR142*FR142)/(AR142*FP142*FP142)+(FO142*FO142)/(AR142*FM142*FM142))</f>
        <v>5.000000000000001E-3</v>
      </c>
      <c r="GT142" s="15">
        <f t="shared" si="144"/>
        <v>33.501006036217305</v>
      </c>
      <c r="GU142" s="15">
        <f t="shared" si="145"/>
        <v>1.6750503018108653</v>
      </c>
      <c r="GV142" s="15">
        <f>GU142*SQRT(AR142)</f>
        <v>2.9012722279700007</v>
      </c>
      <c r="GW142" s="15">
        <f>47.7*100/(47.7+53.6)</f>
        <v>47.087857847976302</v>
      </c>
      <c r="GX142" s="15">
        <f t="shared" si="146"/>
        <v>2.3543928923988151</v>
      </c>
      <c r="GY142" s="15">
        <f>GX142*SQRT(AR142)</f>
        <v>4.0779281106137919</v>
      </c>
      <c r="GZ142" s="15">
        <f t="shared" si="147"/>
        <v>1.4055654865131664</v>
      </c>
      <c r="HA142" s="15">
        <f t="shared" si="148"/>
        <v>13.586851811758997</v>
      </c>
      <c r="HB142" s="15">
        <f t="shared" si="149"/>
        <v>0.34043970331578777</v>
      </c>
      <c r="HC142" s="15">
        <f>((GY142*GY142)/(AR142*GW142*GW142)+(GV142*GV142)/(AR142*GT142*GT142))</f>
        <v>4.9999999999999992E-3</v>
      </c>
      <c r="HY142" s="25">
        <f>CY142</f>
        <v>22500</v>
      </c>
      <c r="HZ142" s="25">
        <f>CZ142</f>
        <v>28.846153846153843</v>
      </c>
      <c r="IA142" s="25">
        <f>DA142</f>
        <v>67500</v>
      </c>
    </row>
    <row r="143" spans="1:235" s="15" customFormat="1" x14ac:dyDescent="0.25">
      <c r="A143" s="31">
        <v>141</v>
      </c>
      <c r="B143" s="1">
        <v>27</v>
      </c>
      <c r="C143" s="1">
        <v>28</v>
      </c>
      <c r="D143" s="15" t="s">
        <v>107</v>
      </c>
      <c r="E143" s="1">
        <v>2</v>
      </c>
      <c r="F143" s="15" t="s">
        <v>777</v>
      </c>
      <c r="G143" s="15" t="s">
        <v>843</v>
      </c>
      <c r="H143" s="15" t="s">
        <v>844</v>
      </c>
      <c r="I143" s="1">
        <v>2012</v>
      </c>
      <c r="J143" s="15" t="s">
        <v>845</v>
      </c>
      <c r="K143" s="1"/>
      <c r="L143" s="15" t="s">
        <v>820</v>
      </c>
      <c r="M143" s="15" t="s">
        <v>480</v>
      </c>
      <c r="N143" s="15" t="s">
        <v>23</v>
      </c>
      <c r="O143" s="31">
        <v>2</v>
      </c>
      <c r="P143" s="15">
        <v>28.24</v>
      </c>
      <c r="Q143" s="15">
        <v>117.04</v>
      </c>
      <c r="U143" s="15" t="s">
        <v>807</v>
      </c>
      <c r="V143" s="31">
        <v>2</v>
      </c>
      <c r="W143" s="16"/>
      <c r="Y143" s="1"/>
      <c r="Z143" s="15">
        <v>4.05</v>
      </c>
      <c r="AA143" s="15" t="s">
        <v>574</v>
      </c>
      <c r="AB143" s="15">
        <f t="shared" si="127"/>
        <v>4.05</v>
      </c>
      <c r="AC143" s="1">
        <v>1</v>
      </c>
      <c r="AM143" s="1"/>
      <c r="AP143" s="15" t="s">
        <v>821</v>
      </c>
      <c r="AQ143" s="1">
        <v>1</v>
      </c>
      <c r="AR143" s="1">
        <v>3</v>
      </c>
      <c r="BP143" s="16"/>
      <c r="BQ143" s="16"/>
      <c r="BR143" s="16"/>
      <c r="BU143" s="16"/>
      <c r="CC143" s="15" t="s">
        <v>834</v>
      </c>
      <c r="CE143" s="15">
        <v>1</v>
      </c>
      <c r="CF143" s="15">
        <f t="shared" si="138"/>
        <v>22500</v>
      </c>
      <c r="CG143" s="15" t="s">
        <v>766</v>
      </c>
      <c r="CH143" s="15">
        <v>7.69</v>
      </c>
      <c r="CI143" s="15">
        <v>350</v>
      </c>
      <c r="CJ143" s="15">
        <v>152</v>
      </c>
      <c r="CK143" s="15">
        <v>425</v>
      </c>
      <c r="CL143" s="15">
        <v>16.5</v>
      </c>
      <c r="CM143" s="15">
        <v>3.3</v>
      </c>
      <c r="CW143" s="15">
        <v>40.299999999999997</v>
      </c>
      <c r="CY143" s="25">
        <f t="shared" si="139"/>
        <v>22500</v>
      </c>
      <c r="CZ143" s="25">
        <f t="shared" si="140"/>
        <v>28.846153846153843</v>
      </c>
      <c r="DA143" s="25">
        <f t="shared" si="141"/>
        <v>67500</v>
      </c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>
        <f t="shared" si="128"/>
        <v>4.05</v>
      </c>
      <c r="FL143" s="16">
        <f t="shared" si="129"/>
        <v>4.4400000000000004</v>
      </c>
      <c r="FM143" s="15">
        <v>4.05</v>
      </c>
      <c r="FN143" s="15">
        <f t="shared" si="142"/>
        <v>0.20250000000000001</v>
      </c>
      <c r="FO143" s="15">
        <f>FN143*SQRT(AR143)</f>
        <v>0.35074028853269767</v>
      </c>
      <c r="FP143" s="15">
        <v>4.4400000000000004</v>
      </c>
      <c r="FQ143" s="15">
        <f t="shared" si="143"/>
        <v>0.22200000000000003</v>
      </c>
      <c r="FR143" s="15">
        <f>FQ143*SQRT(AR143)</f>
        <v>0.38451527928029078</v>
      </c>
      <c r="FS143" s="15">
        <f t="shared" si="134"/>
        <v>1.0962962962962965</v>
      </c>
      <c r="FT143" s="15">
        <f t="shared" si="135"/>
        <v>0.39000000000000057</v>
      </c>
      <c r="FU143" s="15">
        <f t="shared" si="136"/>
        <v>9.1937495325685736E-2</v>
      </c>
      <c r="FV143" s="15">
        <f>((FR143*FR143)/(AR143*FP143*FP143)+(FO143*FO143)/(AR143*FM143*FM143))</f>
        <v>5.000000000000001E-3</v>
      </c>
      <c r="GT143" s="15">
        <f t="shared" si="144"/>
        <v>33.501006036217305</v>
      </c>
      <c r="GU143" s="15">
        <f t="shared" si="145"/>
        <v>1.6750503018108653</v>
      </c>
      <c r="GV143" s="15">
        <f>GU143*SQRT(AR143)</f>
        <v>2.9012722279700007</v>
      </c>
      <c r="GW143" s="15">
        <f>57.9*100/(57.9+47)</f>
        <v>55.195424213536697</v>
      </c>
      <c r="GX143" s="15">
        <f t="shared" si="146"/>
        <v>2.7597712106768348</v>
      </c>
      <c r="GY143" s="15">
        <f>GX143*SQRT(AR143)</f>
        <v>4.78006395415815</v>
      </c>
      <c r="GZ143" s="15">
        <f t="shared" si="147"/>
        <v>1.647575125172837</v>
      </c>
      <c r="HA143" s="15">
        <f t="shared" si="148"/>
        <v>21.694418177319392</v>
      </c>
      <c r="HB143" s="15">
        <f t="shared" si="149"/>
        <v>0.499304585852828</v>
      </c>
      <c r="HC143" s="15">
        <f>((GY143*GY143)/(AR143*GW143*GW143)+(GV143*GV143)/(AR143*GT143*GT143))</f>
        <v>4.9999999999999992E-3</v>
      </c>
      <c r="HY143" s="25">
        <f>CY143</f>
        <v>22500</v>
      </c>
      <c r="HZ143" s="25">
        <f>CZ143</f>
        <v>28.846153846153843</v>
      </c>
      <c r="IA143" s="25">
        <f>DA143</f>
        <v>67500</v>
      </c>
    </row>
    <row r="144" spans="1:235" s="15" customFormat="1" x14ac:dyDescent="0.25">
      <c r="A144" s="31">
        <v>142</v>
      </c>
      <c r="B144" s="1">
        <v>27</v>
      </c>
      <c r="C144" s="1">
        <v>28</v>
      </c>
      <c r="D144" s="15" t="s">
        <v>108</v>
      </c>
      <c r="E144" s="1">
        <v>2</v>
      </c>
      <c r="F144" s="15" t="s">
        <v>777</v>
      </c>
      <c r="G144" s="15" t="s">
        <v>843</v>
      </c>
      <c r="H144" s="15" t="s">
        <v>844</v>
      </c>
      <c r="I144" s="1">
        <v>2012</v>
      </c>
      <c r="J144" s="15" t="s">
        <v>845</v>
      </c>
      <c r="K144" s="1"/>
      <c r="L144" s="15" t="s">
        <v>820</v>
      </c>
      <c r="M144" s="15" t="s">
        <v>480</v>
      </c>
      <c r="N144" s="15" t="s">
        <v>23</v>
      </c>
      <c r="O144" s="31">
        <v>2</v>
      </c>
      <c r="P144" s="15">
        <v>28.24</v>
      </c>
      <c r="Q144" s="15">
        <v>117.04</v>
      </c>
      <c r="U144" s="15" t="s">
        <v>807</v>
      </c>
      <c r="V144" s="31">
        <v>2</v>
      </c>
      <c r="W144" s="16"/>
      <c r="Y144" s="1"/>
      <c r="Z144" s="15">
        <v>4.05</v>
      </c>
      <c r="AA144" s="15" t="s">
        <v>574</v>
      </c>
      <c r="AB144" s="15">
        <f t="shared" si="127"/>
        <v>4.05</v>
      </c>
      <c r="AC144" s="1">
        <v>1</v>
      </c>
      <c r="AM144" s="1"/>
      <c r="AP144" s="15" t="s">
        <v>821</v>
      </c>
      <c r="AQ144" s="1">
        <v>1</v>
      </c>
      <c r="AR144" s="1">
        <v>3</v>
      </c>
      <c r="BP144" s="16"/>
      <c r="BQ144" s="16"/>
      <c r="BR144" s="16"/>
      <c r="BU144" s="16"/>
      <c r="CC144" s="15" t="s">
        <v>848</v>
      </c>
      <c r="CE144" s="15">
        <v>1</v>
      </c>
      <c r="CF144" s="15">
        <f t="shared" si="138"/>
        <v>22500</v>
      </c>
      <c r="CG144" s="15" t="s">
        <v>766</v>
      </c>
      <c r="CH144" s="15">
        <v>6.43</v>
      </c>
      <c r="CI144" s="15">
        <v>350</v>
      </c>
      <c r="CJ144" s="15">
        <v>86</v>
      </c>
      <c r="CK144" s="15">
        <v>441</v>
      </c>
      <c r="CL144" s="15">
        <v>21.9</v>
      </c>
      <c r="CM144" s="15">
        <v>10.8</v>
      </c>
      <c r="CW144" s="15">
        <v>29.3</v>
      </c>
      <c r="CY144" s="25">
        <f t="shared" si="139"/>
        <v>22500</v>
      </c>
      <c r="CZ144" s="25">
        <f t="shared" si="140"/>
        <v>28.846153846153843</v>
      </c>
      <c r="DA144" s="25">
        <f t="shared" si="141"/>
        <v>67500</v>
      </c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>
        <f t="shared" si="128"/>
        <v>4.05</v>
      </c>
      <c r="FL144" s="16">
        <f t="shared" si="129"/>
        <v>4.4000000000000004</v>
      </c>
      <c r="FM144" s="15">
        <v>4.05</v>
      </c>
      <c r="FN144" s="15">
        <f t="shared" si="142"/>
        <v>0.20250000000000001</v>
      </c>
      <c r="FO144" s="15">
        <f>FN144*SQRT(AR144)</f>
        <v>0.35074028853269767</v>
      </c>
      <c r="FP144" s="15">
        <v>4.4000000000000004</v>
      </c>
      <c r="FQ144" s="15">
        <f t="shared" si="143"/>
        <v>0.22000000000000003</v>
      </c>
      <c r="FR144" s="15">
        <f>FQ144*SQRT(AR144)</f>
        <v>0.38105117766515301</v>
      </c>
      <c r="FS144" s="15">
        <f t="shared" si="134"/>
        <v>1.0864197530864199</v>
      </c>
      <c r="FT144" s="15">
        <f t="shared" si="135"/>
        <v>0.35000000000000053</v>
      </c>
      <c r="FU144" s="15">
        <f t="shared" si="136"/>
        <v>8.2887659805767733E-2</v>
      </c>
      <c r="FV144" s="15">
        <f>((FR144*FR144)/(AR144*FP144*FP144)+(FO144*FO144)/(AR144*FM144*FM144))</f>
        <v>5.0000000000000001E-3</v>
      </c>
      <c r="GT144" s="15">
        <f t="shared" si="144"/>
        <v>33.501006036217305</v>
      </c>
      <c r="GU144" s="15">
        <f t="shared" si="145"/>
        <v>1.6750503018108653</v>
      </c>
      <c r="GV144" s="15">
        <f>GU144*SQRT(AR144)</f>
        <v>2.9012722279700007</v>
      </c>
      <c r="GW144" s="15">
        <f>43.6*100/(43.6+57.48)</f>
        <v>43.134151167392169</v>
      </c>
      <c r="GX144" s="15">
        <f t="shared" si="146"/>
        <v>2.1567075583696087</v>
      </c>
      <c r="GY144" s="15">
        <f>GX144*SQRT(AR144)</f>
        <v>3.7355270681639823</v>
      </c>
      <c r="GZ144" s="15">
        <f t="shared" si="147"/>
        <v>1.2875479357473818</v>
      </c>
      <c r="HA144" s="15">
        <f t="shared" si="148"/>
        <v>9.6331451311748637</v>
      </c>
      <c r="HB144" s="15">
        <f t="shared" si="149"/>
        <v>0.25273958451112533</v>
      </c>
      <c r="HC144" s="15">
        <f>((GY144*GY144)/(AR144*GW144*GW144)+(GV144*GV144)/(AR144*GT144*GT144))</f>
        <v>4.9999999999999992E-3</v>
      </c>
      <c r="HY144" s="25">
        <f>CY144</f>
        <v>22500</v>
      </c>
      <c r="HZ144" s="25">
        <f>CZ144</f>
        <v>28.846153846153843</v>
      </c>
      <c r="IA144" s="25">
        <f>DA144</f>
        <v>67500</v>
      </c>
    </row>
    <row r="145" spans="1:235" s="15" customFormat="1" x14ac:dyDescent="0.25">
      <c r="A145" s="31">
        <v>143</v>
      </c>
      <c r="B145" s="1">
        <v>27</v>
      </c>
      <c r="C145" s="1">
        <v>28</v>
      </c>
      <c r="D145" s="15" t="s">
        <v>109</v>
      </c>
      <c r="E145" s="1">
        <v>2</v>
      </c>
      <c r="F145" s="15" t="s">
        <v>777</v>
      </c>
      <c r="G145" s="15" t="s">
        <v>843</v>
      </c>
      <c r="H145" s="15" t="s">
        <v>844</v>
      </c>
      <c r="I145" s="1">
        <v>2012</v>
      </c>
      <c r="J145" s="15" t="s">
        <v>845</v>
      </c>
      <c r="K145" s="1"/>
      <c r="L145" s="15" t="s">
        <v>820</v>
      </c>
      <c r="M145" s="15" t="s">
        <v>480</v>
      </c>
      <c r="N145" s="15" t="s">
        <v>23</v>
      </c>
      <c r="O145" s="31">
        <v>2</v>
      </c>
      <c r="P145" s="15">
        <v>28.24</v>
      </c>
      <c r="Q145" s="15">
        <v>117.04</v>
      </c>
      <c r="U145" s="15" t="s">
        <v>807</v>
      </c>
      <c r="V145" s="31">
        <v>2</v>
      </c>
      <c r="W145" s="16"/>
      <c r="Y145" s="1"/>
      <c r="Z145" s="15">
        <v>4.05</v>
      </c>
      <c r="AA145" s="15" t="s">
        <v>574</v>
      </c>
      <c r="AB145" s="15">
        <f t="shared" si="127"/>
        <v>4.05</v>
      </c>
      <c r="AC145" s="1">
        <v>1</v>
      </c>
      <c r="AM145" s="1"/>
      <c r="AP145" s="15" t="s">
        <v>821</v>
      </c>
      <c r="AQ145" s="1">
        <v>1</v>
      </c>
      <c r="AR145" s="1">
        <v>3</v>
      </c>
      <c r="BP145" s="16"/>
      <c r="BQ145" s="16"/>
      <c r="BR145" s="16"/>
      <c r="BU145" s="16"/>
      <c r="CC145" s="15" t="s">
        <v>849</v>
      </c>
      <c r="CE145" s="15">
        <v>1</v>
      </c>
      <c r="CF145" s="15">
        <f t="shared" si="138"/>
        <v>22500</v>
      </c>
      <c r="CG145" s="15" t="s">
        <v>766</v>
      </c>
      <c r="CH145" s="15">
        <v>9.24</v>
      </c>
      <c r="CI145" s="15">
        <v>350</v>
      </c>
      <c r="CJ145" s="15">
        <v>136</v>
      </c>
      <c r="CK145" s="15">
        <v>503</v>
      </c>
      <c r="CL145" s="15">
        <v>24.8</v>
      </c>
      <c r="CM145" s="15">
        <v>7.1</v>
      </c>
      <c r="CW145" s="15">
        <v>33.700000000000003</v>
      </c>
      <c r="CY145" s="25">
        <f t="shared" si="139"/>
        <v>22500</v>
      </c>
      <c r="CZ145" s="25">
        <f t="shared" si="140"/>
        <v>28.846153846153843</v>
      </c>
      <c r="DA145" s="25">
        <f t="shared" si="141"/>
        <v>67500</v>
      </c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>
        <f t="shared" si="128"/>
        <v>4.05</v>
      </c>
      <c r="FL145" s="16">
        <f t="shared" si="129"/>
        <v>4.37</v>
      </c>
      <c r="FM145" s="15">
        <v>4.05</v>
      </c>
      <c r="FN145" s="15">
        <f t="shared" si="142"/>
        <v>0.20250000000000001</v>
      </c>
      <c r="FO145" s="15">
        <f>FN145*SQRT(AR145)</f>
        <v>0.35074028853269767</v>
      </c>
      <c r="FP145" s="15">
        <v>4.37</v>
      </c>
      <c r="FQ145" s="15">
        <f t="shared" si="143"/>
        <v>0.21850000000000003</v>
      </c>
      <c r="FR145" s="15">
        <f>FQ145*SQRT(AR145)</f>
        <v>0.37845310145379973</v>
      </c>
      <c r="FS145" s="15">
        <f t="shared" si="134"/>
        <v>1.0790123456790124</v>
      </c>
      <c r="FT145" s="15">
        <f t="shared" si="135"/>
        <v>0.32000000000000028</v>
      </c>
      <c r="FU145" s="15">
        <f t="shared" si="136"/>
        <v>7.6046127989050971E-2</v>
      </c>
      <c r="FV145" s="15">
        <f>((FR145*FR145)/(AR145*FP145*FP145)+(FO145*FO145)/(AR145*FM145*FM145))</f>
        <v>5.000000000000001E-3</v>
      </c>
      <c r="GT145" s="15">
        <f t="shared" si="144"/>
        <v>33.501006036217305</v>
      </c>
      <c r="GU145" s="15">
        <f t="shared" si="145"/>
        <v>1.6750503018108653</v>
      </c>
      <c r="GV145" s="15">
        <f>GU145*SQRT(AR145)</f>
        <v>2.9012722279700007</v>
      </c>
      <c r="GW145" s="15">
        <f>60.6*100/(60.6+47.6)</f>
        <v>56.007393715341955</v>
      </c>
      <c r="GX145" s="15">
        <f t="shared" si="146"/>
        <v>2.8003696857670981</v>
      </c>
      <c r="GY145" s="15">
        <f>GX145*SQRT(AR145)</f>
        <v>4.8503825757243053</v>
      </c>
      <c r="GZ145" s="15">
        <f t="shared" si="147"/>
        <v>1.6718122928843815</v>
      </c>
      <c r="HA145" s="15">
        <f t="shared" si="148"/>
        <v>22.50638767912465</v>
      </c>
      <c r="HB145" s="15">
        <f t="shared" si="149"/>
        <v>0.51390824333901719</v>
      </c>
      <c r="HC145" s="15">
        <f>((GY145*GY145)/(AR145*GW145*GW145)+(GV145*GV145)/(AR145*GT145*GT145))</f>
        <v>5.0000000000000001E-3</v>
      </c>
      <c r="HY145" s="25">
        <f>CY145</f>
        <v>22500</v>
      </c>
      <c r="HZ145" s="25">
        <f>CZ145</f>
        <v>28.846153846153843</v>
      </c>
      <c r="IA145" s="25">
        <f>DA145</f>
        <v>67500</v>
      </c>
    </row>
    <row r="146" spans="1:235" s="15" customFormat="1" x14ac:dyDescent="0.25">
      <c r="A146" s="31">
        <v>144</v>
      </c>
      <c r="B146" s="1">
        <v>27</v>
      </c>
      <c r="C146" s="1">
        <v>28</v>
      </c>
      <c r="D146" s="15" t="s">
        <v>110</v>
      </c>
      <c r="E146" s="1">
        <v>2</v>
      </c>
      <c r="F146" s="15" t="s">
        <v>777</v>
      </c>
      <c r="G146" s="15" t="s">
        <v>843</v>
      </c>
      <c r="H146" s="15" t="s">
        <v>844</v>
      </c>
      <c r="I146" s="1">
        <v>2012</v>
      </c>
      <c r="J146" s="15" t="s">
        <v>845</v>
      </c>
      <c r="K146" s="1"/>
      <c r="L146" s="15" t="s">
        <v>820</v>
      </c>
      <c r="M146" s="15" t="s">
        <v>480</v>
      </c>
      <c r="N146" s="15" t="s">
        <v>23</v>
      </c>
      <c r="O146" s="31">
        <v>2</v>
      </c>
      <c r="P146" s="15">
        <v>28.24</v>
      </c>
      <c r="Q146" s="15">
        <v>117.04</v>
      </c>
      <c r="U146" s="15" t="s">
        <v>807</v>
      </c>
      <c r="V146" s="31">
        <v>2</v>
      </c>
      <c r="W146" s="16"/>
      <c r="Y146" s="1"/>
      <c r="Z146" s="15">
        <v>4.05</v>
      </c>
      <c r="AA146" s="15" t="s">
        <v>574</v>
      </c>
      <c r="AB146" s="15">
        <f t="shared" si="127"/>
        <v>4.05</v>
      </c>
      <c r="AC146" s="1">
        <v>1</v>
      </c>
      <c r="AM146" s="1"/>
      <c r="AP146" s="15" t="s">
        <v>821</v>
      </c>
      <c r="AQ146" s="1">
        <v>1</v>
      </c>
      <c r="AR146" s="1">
        <v>3</v>
      </c>
      <c r="BP146" s="16"/>
      <c r="BQ146" s="16"/>
      <c r="BR146" s="16"/>
      <c r="BU146" s="16"/>
      <c r="CC146" s="15" t="s">
        <v>850</v>
      </c>
      <c r="CE146" s="15">
        <v>1</v>
      </c>
      <c r="CF146" s="15">
        <f t="shared" si="138"/>
        <v>22500</v>
      </c>
      <c r="CG146" s="15" t="s">
        <v>766</v>
      </c>
      <c r="CH146" s="15">
        <v>9.02</v>
      </c>
      <c r="CI146" s="15">
        <v>350</v>
      </c>
      <c r="CJ146" s="15">
        <v>98</v>
      </c>
      <c r="CK146" s="15">
        <v>541</v>
      </c>
      <c r="CL146" s="15">
        <v>36.200000000000003</v>
      </c>
      <c r="CM146" s="15">
        <v>7.2</v>
      </c>
      <c r="CW146" s="15">
        <v>23.3</v>
      </c>
      <c r="CY146" s="25">
        <f t="shared" si="139"/>
        <v>22500</v>
      </c>
      <c r="CZ146" s="25">
        <f t="shared" si="140"/>
        <v>28.846153846153843</v>
      </c>
      <c r="DA146" s="25">
        <f t="shared" si="141"/>
        <v>67500</v>
      </c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>
        <f t="shared" si="128"/>
        <v>4.05</v>
      </c>
      <c r="FL146" s="16">
        <f t="shared" si="129"/>
        <v>4.74</v>
      </c>
      <c r="FM146" s="15">
        <v>4.05</v>
      </c>
      <c r="FN146" s="15">
        <f t="shared" si="142"/>
        <v>0.20250000000000001</v>
      </c>
      <c r="FO146" s="15">
        <f>FN146*SQRT(AR146)</f>
        <v>0.35074028853269767</v>
      </c>
      <c r="FP146" s="15">
        <v>4.74</v>
      </c>
      <c r="FQ146" s="15">
        <f t="shared" si="143"/>
        <v>0.23700000000000002</v>
      </c>
      <c r="FR146" s="15">
        <f>FQ146*SQRT(AR146)</f>
        <v>0.4104960413938239</v>
      </c>
      <c r="FS146" s="15">
        <f t="shared" si="134"/>
        <v>1.1703703703703705</v>
      </c>
      <c r="FT146" s="15">
        <f t="shared" si="135"/>
        <v>0.69000000000000039</v>
      </c>
      <c r="FU146" s="15">
        <f t="shared" si="136"/>
        <v>0.15732025458853727</v>
      </c>
      <c r="FV146" s="15">
        <f>((FR146*FR146)/(AR146*FP146*FP146)+(FO146*FO146)/(AR146*FM146*FM146))</f>
        <v>5.000000000000001E-3</v>
      </c>
      <c r="GT146" s="15">
        <f t="shared" si="144"/>
        <v>33.501006036217305</v>
      </c>
      <c r="GU146" s="15">
        <f t="shared" si="145"/>
        <v>1.6750503018108653</v>
      </c>
      <c r="GV146" s="15">
        <f>GU146*SQRT(AR146)</f>
        <v>2.9012722279700007</v>
      </c>
      <c r="GW146" s="15">
        <f>71*100/(71+25.1)</f>
        <v>73.881373569198757</v>
      </c>
      <c r="GX146" s="15">
        <f t="shared" si="146"/>
        <v>3.6940686784599381</v>
      </c>
      <c r="GY146" s="15">
        <f>GX146*SQRT(AR146)</f>
        <v>6.3983146377414304</v>
      </c>
      <c r="GZ146" s="15">
        <f t="shared" si="147"/>
        <v>2.2053479077412481</v>
      </c>
      <c r="HA146" s="15">
        <f t="shared" si="148"/>
        <v>40.380367532981452</v>
      </c>
      <c r="HB146" s="15">
        <f t="shared" si="149"/>
        <v>0.79088527774119832</v>
      </c>
      <c r="HC146" s="15">
        <f>((GY146*GY146)/(AR146*GW146*GW146)+(GV146*GV146)/(AR146*GT146*GT146))</f>
        <v>4.9999999999999992E-3</v>
      </c>
      <c r="HY146" s="25">
        <f>CY146</f>
        <v>22500</v>
      </c>
      <c r="HZ146" s="25">
        <f>CZ146</f>
        <v>28.846153846153843</v>
      </c>
      <c r="IA146" s="25">
        <f>DA146</f>
        <v>67500</v>
      </c>
    </row>
    <row r="147" spans="1:235" s="15" customFormat="1" x14ac:dyDescent="0.25">
      <c r="A147" s="31">
        <v>145</v>
      </c>
      <c r="B147" s="1">
        <v>27</v>
      </c>
      <c r="C147" s="1">
        <v>28</v>
      </c>
      <c r="D147" s="15" t="s">
        <v>111</v>
      </c>
      <c r="E147" s="1">
        <v>2</v>
      </c>
      <c r="F147" s="15" t="s">
        <v>777</v>
      </c>
      <c r="G147" s="15" t="s">
        <v>843</v>
      </c>
      <c r="H147" s="15" t="s">
        <v>844</v>
      </c>
      <c r="I147" s="1">
        <v>2012</v>
      </c>
      <c r="J147" s="15" t="s">
        <v>845</v>
      </c>
      <c r="K147" s="1"/>
      <c r="L147" s="15" t="s">
        <v>826</v>
      </c>
      <c r="M147" s="15" t="s">
        <v>480</v>
      </c>
      <c r="N147" s="15" t="s">
        <v>23</v>
      </c>
      <c r="O147" s="31">
        <v>2</v>
      </c>
      <c r="P147" s="15">
        <v>28.24</v>
      </c>
      <c r="Q147" s="15">
        <v>117.04</v>
      </c>
      <c r="U147" s="15" t="s">
        <v>807</v>
      </c>
      <c r="V147" s="31">
        <v>2</v>
      </c>
      <c r="W147" s="16"/>
      <c r="Y147" s="1"/>
      <c r="Z147" s="15">
        <v>4.05</v>
      </c>
      <c r="AA147" s="15" t="s">
        <v>574</v>
      </c>
      <c r="AB147" s="15">
        <f t="shared" si="127"/>
        <v>4.05</v>
      </c>
      <c r="AC147" s="1">
        <v>1</v>
      </c>
      <c r="AM147" s="1"/>
      <c r="AP147" s="15" t="s">
        <v>821</v>
      </c>
      <c r="AQ147" s="1">
        <v>1</v>
      </c>
      <c r="AR147" s="1">
        <v>3</v>
      </c>
      <c r="BP147" s="16"/>
      <c r="BQ147" s="16"/>
      <c r="BR147" s="16"/>
      <c r="BU147" s="16"/>
      <c r="CC147" s="15" t="s">
        <v>851</v>
      </c>
      <c r="CE147" s="15">
        <v>1</v>
      </c>
      <c r="CF147" s="15">
        <f t="shared" si="138"/>
        <v>22500</v>
      </c>
      <c r="CG147" s="15" t="s">
        <v>766</v>
      </c>
      <c r="CH147" s="15">
        <v>8.8800000000000008</v>
      </c>
      <c r="CI147" s="15">
        <v>350</v>
      </c>
      <c r="CJ147" s="15">
        <v>81</v>
      </c>
      <c r="CK147" s="15">
        <v>410</v>
      </c>
      <c r="CL147" s="15">
        <v>24.6</v>
      </c>
      <c r="CM147" s="15">
        <v>3.8</v>
      </c>
      <c r="CW147" s="15">
        <v>40.9</v>
      </c>
      <c r="CY147" s="25">
        <f t="shared" si="139"/>
        <v>22500</v>
      </c>
      <c r="CZ147" s="25">
        <f t="shared" si="140"/>
        <v>28.846153846153843</v>
      </c>
      <c r="DA147" s="25">
        <f t="shared" si="141"/>
        <v>67500</v>
      </c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>
        <f t="shared" si="128"/>
        <v>4.05</v>
      </c>
      <c r="FL147" s="16">
        <f t="shared" si="129"/>
        <v>4.87</v>
      </c>
      <c r="FM147" s="15">
        <v>4.05</v>
      </c>
      <c r="FN147" s="15">
        <f t="shared" si="142"/>
        <v>0.20250000000000001</v>
      </c>
      <c r="FO147" s="15">
        <f>FN147*SQRT(AR147)</f>
        <v>0.35074028853269767</v>
      </c>
      <c r="FP147" s="15">
        <v>4.87</v>
      </c>
      <c r="FQ147" s="15">
        <f t="shared" si="143"/>
        <v>0.24350000000000002</v>
      </c>
      <c r="FR147" s="15">
        <f>FQ147*SQRT(AR147)</f>
        <v>0.42175437164302165</v>
      </c>
      <c r="FS147" s="15">
        <f t="shared" si="134"/>
        <v>1.2024691358024693</v>
      </c>
      <c r="FT147" s="15">
        <f t="shared" si="135"/>
        <v>0.82000000000000028</v>
      </c>
      <c r="FU147" s="15">
        <f t="shared" si="136"/>
        <v>0.1843770559760507</v>
      </c>
      <c r="FV147" s="15">
        <f>((FR147*FR147)/(AR147*FP147*FP147)+(FO147*FO147)/(AR147*FM147*FM147))</f>
        <v>5.000000000000001E-3</v>
      </c>
      <c r="GT147" s="15">
        <f t="shared" si="144"/>
        <v>33.501006036217305</v>
      </c>
      <c r="GU147" s="15">
        <f t="shared" si="145"/>
        <v>1.6750503018108653</v>
      </c>
      <c r="GV147" s="15">
        <f>GU147*SQRT(AR147)</f>
        <v>2.9012722279700007</v>
      </c>
      <c r="GW147" s="15">
        <f>72.3*100/(27.9+72.3)</f>
        <v>72.155688622754496</v>
      </c>
      <c r="GX147" s="15">
        <f t="shared" si="146"/>
        <v>3.6077844311377252</v>
      </c>
      <c r="GY147" s="15">
        <f>GX147*SQRT(AR147)</f>
        <v>6.248865937486519</v>
      </c>
      <c r="GZ147" s="15">
        <f t="shared" si="147"/>
        <v>2.1538364712017408</v>
      </c>
      <c r="HA147" s="15">
        <f t="shared" si="148"/>
        <v>38.654682586537191</v>
      </c>
      <c r="HB147" s="15">
        <f t="shared" si="149"/>
        <v>0.76725065719008434</v>
      </c>
      <c r="HC147" s="15">
        <f>((GY147*GY147)/(AR147*GW147*GW147)+(GV147*GV147)/(AR147*GT147*GT147))</f>
        <v>4.9999999999999992E-3</v>
      </c>
      <c r="HY147" s="25">
        <f>CY147</f>
        <v>22500</v>
      </c>
      <c r="HZ147" s="25">
        <f>CZ147</f>
        <v>28.846153846153843</v>
      </c>
      <c r="IA147" s="25">
        <f>DA147</f>
        <v>67500</v>
      </c>
    </row>
    <row r="148" spans="1:235" s="15" customFormat="1" x14ac:dyDescent="0.25">
      <c r="A148" s="31">
        <v>146</v>
      </c>
      <c r="B148" s="1">
        <v>27</v>
      </c>
      <c r="C148" s="1">
        <v>28</v>
      </c>
      <c r="D148" s="15" t="s">
        <v>112</v>
      </c>
      <c r="E148" s="1">
        <v>2</v>
      </c>
      <c r="F148" s="15" t="s">
        <v>777</v>
      </c>
      <c r="G148" s="15" t="s">
        <v>843</v>
      </c>
      <c r="H148" s="15" t="s">
        <v>844</v>
      </c>
      <c r="I148" s="1">
        <v>2012</v>
      </c>
      <c r="J148" s="15" t="s">
        <v>845</v>
      </c>
      <c r="K148" s="1"/>
      <c r="L148" s="15" t="s">
        <v>826</v>
      </c>
      <c r="M148" s="15" t="s">
        <v>480</v>
      </c>
      <c r="N148" s="15" t="s">
        <v>23</v>
      </c>
      <c r="O148" s="31">
        <v>2</v>
      </c>
      <c r="P148" s="15">
        <v>28.24</v>
      </c>
      <c r="Q148" s="15">
        <v>117.04</v>
      </c>
      <c r="U148" s="15" t="s">
        <v>807</v>
      </c>
      <c r="V148" s="31">
        <v>2</v>
      </c>
      <c r="W148" s="16"/>
      <c r="Y148" s="1"/>
      <c r="Z148" s="15">
        <v>4.05</v>
      </c>
      <c r="AA148" s="15" t="s">
        <v>574</v>
      </c>
      <c r="AB148" s="15">
        <f t="shared" si="127"/>
        <v>4.05</v>
      </c>
      <c r="AC148" s="1">
        <v>1</v>
      </c>
      <c r="AM148" s="1"/>
      <c r="AP148" s="15" t="s">
        <v>821</v>
      </c>
      <c r="AQ148" s="1">
        <v>1</v>
      </c>
      <c r="AR148" s="1">
        <v>3</v>
      </c>
      <c r="BP148" s="16"/>
      <c r="BQ148" s="16"/>
      <c r="BR148" s="16"/>
      <c r="BU148" s="16"/>
      <c r="CC148" s="15" t="s">
        <v>852</v>
      </c>
      <c r="CE148" s="15">
        <v>1</v>
      </c>
      <c r="CF148" s="15">
        <f t="shared" si="138"/>
        <v>22500</v>
      </c>
      <c r="CG148" s="15" t="s">
        <v>766</v>
      </c>
      <c r="CH148" s="15">
        <v>10.33</v>
      </c>
      <c r="CI148" s="15">
        <v>350</v>
      </c>
      <c r="CJ148" s="15">
        <v>99</v>
      </c>
      <c r="CK148" s="15">
        <v>615</v>
      </c>
      <c r="CL148" s="15">
        <v>23.6</v>
      </c>
      <c r="CM148" s="15" t="s">
        <v>855</v>
      </c>
      <c r="CW148" s="15">
        <v>24.1</v>
      </c>
      <c r="CY148" s="25">
        <f t="shared" si="139"/>
        <v>22500</v>
      </c>
      <c r="CZ148" s="25">
        <f t="shared" si="140"/>
        <v>28.846153846153843</v>
      </c>
      <c r="DA148" s="25">
        <f t="shared" si="141"/>
        <v>67500</v>
      </c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>
        <f t="shared" si="128"/>
        <v>4.05</v>
      </c>
      <c r="FL148" s="16">
        <f t="shared" si="129"/>
        <v>4.7</v>
      </c>
      <c r="FM148" s="15">
        <v>4.05</v>
      </c>
      <c r="FN148" s="15">
        <f t="shared" si="142"/>
        <v>0.20250000000000001</v>
      </c>
      <c r="FO148" s="15">
        <f>FN148*SQRT(AR148)</f>
        <v>0.35074028853269767</v>
      </c>
      <c r="FP148" s="15">
        <v>4.7</v>
      </c>
      <c r="FQ148" s="15">
        <f t="shared" si="143"/>
        <v>0.23500000000000001</v>
      </c>
      <c r="FR148" s="15">
        <f>FQ148*SQRT(AR148)</f>
        <v>0.40703193977868618</v>
      </c>
      <c r="FS148" s="15">
        <f t="shared" si="134"/>
        <v>1.1604938271604939</v>
      </c>
      <c r="FT148" s="15">
        <f t="shared" si="135"/>
        <v>0.65000000000000036</v>
      </c>
      <c r="FU148" s="15">
        <f t="shared" si="136"/>
        <v>0.14884562759756514</v>
      </c>
      <c r="FV148" s="15">
        <f>((FR148*FR148)/(AR148*FP148*FP148)+(FO148*FO148)/(AR148*FM148*FM148))</f>
        <v>5.000000000000001E-3</v>
      </c>
      <c r="GT148" s="15">
        <f t="shared" si="144"/>
        <v>33.501006036217305</v>
      </c>
      <c r="GU148" s="15">
        <f t="shared" si="145"/>
        <v>1.6750503018108653</v>
      </c>
      <c r="GV148" s="15">
        <f>GU148*SQRT(AR148)</f>
        <v>2.9012722279700007</v>
      </c>
      <c r="GW148" s="15">
        <f>58.9*100/(58.9+38.3)</f>
        <v>60.596707818930049</v>
      </c>
      <c r="GX148" s="15">
        <f t="shared" si="146"/>
        <v>3.0298353909465026</v>
      </c>
      <c r="GY148" s="15">
        <f>GX148*SQRT(AR148)</f>
        <v>5.2478288356896545</v>
      </c>
      <c r="GZ148" s="15">
        <f t="shared" si="147"/>
        <v>1.8088026297902844</v>
      </c>
      <c r="HA148" s="15">
        <f t="shared" si="148"/>
        <v>27.095701782712744</v>
      </c>
      <c r="HB148" s="15">
        <f t="shared" si="149"/>
        <v>0.59266509586727789</v>
      </c>
      <c r="HC148" s="15">
        <f>((GY148*GY148)/(AR148*GW148*GW148)+(GV148*GV148)/(AR148*GT148*GT148))</f>
        <v>4.9999999999999992E-3</v>
      </c>
      <c r="HY148" s="25">
        <f>CY148</f>
        <v>22500</v>
      </c>
      <c r="HZ148" s="25">
        <f>CZ148</f>
        <v>28.846153846153843</v>
      </c>
      <c r="IA148" s="25">
        <f>DA148</f>
        <v>67500</v>
      </c>
    </row>
    <row r="149" spans="1:235" s="15" customFormat="1" x14ac:dyDescent="0.25">
      <c r="A149" s="31">
        <v>147</v>
      </c>
      <c r="B149" s="1">
        <v>27</v>
      </c>
      <c r="C149" s="1">
        <v>28</v>
      </c>
      <c r="D149" s="15" t="s">
        <v>113</v>
      </c>
      <c r="E149" s="1">
        <v>2</v>
      </c>
      <c r="F149" s="15" t="s">
        <v>777</v>
      </c>
      <c r="G149" s="15" t="s">
        <v>843</v>
      </c>
      <c r="H149" s="15" t="s">
        <v>844</v>
      </c>
      <c r="I149" s="1">
        <v>2012</v>
      </c>
      <c r="J149" s="15" t="s">
        <v>845</v>
      </c>
      <c r="K149" s="1"/>
      <c r="L149" s="15" t="s">
        <v>826</v>
      </c>
      <c r="M149" s="15" t="s">
        <v>480</v>
      </c>
      <c r="N149" s="15" t="s">
        <v>23</v>
      </c>
      <c r="O149" s="31">
        <v>2</v>
      </c>
      <c r="P149" s="15">
        <v>28.24</v>
      </c>
      <c r="Q149" s="15">
        <v>117.04</v>
      </c>
      <c r="U149" s="15" t="s">
        <v>807</v>
      </c>
      <c r="V149" s="31">
        <v>2</v>
      </c>
      <c r="W149" s="16"/>
      <c r="Y149" s="1"/>
      <c r="Z149" s="15">
        <v>4.05</v>
      </c>
      <c r="AA149" s="15" t="s">
        <v>574</v>
      </c>
      <c r="AB149" s="15">
        <f t="shared" si="127"/>
        <v>4.05</v>
      </c>
      <c r="AC149" s="1">
        <v>1</v>
      </c>
      <c r="AM149" s="1"/>
      <c r="AP149" s="15" t="s">
        <v>821</v>
      </c>
      <c r="AQ149" s="1">
        <v>1</v>
      </c>
      <c r="AR149" s="1">
        <v>3</v>
      </c>
      <c r="BP149" s="16"/>
      <c r="BQ149" s="16"/>
      <c r="BR149" s="16"/>
      <c r="BU149" s="16"/>
      <c r="CC149" s="15" t="s">
        <v>853</v>
      </c>
      <c r="CE149" s="15">
        <v>1</v>
      </c>
      <c r="CF149" s="15">
        <f t="shared" si="138"/>
        <v>22500</v>
      </c>
      <c r="CG149" s="15" t="s">
        <v>766</v>
      </c>
      <c r="CH149" s="15">
        <v>10.26</v>
      </c>
      <c r="CI149" s="15">
        <v>350</v>
      </c>
      <c r="CJ149" s="15">
        <v>104</v>
      </c>
      <c r="CK149" s="15">
        <v>533</v>
      </c>
      <c r="CL149" s="15">
        <v>40.299999999999997</v>
      </c>
      <c r="CM149" s="15">
        <v>16.600000000000001</v>
      </c>
      <c r="CW149" s="15">
        <v>29.8</v>
      </c>
      <c r="CY149" s="25">
        <f t="shared" si="139"/>
        <v>22500</v>
      </c>
      <c r="CZ149" s="25">
        <f t="shared" si="140"/>
        <v>28.846153846153843</v>
      </c>
      <c r="DA149" s="25">
        <f t="shared" si="141"/>
        <v>67500</v>
      </c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>
        <f t="shared" si="128"/>
        <v>4.05</v>
      </c>
      <c r="FL149" s="16">
        <f t="shared" si="129"/>
        <v>4.6100000000000003</v>
      </c>
      <c r="FM149" s="15">
        <v>4.05</v>
      </c>
      <c r="FN149" s="15">
        <f t="shared" si="142"/>
        <v>0.20250000000000001</v>
      </c>
      <c r="FO149" s="15">
        <f>FN149*SQRT(AR149)</f>
        <v>0.35074028853269767</v>
      </c>
      <c r="FP149" s="15">
        <v>4.6100000000000003</v>
      </c>
      <c r="FQ149" s="15">
        <f t="shared" si="143"/>
        <v>0.23050000000000004</v>
      </c>
      <c r="FR149" s="15">
        <f>FQ149*SQRT(AR149)</f>
        <v>0.39923771114462625</v>
      </c>
      <c r="FS149" s="15">
        <f t="shared" si="134"/>
        <v>1.1382716049382717</v>
      </c>
      <c r="FT149" s="15">
        <f t="shared" si="135"/>
        <v>0.5600000000000005</v>
      </c>
      <c r="FU149" s="15">
        <f t="shared" si="136"/>
        <v>0.1295109758901094</v>
      </c>
      <c r="FV149" s="15">
        <f>((FR149*FR149)/(AR149*FP149*FP149)+(FO149*FO149)/(AR149*FM149*FM149))</f>
        <v>5.000000000000001E-3</v>
      </c>
      <c r="GT149" s="15">
        <f t="shared" si="144"/>
        <v>33.501006036217305</v>
      </c>
      <c r="GU149" s="15">
        <f t="shared" si="145"/>
        <v>1.6750503018108653</v>
      </c>
      <c r="GV149" s="15">
        <f>GU149*SQRT(AR149)</f>
        <v>2.9012722279700007</v>
      </c>
      <c r="GW149" s="15">
        <f>70*100/(70+31.2)</f>
        <v>69.169960474308297</v>
      </c>
      <c r="GX149" s="15">
        <f t="shared" si="146"/>
        <v>3.458498023715415</v>
      </c>
      <c r="GY149" s="15">
        <f>GX149*SQRT(AR149)</f>
        <v>5.9902942949516502</v>
      </c>
      <c r="GZ149" s="15">
        <f t="shared" si="147"/>
        <v>2.0647129342781514</v>
      </c>
      <c r="HA149" s="15">
        <f t="shared" si="148"/>
        <v>35.668954438090992</v>
      </c>
      <c r="HB149" s="15">
        <f t="shared" si="149"/>
        <v>0.72499120187212363</v>
      </c>
      <c r="HC149" s="15">
        <f>((GY149*GY149)/(AR149*GW149*GW149)+(GV149*GV149)/(AR149*GT149*GT149))</f>
        <v>5.0000000000000001E-3</v>
      </c>
      <c r="HY149" s="25">
        <f>CY149</f>
        <v>22500</v>
      </c>
      <c r="HZ149" s="25">
        <f>CZ149</f>
        <v>28.846153846153843</v>
      </c>
      <c r="IA149" s="25">
        <f>DA149</f>
        <v>67500</v>
      </c>
    </row>
    <row r="150" spans="1:235" s="15" customFormat="1" x14ac:dyDescent="0.25">
      <c r="A150" s="31">
        <v>148</v>
      </c>
      <c r="B150" s="1">
        <v>27</v>
      </c>
      <c r="C150" s="1">
        <v>28</v>
      </c>
      <c r="D150" s="15" t="s">
        <v>114</v>
      </c>
      <c r="E150" s="1">
        <v>2</v>
      </c>
      <c r="F150" s="15" t="s">
        <v>777</v>
      </c>
      <c r="G150" s="15" t="s">
        <v>843</v>
      </c>
      <c r="H150" s="15" t="s">
        <v>844</v>
      </c>
      <c r="I150" s="1">
        <v>2012</v>
      </c>
      <c r="J150" s="15" t="s">
        <v>845</v>
      </c>
      <c r="K150" s="1"/>
      <c r="L150" s="15" t="s">
        <v>826</v>
      </c>
      <c r="M150" s="15" t="s">
        <v>480</v>
      </c>
      <c r="N150" s="15" t="s">
        <v>23</v>
      </c>
      <c r="O150" s="31">
        <v>2</v>
      </c>
      <c r="P150" s="15">
        <v>28.24</v>
      </c>
      <c r="Q150" s="15">
        <v>117.04</v>
      </c>
      <c r="U150" s="15" t="s">
        <v>807</v>
      </c>
      <c r="V150" s="31">
        <v>2</v>
      </c>
      <c r="W150" s="16"/>
      <c r="Y150" s="1"/>
      <c r="Z150" s="15">
        <v>4.05</v>
      </c>
      <c r="AA150" s="15" t="s">
        <v>574</v>
      </c>
      <c r="AB150" s="15">
        <f t="shared" si="127"/>
        <v>4.05</v>
      </c>
      <c r="AC150" s="1">
        <v>1</v>
      </c>
      <c r="AM150" s="1"/>
      <c r="AP150" s="15" t="s">
        <v>874</v>
      </c>
      <c r="AQ150" s="1">
        <v>1</v>
      </c>
      <c r="AR150" s="1">
        <v>3</v>
      </c>
      <c r="BP150" s="16"/>
      <c r="BQ150" s="16"/>
      <c r="BR150" s="16"/>
      <c r="BU150" s="16"/>
      <c r="CC150" s="15" t="s">
        <v>854</v>
      </c>
      <c r="CE150" s="15">
        <v>1</v>
      </c>
      <c r="CF150" s="15">
        <f t="shared" si="138"/>
        <v>22500</v>
      </c>
      <c r="CG150" s="15" t="s">
        <v>766</v>
      </c>
      <c r="CH150" s="15">
        <v>10.35</v>
      </c>
      <c r="CI150" s="15">
        <v>350</v>
      </c>
      <c r="CJ150" s="15">
        <v>91</v>
      </c>
      <c r="CK150" s="15">
        <v>512</v>
      </c>
      <c r="CL150" s="15">
        <v>15.6</v>
      </c>
      <c r="CM150" s="15">
        <v>4.9000000000000004</v>
      </c>
      <c r="CW150" s="15">
        <v>33.299999999999997</v>
      </c>
      <c r="CY150" s="25">
        <f t="shared" si="139"/>
        <v>22500</v>
      </c>
      <c r="CZ150" s="25">
        <f t="shared" si="140"/>
        <v>28.846153846153843</v>
      </c>
      <c r="DA150" s="25">
        <f t="shared" si="141"/>
        <v>67500</v>
      </c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>
        <f t="shared" si="128"/>
        <v>4.05</v>
      </c>
      <c r="FL150" s="16">
        <f t="shared" si="129"/>
        <v>4.88</v>
      </c>
      <c r="FM150" s="15">
        <v>4.05</v>
      </c>
      <c r="FN150" s="15">
        <f t="shared" si="142"/>
        <v>0.20250000000000001</v>
      </c>
      <c r="FO150" s="15">
        <f>FN150*SQRT(AR150)</f>
        <v>0.35074028853269767</v>
      </c>
      <c r="FP150" s="15">
        <v>4.88</v>
      </c>
      <c r="FQ150" s="15">
        <f t="shared" si="143"/>
        <v>0.24399999999999999</v>
      </c>
      <c r="FR150" s="15">
        <f>FQ150*SQRT(AR150)</f>
        <v>0.42262039704680604</v>
      </c>
      <c r="FS150" s="15">
        <f t="shared" si="134"/>
        <v>1.2049382716049384</v>
      </c>
      <c r="FT150" s="15">
        <f t="shared" si="135"/>
        <v>0.83000000000000007</v>
      </c>
      <c r="FU150" s="15">
        <f t="shared" si="136"/>
        <v>0.18642833874660791</v>
      </c>
      <c r="FV150" s="15">
        <f>((FR150*FR150)/(AR150*FP150*FP150)+(FO150*FO150)/(AR150*FM150*FM150))</f>
        <v>5.000000000000001E-3</v>
      </c>
      <c r="GT150" s="15">
        <f t="shared" si="144"/>
        <v>33.501006036217305</v>
      </c>
      <c r="GU150" s="15">
        <f t="shared" si="145"/>
        <v>1.6750503018108653</v>
      </c>
      <c r="GV150" s="15">
        <f>GU150*SQRT(AR150)</f>
        <v>2.9012722279700007</v>
      </c>
      <c r="GW150" s="15">
        <f>71*100/(71+24.7)</f>
        <v>74.190177638453491</v>
      </c>
      <c r="GX150" s="15">
        <f t="shared" si="146"/>
        <v>3.7095088819226749</v>
      </c>
      <c r="GY150" s="15">
        <f>GX150*SQRT(AR150)</f>
        <v>6.4250578546180916</v>
      </c>
      <c r="GZ150" s="15">
        <f t="shared" si="147"/>
        <v>2.2145656628415247</v>
      </c>
      <c r="HA150" s="15">
        <f t="shared" si="148"/>
        <v>40.689171602236186</v>
      </c>
      <c r="HB150" s="15">
        <f t="shared" si="149"/>
        <v>0.79505629525853649</v>
      </c>
      <c r="HC150" s="15">
        <f>((GY150*GY150)/(AR150*GW150*GW150)+(GV150*GV150)/(AR150*GT150*GT150))</f>
        <v>4.9999999999999992E-3</v>
      </c>
      <c r="HY150" s="25">
        <f>CY150</f>
        <v>22500</v>
      </c>
      <c r="HZ150" s="25">
        <f>CZ150</f>
        <v>28.846153846153843</v>
      </c>
      <c r="IA150" s="25">
        <f>DA150</f>
        <v>67500</v>
      </c>
    </row>
    <row r="151" spans="1:235" s="15" customFormat="1" ht="14.4" x14ac:dyDescent="0.25">
      <c r="A151" s="31">
        <v>149</v>
      </c>
      <c r="B151" s="1">
        <v>28</v>
      </c>
      <c r="C151" s="1">
        <v>29</v>
      </c>
      <c r="D151" s="15" t="s">
        <v>115</v>
      </c>
      <c r="E151" s="1">
        <v>5</v>
      </c>
      <c r="F151" s="15" t="s">
        <v>798</v>
      </c>
      <c r="G151" s="15" t="s">
        <v>856</v>
      </c>
      <c r="H151" s="15" t="s">
        <v>857</v>
      </c>
      <c r="I151" s="1">
        <v>2020</v>
      </c>
      <c r="J151" s="15" t="s">
        <v>858</v>
      </c>
      <c r="K151" s="1">
        <v>2018</v>
      </c>
      <c r="L151" s="15" t="s">
        <v>859</v>
      </c>
      <c r="M151" s="15" t="s">
        <v>480</v>
      </c>
      <c r="N151" s="15" t="s">
        <v>23</v>
      </c>
      <c r="O151" s="31">
        <v>2</v>
      </c>
      <c r="P151" s="15">
        <v>29.76</v>
      </c>
      <c r="Q151" s="15">
        <v>121.12</v>
      </c>
      <c r="U151" s="15" t="s">
        <v>807</v>
      </c>
      <c r="V151" s="31">
        <v>2</v>
      </c>
      <c r="W151" s="16"/>
      <c r="X151" s="15" t="s">
        <v>689</v>
      </c>
      <c r="Y151" s="1">
        <v>1</v>
      </c>
      <c r="AC151" s="1"/>
      <c r="AP151" s="15">
        <v>3</v>
      </c>
      <c r="AQ151" s="1"/>
      <c r="AR151" s="1">
        <v>3</v>
      </c>
      <c r="BP151" s="16"/>
      <c r="BQ151" s="16"/>
      <c r="BR151" s="16"/>
      <c r="BU151" s="16"/>
      <c r="DB151" s="15" t="s">
        <v>835</v>
      </c>
      <c r="DD151" s="15">
        <v>1</v>
      </c>
      <c r="DE151" s="15">
        <f>DD151*22500</f>
        <v>22500</v>
      </c>
      <c r="DF151" s="15" t="s">
        <v>766</v>
      </c>
      <c r="DI151" s="15">
        <v>8.93</v>
      </c>
      <c r="DJ151" s="15">
        <v>289.05</v>
      </c>
      <c r="DK151" s="15">
        <f>DJ151*1.09/37.79</f>
        <v>8.33724530299021</v>
      </c>
      <c r="DP151" s="15">
        <f>DJ151*0.11/37.79</f>
        <v>0.84137337920084687</v>
      </c>
      <c r="DS151" s="15">
        <f>DE151</f>
        <v>22500</v>
      </c>
      <c r="DT151" s="15">
        <f>DS151/0.6/1000</f>
        <v>37.5</v>
      </c>
      <c r="DU151" s="15">
        <f>DS151*0.2</f>
        <v>4500</v>
      </c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5">
        <v>4.82</v>
      </c>
      <c r="FN151" s="15">
        <v>0.06</v>
      </c>
      <c r="FO151" s="15">
        <f>FN151*SQRT(AR151)</f>
        <v>0.10392304845413262</v>
      </c>
      <c r="FP151" s="15">
        <v>5.05</v>
      </c>
      <c r="FQ151" s="15">
        <f>5.11-FP151</f>
        <v>6.0000000000000497E-2</v>
      </c>
      <c r="FR151" s="15">
        <f>FQ151*SQRT(AR151)</f>
        <v>0.1039230484541335</v>
      </c>
      <c r="FS151" s="15">
        <f t="shared" si="134"/>
        <v>1.0477178423236513</v>
      </c>
      <c r="FT151" s="15">
        <f t="shared" si="135"/>
        <v>0.22999999999999954</v>
      </c>
      <c r="FU151" s="15">
        <f t="shared" si="136"/>
        <v>4.661431522475934E-2</v>
      </c>
      <c r="FV151" s="15">
        <f>((FR151*FR151)/(AR151*FP151*FP151)+(FO151*FO151)/(AR151*FM151*FM151))</f>
        <v>2.9611864082517553E-4</v>
      </c>
      <c r="FX151" s="15">
        <v>12.67</v>
      </c>
      <c r="FY151" s="15">
        <v>0.6</v>
      </c>
      <c r="FZ151" s="15">
        <f>FY151*SQRT(AR151)</f>
        <v>1.0392304845413263</v>
      </c>
      <c r="GA151" s="15">
        <v>16.05</v>
      </c>
      <c r="GB151" s="15">
        <v>1</v>
      </c>
      <c r="GC151" s="15">
        <f>GB151*SQRT(AR151)</f>
        <v>1.7320508075688772</v>
      </c>
      <c r="GD151" s="15">
        <f t="shared" ref="GD151:GD156" si="150">GA151/FX151</f>
        <v>1.2667719021310182</v>
      </c>
      <c r="GE151" s="15">
        <f t="shared" ref="GE151:GE156" si="151">GA151-FX151</f>
        <v>3.3800000000000008</v>
      </c>
      <c r="GF151" s="15">
        <f t="shared" ref="GF151:GF156" si="152">LN(GA151)-LN(FX151)</f>
        <v>0.2364718552429772</v>
      </c>
      <c r="GG151" s="15">
        <f>((GC151*GC151)/(AR151*GA151*GA151)+(FZ151*FZ151)/(AR151*FX151*FX151))</f>
        <v>6.1245367522842729E-3</v>
      </c>
      <c r="GI151" s="15">
        <v>7.27</v>
      </c>
      <c r="GJ151" s="15">
        <v>0.39</v>
      </c>
      <c r="GK151" s="15">
        <f>GJ151*SQRT(AR151)</f>
        <v>0.67549981495186218</v>
      </c>
      <c r="GL151" s="15">
        <v>7.34</v>
      </c>
      <c r="GM151" s="15">
        <v>0.03</v>
      </c>
      <c r="GN151" s="15">
        <f>GM151*SQRT(AR151)</f>
        <v>5.1961524227066312E-2</v>
      </c>
      <c r="GO151" s="15">
        <f t="shared" ref="GO151:GO165" si="153">GL151/GI151</f>
        <v>1.0096286107290233</v>
      </c>
      <c r="GP151" s="15">
        <f t="shared" ref="GP151:GP165" si="154">GL151-GI151</f>
        <v>7.0000000000000284E-2</v>
      </c>
      <c r="GQ151" s="15">
        <f t="shared" ref="GQ151:GQ165" si="155">LN(GL151)-LN(GI151)</f>
        <v>9.582551080996371E-3</v>
      </c>
      <c r="GR151" s="15">
        <f>((GN151*GN151)/(AR151*GL151*GL151)+(GK151*GK151)/(AR151*GI151*GI151))</f>
        <v>2.89450371961998E-3</v>
      </c>
      <c r="HY151" s="15">
        <f>DS151</f>
        <v>22500</v>
      </c>
      <c r="HZ151" s="15">
        <f>DT151</f>
        <v>37.5</v>
      </c>
      <c r="IA151" s="15">
        <f>DU151</f>
        <v>4500</v>
      </c>
    </row>
    <row r="152" spans="1:235" s="15" customFormat="1" ht="14.4" x14ac:dyDescent="0.25">
      <c r="A152" s="31">
        <v>150</v>
      </c>
      <c r="B152" s="1">
        <v>28</v>
      </c>
      <c r="C152" s="1">
        <v>29</v>
      </c>
      <c r="D152" s="15" t="s">
        <v>116</v>
      </c>
      <c r="E152" s="1">
        <v>2</v>
      </c>
      <c r="F152" s="15" t="s">
        <v>777</v>
      </c>
      <c r="G152" s="15" t="s">
        <v>856</v>
      </c>
      <c r="H152" s="15" t="s">
        <v>857</v>
      </c>
      <c r="I152" s="1">
        <v>2020</v>
      </c>
      <c r="J152" s="15" t="s">
        <v>858</v>
      </c>
      <c r="K152" s="1">
        <v>2018</v>
      </c>
      <c r="L152" s="15" t="s">
        <v>859</v>
      </c>
      <c r="M152" s="15" t="s">
        <v>480</v>
      </c>
      <c r="N152" s="15" t="s">
        <v>23</v>
      </c>
      <c r="O152" s="31">
        <v>2</v>
      </c>
      <c r="P152" s="15">
        <v>29.76</v>
      </c>
      <c r="Q152" s="15">
        <v>121.12</v>
      </c>
      <c r="U152" s="15" t="s">
        <v>807</v>
      </c>
      <c r="V152" s="31">
        <v>2</v>
      </c>
      <c r="W152" s="16"/>
      <c r="X152" s="15" t="s">
        <v>689</v>
      </c>
      <c r="Y152" s="1">
        <v>1</v>
      </c>
      <c r="AC152" s="1"/>
      <c r="AP152" s="15">
        <v>3</v>
      </c>
      <c r="AQ152" s="1"/>
      <c r="AR152" s="1">
        <v>3</v>
      </c>
      <c r="BP152" s="16"/>
      <c r="BQ152" s="16"/>
      <c r="BR152" s="16"/>
      <c r="BU152" s="16"/>
      <c r="CC152" s="15" t="s">
        <v>835</v>
      </c>
      <c r="CE152" s="15">
        <v>0.41</v>
      </c>
      <c r="CF152" s="15">
        <f>CE152*22500</f>
        <v>9225</v>
      </c>
      <c r="CG152" s="15" t="s">
        <v>766</v>
      </c>
      <c r="CH152" s="15">
        <v>9.94</v>
      </c>
      <c r="CI152" s="15">
        <v>350</v>
      </c>
      <c r="CK152" s="15">
        <v>420.08</v>
      </c>
      <c r="CL152" s="15">
        <f>CK152*0.91/48.71</f>
        <v>7.8479326626975983</v>
      </c>
      <c r="CT152" s="15">
        <f>CK152*0.26/48.71</f>
        <v>2.2422664750564563</v>
      </c>
      <c r="CY152" s="25">
        <f>CF152</f>
        <v>9225</v>
      </c>
      <c r="CZ152" s="25">
        <f>CY152/0.78/1000</f>
        <v>11.826923076923077</v>
      </c>
      <c r="DA152" s="25">
        <f>CY152*3</f>
        <v>27675</v>
      </c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5">
        <v>4.82</v>
      </c>
      <c r="FN152" s="15">
        <v>0.06</v>
      </c>
      <c r="FO152" s="15">
        <f>FN152*SQRT(AR152)</f>
        <v>0.10392304845413262</v>
      </c>
      <c r="FP152" s="15">
        <v>5.12</v>
      </c>
      <c r="FQ152" s="15">
        <v>0.1</v>
      </c>
      <c r="FR152" s="15">
        <f>FQ152*SQRT(AR152)</f>
        <v>0.17320508075688773</v>
      </c>
      <c r="FS152" s="15">
        <f t="shared" si="134"/>
        <v>1.0622406639004149</v>
      </c>
      <c r="FT152" s="15">
        <f t="shared" si="135"/>
        <v>0.29999999999999982</v>
      </c>
      <c r="FU152" s="15">
        <f t="shared" si="136"/>
        <v>6.0380510988907288E-2</v>
      </c>
      <c r="FV152" s="15">
        <f>((FR152*FR152)/(AR152*FP152*FP152)+(FO152*FO152)/(AR152*FM152*FM152))</f>
        <v>5.3642573627307657E-4</v>
      </c>
      <c r="FX152" s="15">
        <v>12.67</v>
      </c>
      <c r="FY152" s="15">
        <v>0.6</v>
      </c>
      <c r="FZ152" s="15">
        <f>FY152*SQRT(AR152)</f>
        <v>1.0392304845413263</v>
      </c>
      <c r="GA152" s="15">
        <v>18.059999999999999</v>
      </c>
      <c r="GB152" s="15">
        <v>1.27</v>
      </c>
      <c r="GC152" s="15">
        <f>GB152*SQRT(AR152)</f>
        <v>2.1997045256124741</v>
      </c>
      <c r="GD152" s="15">
        <f t="shared" si="150"/>
        <v>1.4254143646408839</v>
      </c>
      <c r="GE152" s="15">
        <f t="shared" si="151"/>
        <v>5.3899999999999988</v>
      </c>
      <c r="GF152" s="15">
        <f t="shared" si="152"/>
        <v>0.35446255365579171</v>
      </c>
      <c r="GG152" s="15">
        <f>((GC152*GC152)/(AR152*GA152*GA152)+(FZ152*FZ152)/(AR152*FX152*FX152))</f>
        <v>7.1876512275828672E-3</v>
      </c>
      <c r="GI152" s="15">
        <v>7.27</v>
      </c>
      <c r="GJ152" s="15">
        <v>0.39</v>
      </c>
      <c r="GK152" s="15">
        <f>GJ152*SQRT(AR152)</f>
        <v>0.67549981495186218</v>
      </c>
      <c r="GL152" s="15">
        <v>9.7200000000000006</v>
      </c>
      <c r="GM152" s="15">
        <v>0.1</v>
      </c>
      <c r="GN152" s="15">
        <f>GM152*SQRT(AR152)</f>
        <v>0.17320508075688773</v>
      </c>
      <c r="GO152" s="15">
        <f t="shared" si="153"/>
        <v>1.3370013755158185</v>
      </c>
      <c r="GP152" s="15">
        <f t="shared" si="154"/>
        <v>2.4500000000000011</v>
      </c>
      <c r="GQ152" s="15">
        <f t="shared" si="155"/>
        <v>0.29042932692691981</v>
      </c>
      <c r="GR152" s="15">
        <f>((GN152*GN152)/(AR152*GL152*GL152)+(GK152*GK152)/(AR152*GI152*GI152))</f>
        <v>2.9836428680391929E-3</v>
      </c>
      <c r="HY152" s="25">
        <f>CY152</f>
        <v>9225</v>
      </c>
      <c r="HZ152" s="25">
        <f>CZ152</f>
        <v>11.826923076923077</v>
      </c>
      <c r="IA152" s="25">
        <f>DA152</f>
        <v>27675</v>
      </c>
    </row>
    <row r="153" spans="1:235" s="15" customFormat="1" ht="14.4" x14ac:dyDescent="0.25">
      <c r="A153" s="31">
        <v>151</v>
      </c>
      <c r="B153" s="1">
        <v>28</v>
      </c>
      <c r="C153" s="1">
        <v>29</v>
      </c>
      <c r="D153" s="15" t="s">
        <v>117</v>
      </c>
      <c r="E153" s="1">
        <v>2</v>
      </c>
      <c r="F153" s="15" t="s">
        <v>777</v>
      </c>
      <c r="G153" s="15" t="s">
        <v>856</v>
      </c>
      <c r="H153" s="15" t="s">
        <v>857</v>
      </c>
      <c r="I153" s="1">
        <v>2020</v>
      </c>
      <c r="J153" s="15" t="s">
        <v>858</v>
      </c>
      <c r="K153" s="1">
        <v>2018</v>
      </c>
      <c r="L153" s="15" t="s">
        <v>859</v>
      </c>
      <c r="M153" s="15" t="s">
        <v>480</v>
      </c>
      <c r="N153" s="15" t="s">
        <v>23</v>
      </c>
      <c r="O153" s="31">
        <v>2</v>
      </c>
      <c r="P153" s="15">
        <v>29.76</v>
      </c>
      <c r="Q153" s="15">
        <v>121.12</v>
      </c>
      <c r="U153" s="15" t="s">
        <v>807</v>
      </c>
      <c r="V153" s="31">
        <v>2</v>
      </c>
      <c r="W153" s="16"/>
      <c r="X153" s="15" t="s">
        <v>689</v>
      </c>
      <c r="Y153" s="1">
        <v>1</v>
      </c>
      <c r="AC153" s="1"/>
      <c r="AP153" s="15">
        <v>3</v>
      </c>
      <c r="AQ153" s="1"/>
      <c r="AR153" s="1">
        <v>3</v>
      </c>
      <c r="BP153" s="16"/>
      <c r="BQ153" s="16"/>
      <c r="BR153" s="16"/>
      <c r="BU153" s="16"/>
      <c r="CC153" s="15" t="s">
        <v>835</v>
      </c>
      <c r="CE153" s="15">
        <v>0.31</v>
      </c>
      <c r="CF153" s="15">
        <f>CE153*22500</f>
        <v>6975</v>
      </c>
      <c r="CG153" s="15" t="s">
        <v>766</v>
      </c>
      <c r="CH153" s="15">
        <v>11.11</v>
      </c>
      <c r="CI153" s="15">
        <v>500</v>
      </c>
      <c r="CK153" s="15">
        <v>422.83</v>
      </c>
      <c r="CL153" s="15">
        <f>CK153*0.77/48.53</f>
        <v>6.7088213476200282</v>
      </c>
      <c r="CT153" s="15">
        <f>CK153*0.24/48.53</f>
        <v>2.0910611992581907</v>
      </c>
      <c r="CY153" s="25">
        <f>CF153</f>
        <v>6975</v>
      </c>
      <c r="CZ153" s="25">
        <f>CY153/0.78/1000</f>
        <v>8.9423076923076916</v>
      </c>
      <c r="DA153" s="25">
        <f>CY153*3</f>
        <v>20925</v>
      </c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5">
        <v>4.82</v>
      </c>
      <c r="FN153" s="15">
        <v>0.06</v>
      </c>
      <c r="FO153" s="15">
        <f>FN153*SQRT(AR153)</f>
        <v>0.10392304845413262</v>
      </c>
      <c r="FP153" s="15">
        <v>5.03</v>
      </c>
      <c r="FQ153" s="15">
        <v>0.1</v>
      </c>
      <c r="FR153" s="15">
        <f>FQ153*SQRT(AR153)</f>
        <v>0.17320508075688773</v>
      </c>
      <c r="FS153" s="15">
        <f t="shared" si="134"/>
        <v>1.0435684647302905</v>
      </c>
      <c r="FT153" s="15">
        <f t="shared" si="135"/>
        <v>0.20999999999999996</v>
      </c>
      <c r="FU153" s="15">
        <f t="shared" si="136"/>
        <v>4.2646056049138847E-2</v>
      </c>
      <c r="FV153" s="15">
        <f>((FR153*FR153)/(AR153*FP153*FP153)+(FO153*FO153)/(AR153*FM153*FM153))</f>
        <v>5.5019886668404377E-4</v>
      </c>
      <c r="FX153" s="15">
        <v>12.67</v>
      </c>
      <c r="FY153" s="15">
        <v>0.6</v>
      </c>
      <c r="FZ153" s="15">
        <f>FY153*SQRT(AR153)</f>
        <v>1.0392304845413263</v>
      </c>
      <c r="GA153" s="15">
        <v>20.03</v>
      </c>
      <c r="GB153" s="15">
        <v>2</v>
      </c>
      <c r="GC153" s="15">
        <f>GB153*SQRT(AR153)</f>
        <v>3.4641016151377544</v>
      </c>
      <c r="GD153" s="15">
        <f t="shared" si="150"/>
        <v>1.5808997632202053</v>
      </c>
      <c r="GE153" s="15">
        <f t="shared" si="151"/>
        <v>7.3600000000000012</v>
      </c>
      <c r="GF153" s="15">
        <f t="shared" si="152"/>
        <v>0.45799415534467913</v>
      </c>
      <c r="GG153" s="15">
        <f>((GC153*GC153)/(AR153*GA153*GA153)+(FZ153*FZ153)/(AR153*FX153*FX153))</f>
        <v>1.2212654214100446E-2</v>
      </c>
      <c r="GI153" s="15">
        <v>7.27</v>
      </c>
      <c r="GJ153" s="15">
        <v>0.39</v>
      </c>
      <c r="GK153" s="15">
        <f>GJ153*SQRT(AR153)</f>
        <v>0.67549981495186218</v>
      </c>
      <c r="GL153" s="15">
        <v>10.97</v>
      </c>
      <c r="GM153" s="15">
        <v>0.04</v>
      </c>
      <c r="GN153" s="15">
        <f>GM153*SQRT(AR153)</f>
        <v>6.9282032302755092E-2</v>
      </c>
      <c r="GO153" s="15">
        <f t="shared" si="153"/>
        <v>1.5089408528198076</v>
      </c>
      <c r="GP153" s="15">
        <f t="shared" si="154"/>
        <v>3.7000000000000011</v>
      </c>
      <c r="GQ153" s="15">
        <f t="shared" si="155"/>
        <v>0.4114079827417112</v>
      </c>
      <c r="GR153" s="15">
        <f>((GN153*GN153)/(AR153*GL153*GL153)+(GK153*GK153)/(AR153*GI153*GI153))</f>
        <v>2.8910941320916929E-3</v>
      </c>
      <c r="HY153" s="25">
        <f>CY153</f>
        <v>6975</v>
      </c>
      <c r="HZ153" s="25">
        <f>CZ153</f>
        <v>8.9423076923076916</v>
      </c>
      <c r="IA153" s="25">
        <f>DA153</f>
        <v>20925</v>
      </c>
    </row>
    <row r="154" spans="1:235" s="15" customFormat="1" ht="14.4" x14ac:dyDescent="0.25">
      <c r="A154" s="31">
        <v>152</v>
      </c>
      <c r="B154" s="1">
        <v>28</v>
      </c>
      <c r="C154" s="1">
        <v>29</v>
      </c>
      <c r="D154" s="15" t="s">
        <v>118</v>
      </c>
      <c r="E154" s="1">
        <v>5</v>
      </c>
      <c r="F154" s="15" t="s">
        <v>798</v>
      </c>
      <c r="G154" s="15" t="s">
        <v>856</v>
      </c>
      <c r="H154" s="15" t="s">
        <v>857</v>
      </c>
      <c r="I154" s="1">
        <v>2020</v>
      </c>
      <c r="J154" s="15" t="s">
        <v>858</v>
      </c>
      <c r="K154" s="1">
        <v>2018</v>
      </c>
      <c r="L154" s="15" t="s">
        <v>859</v>
      </c>
      <c r="M154" s="15" t="s">
        <v>480</v>
      </c>
      <c r="N154" s="15" t="s">
        <v>23</v>
      </c>
      <c r="O154" s="31">
        <v>2</v>
      </c>
      <c r="P154" s="15">
        <v>29.76</v>
      </c>
      <c r="Q154" s="15">
        <v>121.12</v>
      </c>
      <c r="U154" s="15" t="s">
        <v>807</v>
      </c>
      <c r="V154" s="31">
        <v>2</v>
      </c>
      <c r="W154" s="16"/>
      <c r="X154" s="15" t="s">
        <v>689</v>
      </c>
      <c r="Y154" s="1">
        <v>1</v>
      </c>
      <c r="AC154" s="1"/>
      <c r="AP154" s="15">
        <v>3</v>
      </c>
      <c r="AQ154" s="1"/>
      <c r="AR154" s="1">
        <v>3</v>
      </c>
      <c r="BP154" s="16"/>
      <c r="BQ154" s="16"/>
      <c r="BR154" s="16"/>
      <c r="BU154" s="16"/>
      <c r="DB154" s="15" t="s">
        <v>860</v>
      </c>
      <c r="DD154" s="15">
        <v>1</v>
      </c>
      <c r="DE154" s="15">
        <f>DD154*22500</f>
        <v>22500</v>
      </c>
      <c r="DF154" s="15" t="s">
        <v>766</v>
      </c>
      <c r="DI154" s="15">
        <v>7.71</v>
      </c>
      <c r="DJ154" s="15">
        <v>370.43</v>
      </c>
      <c r="DK154" s="15">
        <f>DJ154*1.51/40.46</f>
        <v>13.824747899159663</v>
      </c>
      <c r="DP154" s="15">
        <f>DJ154*0.64/40.46</f>
        <v>5.8594957983193279</v>
      </c>
      <c r="DS154" s="15">
        <f>DE154</f>
        <v>22500</v>
      </c>
      <c r="DT154" s="15">
        <f>DS154/0.6/1000</f>
        <v>37.5</v>
      </c>
      <c r="DU154" s="15">
        <f>DS154*0.2</f>
        <v>4500</v>
      </c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5">
        <v>4.82</v>
      </c>
      <c r="FN154" s="15">
        <v>0.06</v>
      </c>
      <c r="FO154" s="15">
        <f>FN154*SQRT(AR154)</f>
        <v>0.10392304845413262</v>
      </c>
      <c r="FP154" s="15">
        <v>5.13</v>
      </c>
      <c r="FQ154" s="15">
        <v>7.0000000000000007E-2</v>
      </c>
      <c r="FR154" s="15">
        <f>FQ154*SQRT(AR154)</f>
        <v>0.12124355652982141</v>
      </c>
      <c r="FS154" s="15">
        <f t="shared" si="134"/>
        <v>1.0643153526970954</v>
      </c>
      <c r="FT154" s="15">
        <f t="shared" si="135"/>
        <v>0.30999999999999961</v>
      </c>
      <c r="FU154" s="15">
        <f t="shared" si="136"/>
        <v>6.2331731120169209E-2</v>
      </c>
      <c r="FV154" s="15">
        <f>((FR154*FR154)/(AR154*FP154*FP154)+(FO154*FO154)/(AR154*FM154*FM154))</f>
        <v>3.4114815240215496E-4</v>
      </c>
      <c r="FX154" s="15">
        <v>12.67</v>
      </c>
      <c r="FY154" s="15">
        <v>0.6</v>
      </c>
      <c r="FZ154" s="15">
        <f>FY154*SQRT(AR154)</f>
        <v>1.0392304845413263</v>
      </c>
      <c r="GA154" s="15">
        <v>14.59</v>
      </c>
      <c r="GB154" s="15">
        <v>0.68</v>
      </c>
      <c r="GC154" s="15">
        <f>GB154*SQRT(AR154)</f>
        <v>1.1777945491468367</v>
      </c>
      <c r="GD154" s="15">
        <f t="shared" si="150"/>
        <v>1.1515390686661404</v>
      </c>
      <c r="GE154" s="15">
        <f t="shared" si="151"/>
        <v>1.92</v>
      </c>
      <c r="GF154" s="15">
        <f t="shared" si="152"/>
        <v>0.14109936820164659</v>
      </c>
      <c r="GG154" s="15">
        <f>((GC154*GC154)/(AR154*GA154*GA154)+(FZ154*FZ154)/(AR154*FX154*FX154))</f>
        <v>4.4148240229476086E-3</v>
      </c>
      <c r="GI154" s="15">
        <v>7.27</v>
      </c>
      <c r="GJ154" s="15">
        <v>0.39</v>
      </c>
      <c r="GK154" s="15">
        <f>GJ154*SQRT(AR154)</f>
        <v>0.67549981495186218</v>
      </c>
      <c r="GL154" s="15">
        <v>8.7799999999999994</v>
      </c>
      <c r="GM154" s="15">
        <v>0</v>
      </c>
      <c r="GN154" s="15">
        <f>GM154*SQRT(AR154)</f>
        <v>0</v>
      </c>
      <c r="GO154" s="15">
        <f t="shared" si="153"/>
        <v>1.2077028885832186</v>
      </c>
      <c r="GP154" s="15">
        <f t="shared" si="154"/>
        <v>1.5099999999999998</v>
      </c>
      <c r="GQ154" s="15">
        <f t="shared" si="155"/>
        <v>0.18872011610159722</v>
      </c>
      <c r="GR154" s="15">
        <f>((GN154*GN154)/(AR154*GL154*GL154)+(GK154*GK154)/(AR154*GI154*GI154))</f>
        <v>2.8777985692365038E-3</v>
      </c>
      <c r="HY154" s="15">
        <f>DS154</f>
        <v>22500</v>
      </c>
      <c r="HZ154" s="15">
        <f>DT154</f>
        <v>37.5</v>
      </c>
      <c r="IA154" s="15">
        <f>DU154</f>
        <v>4500</v>
      </c>
    </row>
    <row r="155" spans="1:235" s="15" customFormat="1" ht="14.4" x14ac:dyDescent="0.25">
      <c r="A155" s="31">
        <v>153</v>
      </c>
      <c r="B155" s="1">
        <v>28</v>
      </c>
      <c r="C155" s="1">
        <v>29</v>
      </c>
      <c r="D155" s="15" t="s">
        <v>119</v>
      </c>
      <c r="E155" s="1">
        <v>2</v>
      </c>
      <c r="F155" s="15" t="s">
        <v>777</v>
      </c>
      <c r="G155" s="15" t="s">
        <v>856</v>
      </c>
      <c r="H155" s="15" t="s">
        <v>857</v>
      </c>
      <c r="I155" s="1">
        <v>2020</v>
      </c>
      <c r="J155" s="15" t="s">
        <v>858</v>
      </c>
      <c r="K155" s="1">
        <v>2018</v>
      </c>
      <c r="L155" s="15" t="s">
        <v>859</v>
      </c>
      <c r="M155" s="15" t="s">
        <v>480</v>
      </c>
      <c r="N155" s="15" t="s">
        <v>23</v>
      </c>
      <c r="O155" s="31">
        <v>2</v>
      </c>
      <c r="P155" s="15">
        <v>29.76</v>
      </c>
      <c r="Q155" s="15">
        <v>121.12</v>
      </c>
      <c r="U155" s="15" t="s">
        <v>807</v>
      </c>
      <c r="V155" s="31">
        <v>2</v>
      </c>
      <c r="W155" s="16"/>
      <c r="X155" s="15" t="s">
        <v>689</v>
      </c>
      <c r="Y155" s="1">
        <v>1</v>
      </c>
      <c r="AC155" s="1"/>
      <c r="AP155" s="15">
        <v>3</v>
      </c>
      <c r="AQ155" s="1"/>
      <c r="AR155" s="1">
        <v>3</v>
      </c>
      <c r="BP155" s="16"/>
      <c r="BQ155" s="16"/>
      <c r="BR155" s="16"/>
      <c r="BU155" s="16"/>
      <c r="CC155" s="15" t="s">
        <v>860</v>
      </c>
      <c r="CE155" s="15">
        <v>0.34</v>
      </c>
      <c r="CF155" s="15">
        <f>CE155*22500</f>
        <v>7650.0000000000009</v>
      </c>
      <c r="CG155" s="15" t="s">
        <v>766</v>
      </c>
      <c r="CH155" s="15">
        <v>10.58</v>
      </c>
      <c r="CI155" s="15">
        <v>350</v>
      </c>
      <c r="CK155" s="15">
        <v>603.20000000000005</v>
      </c>
      <c r="CL155" s="15">
        <f>CK155*1.01/56.21</f>
        <v>10.838498487813558</v>
      </c>
      <c r="CT155" s="15">
        <f>CK155*0.93/56.21</f>
        <v>9.9800035580857518</v>
      </c>
      <c r="CY155" s="25">
        <f>CF155</f>
        <v>7650.0000000000009</v>
      </c>
      <c r="CZ155" s="25">
        <f>CY155/0.78/1000</f>
        <v>9.8076923076923084</v>
      </c>
      <c r="DA155" s="25">
        <f>CY155*3</f>
        <v>22950.000000000004</v>
      </c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5">
        <v>4.82</v>
      </c>
      <c r="FN155" s="15">
        <v>0.06</v>
      </c>
      <c r="FO155" s="15">
        <f>FN155*SQRT(AR155)</f>
        <v>0.10392304845413262</v>
      </c>
      <c r="FP155" s="15">
        <v>5.25</v>
      </c>
      <c r="FQ155" s="15">
        <v>0.05</v>
      </c>
      <c r="FR155" s="15">
        <f>FQ155*SQRT(AR155)</f>
        <v>8.6602540378443865E-2</v>
      </c>
      <c r="FS155" s="15">
        <f t="shared" si="134"/>
        <v>1.0892116182572613</v>
      </c>
      <c r="FT155" s="15">
        <f t="shared" si="135"/>
        <v>0.42999999999999972</v>
      </c>
      <c r="FU155" s="15">
        <f t="shared" si="136"/>
        <v>8.54541485410234E-2</v>
      </c>
      <c r="FV155" s="15">
        <f>((FR155*FR155)/(AR155*FP155*FP155)+(FO155*FO155)/(AR155*FM155*FM155))</f>
        <v>2.4565895755638152E-4</v>
      </c>
      <c r="FX155" s="15">
        <v>12.67</v>
      </c>
      <c r="FY155" s="15">
        <v>0.6</v>
      </c>
      <c r="FZ155" s="15">
        <f>FY155*SQRT(AR155)</f>
        <v>1.0392304845413263</v>
      </c>
      <c r="GA155" s="15">
        <v>19.48</v>
      </c>
      <c r="GB155" s="15">
        <v>0.7</v>
      </c>
      <c r="GC155" s="15">
        <f>GB155*SQRT(AR155)</f>
        <v>1.2124355652982139</v>
      </c>
      <c r="GD155" s="15">
        <f t="shared" si="150"/>
        <v>1.5374901341752172</v>
      </c>
      <c r="GE155" s="15">
        <f t="shared" si="151"/>
        <v>6.8100000000000005</v>
      </c>
      <c r="GF155" s="15">
        <f t="shared" si="152"/>
        <v>0.43015130388134137</v>
      </c>
      <c r="GG155" s="15">
        <f>((GC155*GC155)/(AR155*GA155*GA155)+(FZ155*FZ155)/(AR155*FX155*FX155))</f>
        <v>3.5338601602839261E-3</v>
      </c>
      <c r="GI155" s="15">
        <v>7.27</v>
      </c>
      <c r="GJ155" s="15">
        <v>0.39</v>
      </c>
      <c r="GK155" s="15">
        <f>GJ155*SQRT(AR155)</f>
        <v>0.67549981495186218</v>
      </c>
      <c r="GL155" s="15">
        <v>12.17</v>
      </c>
      <c r="GM155" s="15">
        <v>0.12</v>
      </c>
      <c r="GN155" s="15">
        <f>GM155*SQRT(AR155)</f>
        <v>0.20784609690826525</v>
      </c>
      <c r="GO155" s="15">
        <f t="shared" si="153"/>
        <v>1.6740027510316369</v>
      </c>
      <c r="GP155" s="15">
        <f t="shared" si="154"/>
        <v>4.9000000000000004</v>
      </c>
      <c r="GQ155" s="15">
        <f t="shared" si="155"/>
        <v>0.51521761545400802</v>
      </c>
      <c r="GR155" s="15">
        <f>((GN155*GN155)/(AR155*GL155*GL155)+(GK155*GK155)/(AR155*GI155*GI155))</f>
        <v>2.9750243267703184E-3</v>
      </c>
      <c r="HY155" s="25">
        <f>CY155</f>
        <v>7650.0000000000009</v>
      </c>
      <c r="HZ155" s="25">
        <f>CZ155</f>
        <v>9.8076923076923084</v>
      </c>
      <c r="IA155" s="25">
        <f>DA155</f>
        <v>22950.000000000004</v>
      </c>
    </row>
    <row r="156" spans="1:235" s="15" customFormat="1" ht="14.4" x14ac:dyDescent="0.25">
      <c r="A156" s="31">
        <v>154</v>
      </c>
      <c r="B156" s="1">
        <v>28</v>
      </c>
      <c r="C156" s="1">
        <v>29</v>
      </c>
      <c r="D156" s="15" t="s">
        <v>120</v>
      </c>
      <c r="E156" s="1">
        <v>2</v>
      </c>
      <c r="F156" s="15" t="s">
        <v>777</v>
      </c>
      <c r="G156" s="15" t="s">
        <v>856</v>
      </c>
      <c r="H156" s="15" t="s">
        <v>857</v>
      </c>
      <c r="I156" s="1">
        <v>2020</v>
      </c>
      <c r="J156" s="15" t="s">
        <v>858</v>
      </c>
      <c r="K156" s="1">
        <v>2018</v>
      </c>
      <c r="L156" s="15" t="s">
        <v>859</v>
      </c>
      <c r="M156" s="15" t="s">
        <v>480</v>
      </c>
      <c r="N156" s="15" t="s">
        <v>23</v>
      </c>
      <c r="O156" s="31">
        <v>2</v>
      </c>
      <c r="P156" s="15">
        <v>29.76</v>
      </c>
      <c r="Q156" s="15">
        <v>121.12</v>
      </c>
      <c r="U156" s="15" t="s">
        <v>807</v>
      </c>
      <c r="V156" s="31">
        <v>2</v>
      </c>
      <c r="W156" s="16"/>
      <c r="X156" s="15" t="s">
        <v>689</v>
      </c>
      <c r="Y156" s="1">
        <v>1</v>
      </c>
      <c r="AC156" s="1"/>
      <c r="AP156" s="15">
        <v>3</v>
      </c>
      <c r="AQ156" s="1"/>
      <c r="AR156" s="1">
        <v>3</v>
      </c>
      <c r="BP156" s="16"/>
      <c r="BQ156" s="16"/>
      <c r="BR156" s="16"/>
      <c r="BU156" s="16"/>
      <c r="CC156" s="15" t="s">
        <v>860</v>
      </c>
      <c r="CE156" s="15">
        <v>0.28999999999999998</v>
      </c>
      <c r="CF156" s="15">
        <f>CE156*22500</f>
        <v>6525</v>
      </c>
      <c r="CG156" s="15" t="s">
        <v>766</v>
      </c>
      <c r="CH156" s="15">
        <v>10.76</v>
      </c>
      <c r="CI156" s="15">
        <v>500</v>
      </c>
      <c r="CK156" s="15">
        <v>563.33000000000004</v>
      </c>
      <c r="CL156" s="15">
        <f>CK156*0.89/60.26</f>
        <v>8.3200082973780294</v>
      </c>
      <c r="CT156" s="15">
        <f>CK156*1.2/60.26</f>
        <v>11.21798871556588</v>
      </c>
      <c r="CY156" s="25">
        <f>CF156</f>
        <v>6525</v>
      </c>
      <c r="CZ156" s="25">
        <f>CY156/0.78/1000</f>
        <v>8.365384615384615</v>
      </c>
      <c r="DA156" s="25">
        <f>CY156*3</f>
        <v>19575</v>
      </c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5">
        <v>4.82</v>
      </c>
      <c r="FN156" s="15">
        <v>0.06</v>
      </c>
      <c r="FO156" s="15">
        <f>FN156*SQRT(AR156)</f>
        <v>0.10392304845413262</v>
      </c>
      <c r="FP156" s="15">
        <v>4.99</v>
      </c>
      <c r="FQ156" s="15">
        <v>0.05</v>
      </c>
      <c r="FR156" s="15">
        <f>FQ156*SQRT(AR156)</f>
        <v>8.6602540378443865E-2</v>
      </c>
      <c r="FS156" s="15">
        <f t="shared" si="134"/>
        <v>1.0352697095435683</v>
      </c>
      <c r="FT156" s="15">
        <f t="shared" si="135"/>
        <v>0.16999999999999993</v>
      </c>
      <c r="FU156" s="15">
        <f t="shared" si="136"/>
        <v>3.4661981700918387E-2</v>
      </c>
      <c r="FV156" s="15">
        <f>((FR156*FR156)/(AR156*FP156*FP156)+(FO156*FO156)/(AR156*FM156*FM156))</f>
        <v>2.5535721291859573E-4</v>
      </c>
      <c r="FX156" s="15">
        <v>12.67</v>
      </c>
      <c r="FY156" s="15">
        <v>0.6</v>
      </c>
      <c r="FZ156" s="15">
        <f>FY156*SQRT(AR156)</f>
        <v>1.0392304845413263</v>
      </c>
      <c r="GA156" s="15">
        <v>19.829999999999998</v>
      </c>
      <c r="GB156" s="15">
        <v>0.9</v>
      </c>
      <c r="GC156" s="15">
        <f>GB156*SQRT(AR156)</f>
        <v>1.5588457268119895</v>
      </c>
      <c r="GD156" s="15">
        <f t="shared" si="150"/>
        <v>1.5651144435674822</v>
      </c>
      <c r="GE156" s="15">
        <f t="shared" si="151"/>
        <v>7.1599999999999984</v>
      </c>
      <c r="GF156" s="15">
        <f t="shared" si="152"/>
        <v>0.44795894819865678</v>
      </c>
      <c r="GG156" s="15">
        <f>((GC156*GC156)/(AR156*GA156*GA156)+(FZ156*FZ156)/(AR156*FX156*FX156))</f>
        <v>4.3024557954079116E-3</v>
      </c>
      <c r="GI156" s="15">
        <v>7.27</v>
      </c>
      <c r="GJ156" s="15">
        <v>0.39</v>
      </c>
      <c r="GK156" s="15">
        <f>GJ156*SQRT(AR156)</f>
        <v>0.67549981495186218</v>
      </c>
      <c r="GL156" s="15">
        <v>9.9600000000000009</v>
      </c>
      <c r="GM156" s="15">
        <v>0.13</v>
      </c>
      <c r="GN156" s="15">
        <f>GM156*SQRT(AR156)</f>
        <v>0.22516660498395405</v>
      </c>
      <c r="GO156" s="15">
        <f t="shared" si="153"/>
        <v>1.3700137551581846</v>
      </c>
      <c r="GP156" s="15">
        <f t="shared" si="154"/>
        <v>2.6900000000000013</v>
      </c>
      <c r="GQ156" s="15">
        <f t="shared" si="155"/>
        <v>0.31482078005107894</v>
      </c>
      <c r="GR156" s="15">
        <f>((GN156*GN156)/(AR156*GL156*GL156)+(GK156*GK156)/(AR156*GI156*GI156))</f>
        <v>3.0481587247178669E-3</v>
      </c>
      <c r="HY156" s="25">
        <f>CY156</f>
        <v>6525</v>
      </c>
      <c r="HZ156" s="25">
        <f>CZ156</f>
        <v>8.365384615384615</v>
      </c>
      <c r="IA156" s="25">
        <f>DA156</f>
        <v>19575</v>
      </c>
    </row>
    <row r="157" spans="1:235" s="15" customFormat="1" x14ac:dyDescent="0.25">
      <c r="A157" s="31">
        <v>155</v>
      </c>
      <c r="B157" s="1">
        <v>29</v>
      </c>
      <c r="C157" s="1">
        <v>30</v>
      </c>
      <c r="D157" s="15" t="s">
        <v>121</v>
      </c>
      <c r="E157" s="1">
        <v>1</v>
      </c>
      <c r="F157" s="15" t="s">
        <v>761</v>
      </c>
      <c r="G157" s="15" t="s">
        <v>863</v>
      </c>
      <c r="H157" s="15" t="s">
        <v>759</v>
      </c>
      <c r="I157" s="1">
        <v>2014</v>
      </c>
      <c r="J157" s="15" t="s">
        <v>864</v>
      </c>
      <c r="K157" s="1">
        <v>2012</v>
      </c>
      <c r="L157" s="15" t="s">
        <v>865</v>
      </c>
      <c r="M157" s="15" t="s">
        <v>73</v>
      </c>
      <c r="N157" s="15" t="s">
        <v>23</v>
      </c>
      <c r="O157" s="31">
        <v>2</v>
      </c>
      <c r="P157" s="15">
        <v>31.1</v>
      </c>
      <c r="Q157" s="15">
        <v>119.13</v>
      </c>
      <c r="U157" s="15" t="s">
        <v>807</v>
      </c>
      <c r="V157" s="31">
        <v>2</v>
      </c>
      <c r="W157" s="16" t="s">
        <v>1149</v>
      </c>
      <c r="Y157" s="1"/>
      <c r="Z157" s="15">
        <v>4.9000000000000004</v>
      </c>
      <c r="AA157" s="15" t="s">
        <v>574</v>
      </c>
      <c r="AB157" s="15">
        <f t="shared" ref="AB157:AB220" si="156">Z157</f>
        <v>4.9000000000000004</v>
      </c>
      <c r="AC157" s="1">
        <v>2</v>
      </c>
      <c r="AD157" s="15">
        <v>18.239999999999998</v>
      </c>
      <c r="AF157" s="15">
        <v>9.36</v>
      </c>
      <c r="AM157" s="1"/>
      <c r="AQ157" s="1"/>
      <c r="AR157" s="1">
        <v>3</v>
      </c>
      <c r="AS157" s="15">
        <v>8.9</v>
      </c>
      <c r="AW157" s="15">
        <v>1</v>
      </c>
      <c r="AY157" s="15" t="s">
        <v>602</v>
      </c>
      <c r="BD157" s="15">
        <v>2000</v>
      </c>
      <c r="BP157" s="16"/>
      <c r="BQ157" s="16"/>
      <c r="BR157" s="16"/>
      <c r="BU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>
        <f t="shared" ref="FK157:FK220" si="157">FM157</f>
        <v>4.83</v>
      </c>
      <c r="FL157" s="16">
        <f t="shared" ref="FL157:FL220" si="158">FP157</f>
        <v>5.16</v>
      </c>
      <c r="FM157" s="15">
        <v>4.83</v>
      </c>
      <c r="FN157" s="15">
        <v>0.03</v>
      </c>
      <c r="FO157" s="15">
        <f>FN157*SQRT(AR157)</f>
        <v>5.1961524227066312E-2</v>
      </c>
      <c r="FP157" s="15">
        <v>5.16</v>
      </c>
      <c r="FQ157" s="15">
        <v>0.02</v>
      </c>
      <c r="FR157" s="15">
        <f>FQ157*SQRT(AR157)</f>
        <v>3.4641016151377546E-2</v>
      </c>
      <c r="FS157" s="15">
        <f t="shared" si="134"/>
        <v>1.0683229813664596</v>
      </c>
      <c r="FT157" s="15">
        <f t="shared" si="135"/>
        <v>0.33000000000000007</v>
      </c>
      <c r="FU157" s="15">
        <f t="shared" si="136"/>
        <v>6.609011182899005E-2</v>
      </c>
      <c r="FV157" s="15">
        <f>((FR157*FR157)/(AR157*FP157*FP157)+(FO157*FO157)/(AR157*FM157*FM157))</f>
        <v>5.3601894164418781E-5</v>
      </c>
      <c r="GI157" s="15">
        <f t="shared" ref="GI157:GI165" si="159">(45.9+17.73)/10</f>
        <v>6.3629999999999995</v>
      </c>
      <c r="GJ157" s="15">
        <f t="shared" ref="GJ157:GJ165" si="160">GI157*0.05</f>
        <v>0.31814999999999999</v>
      </c>
      <c r="GK157" s="15">
        <f>GJ157*SQRT(AR157)</f>
        <v>0.55105196442803828</v>
      </c>
      <c r="GL157" s="15">
        <f>(66.25+5.51)/10</f>
        <v>7.1760000000000002</v>
      </c>
      <c r="GM157" s="15">
        <f t="shared" ref="GM157:GM165" si="161">GL157*0.05</f>
        <v>0.35880000000000001</v>
      </c>
      <c r="GN157" s="15">
        <f>GM157*SQRT(AR157)</f>
        <v>0.62145982975571312</v>
      </c>
      <c r="GO157" s="15">
        <f t="shared" si="153"/>
        <v>1.1277699198491278</v>
      </c>
      <c r="GP157" s="15">
        <f t="shared" si="154"/>
        <v>0.81300000000000061</v>
      </c>
      <c r="GQ157" s="15">
        <f t="shared" si="155"/>
        <v>0.12024216050583991</v>
      </c>
      <c r="GR157" s="15">
        <f>((GN157*GN157)/(AR157*GL157*GL157)+(GK157*GK157)/(AR157*GI157*GI157))</f>
        <v>4.9999999999999992E-3</v>
      </c>
      <c r="GT157" s="15">
        <f t="shared" ref="GT157:GT165" si="162">45.09*100/(45.9+17.73)</f>
        <v>70.862800565770868</v>
      </c>
      <c r="GU157" s="15">
        <v>3.5431400282885437</v>
      </c>
      <c r="GV157" s="15">
        <f>GU157*SQRT(AR141)</f>
        <v>6.1368985473267861</v>
      </c>
      <c r="GW157" s="15">
        <f>66.25*100/(66.25+5.51)</f>
        <v>92.321627647714593</v>
      </c>
      <c r="GX157" s="15">
        <v>4.6160813823857296</v>
      </c>
      <c r="GY157" s="15">
        <f>GX157*SQRT(AR141)</f>
        <v>7.9952874861648624</v>
      </c>
      <c r="GZ157" s="15">
        <f t="shared" ref="GZ157:GZ165" si="163">GW157/GT157</f>
        <v>1.3028221705974892</v>
      </c>
      <c r="HA157" s="15">
        <f t="shared" ref="HA157:HA165" si="164">GW157-GT157</f>
        <v>21.458827081943724</v>
      </c>
      <c r="HB157" s="15">
        <f t="shared" ref="HB157:HB165" si="165">LN(GW157)-LN(GT157)</f>
        <v>0.26453281192749856</v>
      </c>
      <c r="HC157" s="15">
        <f>((GY157*GY157)/(AR141*GW157*GW157)+(GV157*GV157)/(AR141*GT157*GT157))</f>
        <v>5.0000000000000001E-3</v>
      </c>
      <c r="HY157" s="15">
        <f>AZ157</f>
        <v>0</v>
      </c>
      <c r="HZ157" s="15">
        <f>BA157</f>
        <v>0</v>
      </c>
      <c r="IA157" s="15">
        <f>BB157</f>
        <v>0</v>
      </c>
    </row>
    <row r="158" spans="1:235" s="15" customFormat="1" x14ac:dyDescent="0.25">
      <c r="A158" s="31">
        <v>156</v>
      </c>
      <c r="B158" s="1">
        <v>29</v>
      </c>
      <c r="C158" s="1">
        <v>30</v>
      </c>
      <c r="D158" s="15" t="s">
        <v>122</v>
      </c>
      <c r="E158" s="1">
        <v>3</v>
      </c>
      <c r="F158" s="15" t="s">
        <v>861</v>
      </c>
      <c r="G158" s="15" t="s">
        <v>863</v>
      </c>
      <c r="H158" s="15" t="s">
        <v>759</v>
      </c>
      <c r="I158" s="1">
        <v>2014</v>
      </c>
      <c r="J158" s="15" t="s">
        <v>864</v>
      </c>
      <c r="K158" s="1">
        <v>2012</v>
      </c>
      <c r="L158" s="15" t="s">
        <v>865</v>
      </c>
      <c r="M158" s="15" t="s">
        <v>73</v>
      </c>
      <c r="N158" s="15" t="s">
        <v>23</v>
      </c>
      <c r="O158" s="31">
        <v>2</v>
      </c>
      <c r="P158" s="15">
        <v>31.1</v>
      </c>
      <c r="Q158" s="15">
        <v>119.13</v>
      </c>
      <c r="U158" s="15" t="s">
        <v>807</v>
      </c>
      <c r="V158" s="31">
        <v>2</v>
      </c>
      <c r="W158" s="16" t="s">
        <v>1149</v>
      </c>
      <c r="Y158" s="1"/>
      <c r="Z158" s="15">
        <v>4.9000000000000004</v>
      </c>
      <c r="AA158" s="15" t="s">
        <v>574</v>
      </c>
      <c r="AB158" s="15">
        <f t="shared" si="156"/>
        <v>4.9000000000000004</v>
      </c>
      <c r="AC158" s="1">
        <v>2</v>
      </c>
      <c r="AD158" s="15">
        <v>18.239999999999998</v>
      </c>
      <c r="AF158" s="15">
        <v>9.36</v>
      </c>
      <c r="AM158" s="1"/>
      <c r="AQ158" s="1"/>
      <c r="AR158" s="1">
        <v>3</v>
      </c>
      <c r="BP158" s="16"/>
      <c r="BQ158" s="16"/>
      <c r="BR158" s="16"/>
      <c r="BU158" s="16"/>
      <c r="DV158" s="15">
        <v>10.3</v>
      </c>
      <c r="DW158" s="15" t="s">
        <v>867</v>
      </c>
      <c r="DX158" s="15">
        <v>2</v>
      </c>
      <c r="DY158" s="15">
        <f>DX158*2250</f>
        <v>4500</v>
      </c>
      <c r="DZ158" s="15" t="s">
        <v>766</v>
      </c>
      <c r="EO158" s="15">
        <f>1081.2+789.4+1.7+24.7</f>
        <v>1897</v>
      </c>
      <c r="EP158" s="15">
        <v>795.6</v>
      </c>
      <c r="ES158" s="15">
        <f>DY158</f>
        <v>4500</v>
      </c>
      <c r="ET158" s="15">
        <f>ES158/2.25/1000</f>
        <v>2</v>
      </c>
      <c r="EU158" s="15">
        <f>ES158*0.55</f>
        <v>2475</v>
      </c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>
        <f t="shared" si="157"/>
        <v>4.83</v>
      </c>
      <c r="FL158" s="16">
        <f t="shared" si="158"/>
        <v>5.24</v>
      </c>
      <c r="FM158" s="15">
        <v>4.83</v>
      </c>
      <c r="FN158" s="15">
        <v>0.03</v>
      </c>
      <c r="FO158" s="15">
        <f>FN158*SQRT(AR158)</f>
        <v>5.1961524227066312E-2</v>
      </c>
      <c r="FP158" s="15">
        <v>5.24</v>
      </c>
      <c r="FQ158" s="15">
        <v>0.02</v>
      </c>
      <c r="FR158" s="15">
        <f>FQ158*SQRT(AR158)</f>
        <v>3.4641016151377546E-2</v>
      </c>
      <c r="FS158" s="15">
        <f t="shared" si="134"/>
        <v>1.0848861283643894</v>
      </c>
      <c r="FT158" s="15">
        <f t="shared" si="135"/>
        <v>0.41000000000000014</v>
      </c>
      <c r="FU158" s="15">
        <f t="shared" si="136"/>
        <v>8.1475030668469506E-2</v>
      </c>
      <c r="FV158" s="15">
        <f>((FR158*FR158)/(AR158*FP158*FP158)+(FO158*FO158)/(AR158*FM158*FM158))</f>
        <v>5.314667415818303E-5</v>
      </c>
      <c r="GI158" s="15">
        <f t="shared" si="159"/>
        <v>6.3629999999999995</v>
      </c>
      <c r="GJ158" s="15">
        <f t="shared" si="160"/>
        <v>0.31814999999999999</v>
      </c>
      <c r="GK158" s="15">
        <f>GJ158*SQRT(AR158)</f>
        <v>0.55105196442803828</v>
      </c>
      <c r="GL158" s="15">
        <f>(90.75+5.03)/10</f>
        <v>9.5779999999999994</v>
      </c>
      <c r="GM158" s="15">
        <f t="shared" si="161"/>
        <v>0.47889999999999999</v>
      </c>
      <c r="GN158" s="15">
        <f>GM158*SQRT(AR158)</f>
        <v>0.82947913174473531</v>
      </c>
      <c r="GO158" s="15">
        <f t="shared" si="153"/>
        <v>1.5052648121955052</v>
      </c>
      <c r="GP158" s="15">
        <f t="shared" si="154"/>
        <v>3.2149999999999999</v>
      </c>
      <c r="GQ158" s="15">
        <f t="shared" si="155"/>
        <v>0.40896883766976266</v>
      </c>
      <c r="GR158" s="15">
        <f>((GN158*GN158)/(AR158*GL158*GL158)+(GK158*GK158)/(AR158*GI158*GI158))</f>
        <v>5.0000000000000001E-3</v>
      </c>
      <c r="GT158" s="15">
        <f t="shared" si="162"/>
        <v>70.862800565770868</v>
      </c>
      <c r="GU158" s="15">
        <v>3.5431400282885437</v>
      </c>
      <c r="GV158" s="15">
        <f>GU158*SQRT(AR142)</f>
        <v>6.1368985473267861</v>
      </c>
      <c r="GW158" s="15">
        <f>90.75*100/(90.75+5.03)</f>
        <v>94.748381708081013</v>
      </c>
      <c r="GX158" s="15">
        <v>4.737419085404051</v>
      </c>
      <c r="GY158" s="15">
        <f>GX158*SQRT(AR142)</f>
        <v>8.2054505526662975</v>
      </c>
      <c r="GZ158" s="15">
        <f t="shared" si="163"/>
        <v>1.3370679813894863</v>
      </c>
      <c r="HA158" s="15">
        <f t="shared" si="164"/>
        <v>23.885581142310144</v>
      </c>
      <c r="HB158" s="15">
        <f t="shared" si="165"/>
        <v>0.29047914304220512</v>
      </c>
      <c r="HC158" s="15">
        <f>((GY158*GY158)/(AR142*GW158*GW158)+(GV158*GV158)/(AR142*GT158*GT158))</f>
        <v>4.9999999999999992E-3</v>
      </c>
      <c r="HY158" s="15">
        <f t="shared" ref="HY158:IA159" si="166">ES158</f>
        <v>4500</v>
      </c>
      <c r="HZ158" s="15">
        <f t="shared" si="166"/>
        <v>2</v>
      </c>
      <c r="IA158" s="15">
        <f t="shared" si="166"/>
        <v>2475</v>
      </c>
    </row>
    <row r="159" spans="1:235" s="15" customFormat="1" x14ac:dyDescent="0.25">
      <c r="A159" s="31">
        <v>157</v>
      </c>
      <c r="B159" s="1">
        <v>29</v>
      </c>
      <c r="C159" s="1">
        <v>30</v>
      </c>
      <c r="D159" s="15" t="s">
        <v>123</v>
      </c>
      <c r="E159" s="1">
        <v>3</v>
      </c>
      <c r="F159" s="15" t="s">
        <v>861</v>
      </c>
      <c r="G159" s="15" t="s">
        <v>863</v>
      </c>
      <c r="H159" s="15" t="s">
        <v>759</v>
      </c>
      <c r="I159" s="1">
        <v>2014</v>
      </c>
      <c r="J159" s="15" t="s">
        <v>864</v>
      </c>
      <c r="K159" s="1">
        <v>2012</v>
      </c>
      <c r="L159" s="15" t="s">
        <v>865</v>
      </c>
      <c r="M159" s="15" t="s">
        <v>73</v>
      </c>
      <c r="N159" s="15" t="s">
        <v>23</v>
      </c>
      <c r="O159" s="31">
        <v>2</v>
      </c>
      <c r="P159" s="15">
        <v>31.1</v>
      </c>
      <c r="Q159" s="15">
        <v>119.13</v>
      </c>
      <c r="U159" s="15" t="s">
        <v>807</v>
      </c>
      <c r="V159" s="31">
        <v>2</v>
      </c>
      <c r="W159" s="16" t="s">
        <v>1149</v>
      </c>
      <c r="Y159" s="1"/>
      <c r="Z159" s="15">
        <v>4.9000000000000004</v>
      </c>
      <c r="AA159" s="15" t="s">
        <v>574</v>
      </c>
      <c r="AB159" s="15">
        <f t="shared" si="156"/>
        <v>4.9000000000000004</v>
      </c>
      <c r="AC159" s="1">
        <v>2</v>
      </c>
      <c r="AD159" s="15">
        <v>18.239999999999998</v>
      </c>
      <c r="AF159" s="15">
        <v>9.36</v>
      </c>
      <c r="AM159" s="1"/>
      <c r="AQ159" s="1"/>
      <c r="AR159" s="1">
        <v>3</v>
      </c>
      <c r="BP159" s="16"/>
      <c r="BQ159" s="16"/>
      <c r="BR159" s="16"/>
      <c r="BU159" s="16"/>
      <c r="DV159" s="15">
        <v>10.3</v>
      </c>
      <c r="DW159" s="15" t="s">
        <v>867</v>
      </c>
      <c r="DX159" s="15">
        <v>4</v>
      </c>
      <c r="DY159" s="15">
        <f>DX159*2250</f>
        <v>9000</v>
      </c>
      <c r="DZ159" s="15" t="s">
        <v>766</v>
      </c>
      <c r="EO159" s="15">
        <f>1081.2+789.4+1.7+24.7</f>
        <v>1897</v>
      </c>
      <c r="EP159" s="15">
        <v>795.6</v>
      </c>
      <c r="ES159" s="15">
        <f>DY159</f>
        <v>9000</v>
      </c>
      <c r="ET159" s="15">
        <f>ES159/2.25/1000</f>
        <v>4</v>
      </c>
      <c r="EU159" s="15">
        <f>ES159*0.55</f>
        <v>4950</v>
      </c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>
        <f t="shared" si="157"/>
        <v>4.83</v>
      </c>
      <c r="FL159" s="16">
        <f t="shared" si="158"/>
        <v>5.94</v>
      </c>
      <c r="FM159" s="15">
        <v>4.83</v>
      </c>
      <c r="FN159" s="15">
        <v>0.03</v>
      </c>
      <c r="FO159" s="15">
        <f>FN159*SQRT(AR159)</f>
        <v>5.1961524227066312E-2</v>
      </c>
      <c r="FP159" s="15">
        <v>5.94</v>
      </c>
      <c r="FQ159" s="15">
        <v>0.01</v>
      </c>
      <c r="FR159" s="15">
        <f>FQ159*SQRT(AR159)</f>
        <v>1.7320508075688773E-2</v>
      </c>
      <c r="FS159" s="15">
        <f t="shared" si="134"/>
        <v>1.2298136645962734</v>
      </c>
      <c r="FT159" s="15">
        <f t="shared" si="135"/>
        <v>1.1100000000000003</v>
      </c>
      <c r="FU159" s="15">
        <f t="shared" si="136"/>
        <v>0.20686266571007228</v>
      </c>
      <c r="FV159" s="15">
        <f>((FR159*FR159)/(AR159*FP159*FP159)+(FO159*FO159)/(AR159*FM159*FM159))</f>
        <v>4.1412936453903323E-5</v>
      </c>
      <c r="GI159" s="15">
        <f t="shared" si="159"/>
        <v>6.3629999999999995</v>
      </c>
      <c r="GJ159" s="15">
        <f t="shared" si="160"/>
        <v>0.31814999999999999</v>
      </c>
      <c r="GK159" s="15">
        <f>GJ159*SQRT(AR159)</f>
        <v>0.55105196442803828</v>
      </c>
      <c r="GL159" s="15">
        <f>(101.89+2.06)/10</f>
        <v>10.395</v>
      </c>
      <c r="GM159" s="15">
        <f t="shared" si="161"/>
        <v>0.51975000000000005</v>
      </c>
      <c r="GN159" s="15">
        <f>GM159*SQRT(AR159)</f>
        <v>0.90023340723392398</v>
      </c>
      <c r="GO159" s="15">
        <f t="shared" si="153"/>
        <v>1.6336633663366338</v>
      </c>
      <c r="GP159" s="15">
        <f t="shared" si="154"/>
        <v>4.032</v>
      </c>
      <c r="GQ159" s="15">
        <f t="shared" si="155"/>
        <v>0.49082495705932105</v>
      </c>
      <c r="GR159" s="15">
        <f>((GN159*GN159)/(AR159*GL159*GL159)+(GK159*GK159)/(AR159*GI159*GI159))</f>
        <v>5.0000000000000001E-3</v>
      </c>
      <c r="GT159" s="15">
        <f t="shared" si="162"/>
        <v>70.862800565770868</v>
      </c>
      <c r="GU159" s="15">
        <v>3.5431400282885437</v>
      </c>
      <c r="GV159" s="15">
        <f>GU159*SQRT(AR143)</f>
        <v>6.1368985473267861</v>
      </c>
      <c r="GW159" s="15">
        <f>101.89*100/(101.89+2.06)</f>
        <v>98.018278018278011</v>
      </c>
      <c r="GX159" s="15">
        <v>4.9009139009139009</v>
      </c>
      <c r="GY159" s="15">
        <f>GX159*SQRT(AR143)</f>
        <v>8.4886318799034584</v>
      </c>
      <c r="GZ159" s="15">
        <f t="shared" si="163"/>
        <v>1.3832120271242025</v>
      </c>
      <c r="HA159" s="15">
        <f t="shared" si="164"/>
        <v>27.155477452507142</v>
      </c>
      <c r="HB159" s="15">
        <f t="shared" si="165"/>
        <v>0.32440835049388017</v>
      </c>
      <c r="HC159" s="15">
        <f>((GY159*GY159)/(AR143*GW159*GW159)+(GV159*GV159)/(AR143*GT159*GT159))</f>
        <v>5.000000000000001E-3</v>
      </c>
      <c r="HY159" s="15">
        <f t="shared" si="166"/>
        <v>9000</v>
      </c>
      <c r="HZ159" s="15">
        <f t="shared" si="166"/>
        <v>4</v>
      </c>
      <c r="IA159" s="15">
        <f t="shared" si="166"/>
        <v>4950</v>
      </c>
    </row>
    <row r="160" spans="1:235" s="15" customFormat="1" x14ac:dyDescent="0.25">
      <c r="A160" s="31">
        <v>158</v>
      </c>
      <c r="B160" s="1">
        <v>29</v>
      </c>
      <c r="C160" s="1">
        <v>30</v>
      </c>
      <c r="D160" s="15" t="s">
        <v>124</v>
      </c>
      <c r="E160" s="1">
        <v>2</v>
      </c>
      <c r="F160" s="15" t="s">
        <v>777</v>
      </c>
      <c r="G160" s="15" t="s">
        <v>863</v>
      </c>
      <c r="H160" s="15" t="s">
        <v>759</v>
      </c>
      <c r="I160" s="1">
        <v>2014</v>
      </c>
      <c r="J160" s="15" t="s">
        <v>864</v>
      </c>
      <c r="K160" s="1">
        <v>2012</v>
      </c>
      <c r="L160" s="15" t="s">
        <v>865</v>
      </c>
      <c r="M160" s="15" t="s">
        <v>73</v>
      </c>
      <c r="N160" s="15" t="s">
        <v>23</v>
      </c>
      <c r="O160" s="31">
        <v>2</v>
      </c>
      <c r="P160" s="15">
        <v>31.1</v>
      </c>
      <c r="Q160" s="15">
        <v>119.13</v>
      </c>
      <c r="U160" s="15" t="s">
        <v>807</v>
      </c>
      <c r="V160" s="31">
        <v>2</v>
      </c>
      <c r="W160" s="16" t="s">
        <v>1149</v>
      </c>
      <c r="Y160" s="1"/>
      <c r="Z160" s="15">
        <v>4.9000000000000004</v>
      </c>
      <c r="AA160" s="15" t="s">
        <v>574</v>
      </c>
      <c r="AB160" s="15">
        <f t="shared" si="156"/>
        <v>4.9000000000000004</v>
      </c>
      <c r="AC160" s="1">
        <v>2</v>
      </c>
      <c r="AD160" s="15">
        <v>18.239999999999998</v>
      </c>
      <c r="AF160" s="15">
        <v>9.36</v>
      </c>
      <c r="AM160" s="1"/>
      <c r="AQ160" s="1"/>
      <c r="AR160" s="1">
        <v>3</v>
      </c>
      <c r="BP160" s="16"/>
      <c r="BQ160" s="16"/>
      <c r="BR160" s="16"/>
      <c r="BU160" s="16"/>
      <c r="CC160" s="15" t="s">
        <v>869</v>
      </c>
      <c r="CE160" s="15">
        <v>1</v>
      </c>
      <c r="CF160" s="15">
        <f t="shared" ref="CF160:CF169" si="167">CE160*22500</f>
        <v>22500</v>
      </c>
      <c r="CG160" s="15" t="s">
        <v>766</v>
      </c>
      <c r="CH160" s="15">
        <v>10</v>
      </c>
      <c r="CI160" s="15">
        <v>400</v>
      </c>
      <c r="CK160" s="15">
        <v>538</v>
      </c>
      <c r="CL160" s="15">
        <v>18</v>
      </c>
      <c r="CM160" s="15">
        <v>2.94</v>
      </c>
      <c r="CU160" s="15">
        <f>183.9+46.3+480.2+119.4</f>
        <v>829.8</v>
      </c>
      <c r="CV160" s="15">
        <v>186.9</v>
      </c>
      <c r="CY160" s="25">
        <f t="shared" ref="CY160:CY169" si="168">CF160</f>
        <v>22500</v>
      </c>
      <c r="CZ160" s="25">
        <f t="shared" ref="CZ160:CZ169" si="169">CY160/0.78/1000</f>
        <v>28.846153846153843</v>
      </c>
      <c r="DA160" s="25">
        <f t="shared" ref="DA160:DA169" si="170">CY160*3</f>
        <v>67500</v>
      </c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>
        <f t="shared" si="157"/>
        <v>4.83</v>
      </c>
      <c r="FL160" s="16">
        <f t="shared" si="158"/>
        <v>5.86</v>
      </c>
      <c r="FM160" s="15">
        <v>4.83</v>
      </c>
      <c r="FN160" s="15">
        <v>0.03</v>
      </c>
      <c r="FO160" s="15">
        <f>FN160*SQRT(AR160)</f>
        <v>5.1961524227066312E-2</v>
      </c>
      <c r="FP160" s="15">
        <v>5.86</v>
      </c>
      <c r="FQ160" s="15">
        <v>0.01</v>
      </c>
      <c r="FR160" s="15">
        <f>FQ160*SQRT(AR160)</f>
        <v>1.7320508075688773E-2</v>
      </c>
      <c r="FS160" s="15">
        <f t="shared" si="134"/>
        <v>1.2132505175983437</v>
      </c>
      <c r="FT160" s="15">
        <f t="shared" si="135"/>
        <v>1.0300000000000002</v>
      </c>
      <c r="FU160" s="15">
        <f t="shared" si="136"/>
        <v>0.19330313592443993</v>
      </c>
      <c r="FV160" s="15">
        <f>((FR160*FR160)/(AR160*FP160*FP160)+(FO160*FO160)/(AR160*FM160*FM160))</f>
        <v>4.149084836769746E-5</v>
      </c>
      <c r="GI160" s="15">
        <f t="shared" si="159"/>
        <v>6.3629999999999995</v>
      </c>
      <c r="GJ160" s="15">
        <f t="shared" si="160"/>
        <v>0.31814999999999999</v>
      </c>
      <c r="GK160" s="15">
        <f>GJ160*SQRT(AR160)</f>
        <v>0.55105196442803828</v>
      </c>
      <c r="GL160" s="15">
        <f>(81.25+3.84)/10</f>
        <v>8.5090000000000003</v>
      </c>
      <c r="GM160" s="15">
        <f t="shared" si="161"/>
        <v>0.42545000000000005</v>
      </c>
      <c r="GN160" s="15">
        <f>GM160*SQRT(AR160)</f>
        <v>0.73690101608017888</v>
      </c>
      <c r="GO160" s="15">
        <f t="shared" si="153"/>
        <v>1.3372622976583375</v>
      </c>
      <c r="GP160" s="15">
        <f t="shared" si="154"/>
        <v>2.1460000000000008</v>
      </c>
      <c r="GQ160" s="15">
        <f t="shared" si="155"/>
        <v>0.29062446261676511</v>
      </c>
      <c r="GR160" s="15">
        <f>((GN160*GN160)/(AR160*GL160*GL160)+(GK160*GK160)/(AR160*GI160*GI160))</f>
        <v>5.0000000000000001E-3</v>
      </c>
      <c r="GT160" s="15">
        <f t="shared" si="162"/>
        <v>70.862800565770868</v>
      </c>
      <c r="GU160" s="15">
        <v>3.5431400282885437</v>
      </c>
      <c r="GV160" s="15">
        <f>GU160*SQRT(AR144)</f>
        <v>6.1368985473267861</v>
      </c>
      <c r="GW160" s="15">
        <f>81.25*100/(81.25+3.84)</f>
        <v>95.48713127277</v>
      </c>
      <c r="GX160" s="15">
        <v>4.7743565636385004</v>
      </c>
      <c r="GY160" s="15">
        <f>GX160*SQRT(AR144)</f>
        <v>8.2694281416718347</v>
      </c>
      <c r="GZ160" s="15">
        <f t="shared" si="163"/>
        <v>1.3474930500967741</v>
      </c>
      <c r="HA160" s="15">
        <f t="shared" si="164"/>
        <v>24.624330706999132</v>
      </c>
      <c r="HB160" s="15">
        <f t="shared" si="165"/>
        <v>0.29824586616008908</v>
      </c>
      <c r="HC160" s="15">
        <f>((GY160*GY160)/(AR144*GW160*GW160)+(GV160*GV160)/(AR144*GT160*GT160))</f>
        <v>5.000000000000001E-3</v>
      </c>
      <c r="HY160" s="25">
        <f>CY160</f>
        <v>22500</v>
      </c>
      <c r="HZ160" s="25">
        <f>CZ160</f>
        <v>28.846153846153843</v>
      </c>
      <c r="IA160" s="25">
        <f>DA160</f>
        <v>67500</v>
      </c>
    </row>
    <row r="161" spans="1:235" s="15" customFormat="1" x14ac:dyDescent="0.25">
      <c r="A161" s="31">
        <v>159</v>
      </c>
      <c r="B161" s="1">
        <v>29</v>
      </c>
      <c r="C161" s="1">
        <v>30</v>
      </c>
      <c r="D161" s="15" t="s">
        <v>125</v>
      </c>
      <c r="E161" s="1">
        <v>2</v>
      </c>
      <c r="F161" s="15" t="s">
        <v>777</v>
      </c>
      <c r="G161" s="15" t="s">
        <v>863</v>
      </c>
      <c r="H161" s="15" t="s">
        <v>759</v>
      </c>
      <c r="I161" s="1">
        <v>2014</v>
      </c>
      <c r="J161" s="15" t="s">
        <v>864</v>
      </c>
      <c r="K161" s="1">
        <v>2012</v>
      </c>
      <c r="L161" s="15" t="s">
        <v>865</v>
      </c>
      <c r="M161" s="15" t="s">
        <v>73</v>
      </c>
      <c r="N161" s="15" t="s">
        <v>23</v>
      </c>
      <c r="O161" s="31">
        <v>2</v>
      </c>
      <c r="P161" s="15">
        <v>31.1</v>
      </c>
      <c r="Q161" s="15">
        <v>119.13</v>
      </c>
      <c r="U161" s="15" t="s">
        <v>807</v>
      </c>
      <c r="V161" s="31">
        <v>2</v>
      </c>
      <c r="W161" s="16" t="s">
        <v>1149</v>
      </c>
      <c r="Y161" s="1"/>
      <c r="Z161" s="15">
        <v>4.9000000000000004</v>
      </c>
      <c r="AA161" s="15" t="s">
        <v>574</v>
      </c>
      <c r="AB161" s="15">
        <f t="shared" si="156"/>
        <v>4.9000000000000004</v>
      </c>
      <c r="AC161" s="1">
        <v>2</v>
      </c>
      <c r="AD161" s="15">
        <v>18.239999999999998</v>
      </c>
      <c r="AF161" s="15">
        <v>9.36</v>
      </c>
      <c r="AM161" s="1"/>
      <c r="AQ161" s="1"/>
      <c r="AR161" s="1">
        <v>3</v>
      </c>
      <c r="BP161" s="16"/>
      <c r="BQ161" s="16"/>
      <c r="BR161" s="16"/>
      <c r="BU161" s="16"/>
      <c r="CC161" s="15" t="s">
        <v>869</v>
      </c>
      <c r="CE161" s="15">
        <v>2</v>
      </c>
      <c r="CF161" s="15">
        <f t="shared" si="167"/>
        <v>45000</v>
      </c>
      <c r="CG161" s="15" t="s">
        <v>766</v>
      </c>
      <c r="CH161" s="15">
        <v>10</v>
      </c>
      <c r="CI161" s="15">
        <v>400</v>
      </c>
      <c r="CK161" s="15">
        <v>538</v>
      </c>
      <c r="CL161" s="15">
        <v>18</v>
      </c>
      <c r="CM161" s="15">
        <v>2.94</v>
      </c>
      <c r="CU161" s="15">
        <f>183.9+46.3+480.2+119.4</f>
        <v>829.8</v>
      </c>
      <c r="CV161" s="15">
        <v>186.9</v>
      </c>
      <c r="CY161" s="25">
        <f t="shared" si="168"/>
        <v>45000</v>
      </c>
      <c r="CZ161" s="25">
        <f t="shared" si="169"/>
        <v>57.692307692307686</v>
      </c>
      <c r="DA161" s="25">
        <f t="shared" si="170"/>
        <v>135000</v>
      </c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>
        <f t="shared" si="157"/>
        <v>4.83</v>
      </c>
      <c r="FL161" s="16">
        <f t="shared" si="158"/>
        <v>6.03</v>
      </c>
      <c r="FM161" s="15">
        <v>4.83</v>
      </c>
      <c r="FN161" s="15">
        <v>0.03</v>
      </c>
      <c r="FO161" s="15">
        <f>FN161*SQRT(AR161)</f>
        <v>5.1961524227066312E-2</v>
      </c>
      <c r="FP161" s="15">
        <v>6.03</v>
      </c>
      <c r="FQ161" s="15">
        <v>0.01</v>
      </c>
      <c r="FR161" s="15">
        <f>FQ161*SQRT(AR161)</f>
        <v>1.7320508075688773E-2</v>
      </c>
      <c r="FS161" s="15">
        <f t="shared" si="134"/>
        <v>1.2484472049689441</v>
      </c>
      <c r="FT161" s="15">
        <f t="shared" si="135"/>
        <v>1.2000000000000002</v>
      </c>
      <c r="FU161" s="15">
        <f t="shared" si="136"/>
        <v>0.22190054307461282</v>
      </c>
      <c r="FV161" s="15">
        <f>((FR161*FR161)/(AR161*FP161*FP161)+(FO161*FO161)/(AR161*FM161*FM161))</f>
        <v>4.132896548862354E-5</v>
      </c>
      <c r="GI161" s="15">
        <f t="shared" si="159"/>
        <v>6.3629999999999995</v>
      </c>
      <c r="GJ161" s="15">
        <f t="shared" si="160"/>
        <v>0.31814999999999999</v>
      </c>
      <c r="GK161" s="15">
        <f>GJ161*SQRT(AR161)</f>
        <v>0.55105196442803828</v>
      </c>
      <c r="GL161" s="15">
        <f>(106.87+1.37)/10</f>
        <v>10.824000000000002</v>
      </c>
      <c r="GM161" s="15">
        <f t="shared" si="161"/>
        <v>0.54120000000000013</v>
      </c>
      <c r="GN161" s="15">
        <f>GM161*SQRT(AR161)</f>
        <v>0.93738589705627651</v>
      </c>
      <c r="GO161" s="15">
        <f t="shared" si="153"/>
        <v>1.7010843941537015</v>
      </c>
      <c r="GP161" s="15">
        <f t="shared" si="154"/>
        <v>4.4610000000000021</v>
      </c>
      <c r="GQ161" s="15">
        <f t="shared" si="155"/>
        <v>0.53126592661783212</v>
      </c>
      <c r="GR161" s="15">
        <f>((GN161*GN161)/(AR161*GL161*GL161)+(GK161*GK161)/(AR161*GI161*GI161))</f>
        <v>4.9999999999999992E-3</v>
      </c>
      <c r="GT161" s="15">
        <f t="shared" si="162"/>
        <v>70.862800565770868</v>
      </c>
      <c r="GU161" s="15">
        <v>3.5431400282885437</v>
      </c>
      <c r="GV161" s="15">
        <f>GU161*SQRT(AR145)</f>
        <v>6.1368985473267861</v>
      </c>
      <c r="GW161" s="15">
        <f>106.87*100/(106.87+1.37)</f>
        <v>98.734294161123415</v>
      </c>
      <c r="GX161" s="15">
        <v>4.9367147080561713</v>
      </c>
      <c r="GY161" s="15">
        <f>GX161*SQRT(AR145)</f>
        <v>8.5506406968258446</v>
      </c>
      <c r="GZ161" s="15">
        <f t="shared" si="163"/>
        <v>1.3933162868645559</v>
      </c>
      <c r="HA161" s="15">
        <f t="shared" si="164"/>
        <v>27.871493595352547</v>
      </c>
      <c r="HB161" s="15">
        <f t="shared" si="165"/>
        <v>0.33168672348598083</v>
      </c>
      <c r="HC161" s="15">
        <f>((GY161*GY161)/(AR145*GW161*GW161)+(GV161*GV161)/(AR145*GT161*GT161))</f>
        <v>5.0000000000000001E-3</v>
      </c>
      <c r="HY161" s="25">
        <f>CY161</f>
        <v>45000</v>
      </c>
      <c r="HZ161" s="25">
        <f>CZ161</f>
        <v>57.692307692307686</v>
      </c>
      <c r="IA161" s="25">
        <f>DA161</f>
        <v>135000</v>
      </c>
    </row>
    <row r="162" spans="1:235" s="15" customFormat="1" x14ac:dyDescent="0.25">
      <c r="A162" s="31">
        <v>160</v>
      </c>
      <c r="B162" s="1">
        <v>29</v>
      </c>
      <c r="C162" s="1">
        <v>30</v>
      </c>
      <c r="D162" s="15" t="s">
        <v>126</v>
      </c>
      <c r="E162" s="1">
        <v>2</v>
      </c>
      <c r="F162" s="15" t="s">
        <v>777</v>
      </c>
      <c r="G162" s="15" t="s">
        <v>863</v>
      </c>
      <c r="H162" s="15" t="s">
        <v>759</v>
      </c>
      <c r="I162" s="1">
        <v>2014</v>
      </c>
      <c r="J162" s="15" t="s">
        <v>864</v>
      </c>
      <c r="K162" s="1">
        <v>2012</v>
      </c>
      <c r="L162" s="15" t="s">
        <v>865</v>
      </c>
      <c r="M162" s="15" t="s">
        <v>73</v>
      </c>
      <c r="N162" s="15" t="s">
        <v>23</v>
      </c>
      <c r="O162" s="31">
        <v>2</v>
      </c>
      <c r="P162" s="15">
        <v>31.1</v>
      </c>
      <c r="Q162" s="15">
        <v>119.13</v>
      </c>
      <c r="U162" s="15" t="s">
        <v>807</v>
      </c>
      <c r="V162" s="31">
        <v>2</v>
      </c>
      <c r="W162" s="16" t="s">
        <v>1149</v>
      </c>
      <c r="Y162" s="1"/>
      <c r="Z162" s="15">
        <v>4.9000000000000004</v>
      </c>
      <c r="AA162" s="15" t="s">
        <v>574</v>
      </c>
      <c r="AB162" s="15">
        <f t="shared" si="156"/>
        <v>4.9000000000000004</v>
      </c>
      <c r="AC162" s="1">
        <v>2</v>
      </c>
      <c r="AD162" s="15">
        <v>18.239999999999998</v>
      </c>
      <c r="AF162" s="15">
        <v>9.36</v>
      </c>
      <c r="AM162" s="1"/>
      <c r="AQ162" s="1"/>
      <c r="AR162" s="1">
        <v>3</v>
      </c>
      <c r="BP162" s="16"/>
      <c r="BQ162" s="16"/>
      <c r="BR162" s="16"/>
      <c r="BU162" s="16"/>
      <c r="CC162" s="15" t="s">
        <v>870</v>
      </c>
      <c r="CE162" s="15">
        <v>1</v>
      </c>
      <c r="CF162" s="15">
        <f t="shared" si="167"/>
        <v>22500</v>
      </c>
      <c r="CG162" s="15" t="s">
        <v>766</v>
      </c>
      <c r="CH162" s="15">
        <v>9.6</v>
      </c>
      <c r="CI162" s="15">
        <v>400</v>
      </c>
      <c r="CK162" s="15">
        <v>395</v>
      </c>
      <c r="CL162" s="15">
        <v>21</v>
      </c>
      <c r="CM162" s="15">
        <v>2.7</v>
      </c>
      <c r="CU162" s="15">
        <f>129.9+55.6+435.3+14.4</f>
        <v>635.19999999999993</v>
      </c>
      <c r="CV162" s="15">
        <v>167.6</v>
      </c>
      <c r="CY162" s="25">
        <f t="shared" si="168"/>
        <v>22500</v>
      </c>
      <c r="CZ162" s="25">
        <f t="shared" si="169"/>
        <v>28.846153846153843</v>
      </c>
      <c r="DA162" s="25">
        <f t="shared" si="170"/>
        <v>67500</v>
      </c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>
        <f t="shared" si="157"/>
        <v>4.83</v>
      </c>
      <c r="FL162" s="16">
        <f t="shared" si="158"/>
        <v>5.71</v>
      </c>
      <c r="FM162" s="15">
        <v>4.83</v>
      </c>
      <c r="FN162" s="15">
        <v>0.03</v>
      </c>
      <c r="FO162" s="15">
        <f>FN162*SQRT(AR162)</f>
        <v>5.1961524227066312E-2</v>
      </c>
      <c r="FP162" s="15">
        <v>5.71</v>
      </c>
      <c r="FQ162" s="15">
        <v>0.01</v>
      </c>
      <c r="FR162" s="15">
        <f>FQ162*SQRT(AR162)</f>
        <v>1.7320508075688773E-2</v>
      </c>
      <c r="FS162" s="15">
        <f t="shared" si="134"/>
        <v>1.1821946169772257</v>
      </c>
      <c r="FT162" s="15">
        <f t="shared" si="135"/>
        <v>0.87999999999999989</v>
      </c>
      <c r="FU162" s="15">
        <f t="shared" si="136"/>
        <v>0.16737255600343759</v>
      </c>
      <c r="FV162" s="15">
        <f>((FR162*FR162)/(AR162*FP162*FP162)+(FO162*FO162)/(AR162*FM162*FM162))</f>
        <v>4.1645857458691885E-5</v>
      </c>
      <c r="GI162" s="15">
        <f t="shared" si="159"/>
        <v>6.3629999999999995</v>
      </c>
      <c r="GJ162" s="15">
        <f t="shared" si="160"/>
        <v>0.31814999999999999</v>
      </c>
      <c r="GK162" s="15">
        <f>GJ162*SQRT(AR162)</f>
        <v>0.55105196442803828</v>
      </c>
      <c r="GL162" s="15">
        <f>(3.87+76.56)/10</f>
        <v>8.043000000000001</v>
      </c>
      <c r="GM162" s="15">
        <f t="shared" si="161"/>
        <v>0.40215000000000006</v>
      </c>
      <c r="GN162" s="15">
        <f>GM162*SQRT(AR162)</f>
        <v>0.69654423226382411</v>
      </c>
      <c r="GO162" s="15">
        <f t="shared" si="153"/>
        <v>1.2640264026402643</v>
      </c>
      <c r="GP162" s="15">
        <f t="shared" si="154"/>
        <v>1.6800000000000015</v>
      </c>
      <c r="GQ162" s="15">
        <f t="shared" si="155"/>
        <v>0.23430218367127686</v>
      </c>
      <c r="GR162" s="15">
        <f>((GN162*GN162)/(AR162*GL162*GL162)+(GK162*GK162)/(AR162*GI162*GI162))</f>
        <v>5.0000000000000001E-3</v>
      </c>
      <c r="GT162" s="15">
        <f t="shared" si="162"/>
        <v>70.862800565770868</v>
      </c>
      <c r="GU162" s="15">
        <v>3.5431400282885437</v>
      </c>
      <c r="GV162" s="15">
        <f>GU162*SQRT(AR146)</f>
        <v>6.1368985473267861</v>
      </c>
      <c r="GW162" s="15">
        <f>76.56*100/(3.87+76.56)</f>
        <v>95.188362551286829</v>
      </c>
      <c r="GX162" s="15">
        <v>4.7594181275643415</v>
      </c>
      <c r="GY162" s="15">
        <f>GX162*SQRT(AR146)</f>
        <v>8.2435540114057702</v>
      </c>
      <c r="GZ162" s="15">
        <f t="shared" si="163"/>
        <v>1.343276892689816</v>
      </c>
      <c r="HA162" s="15">
        <f t="shared" si="164"/>
        <v>24.325561985515961</v>
      </c>
      <c r="HB162" s="15">
        <f t="shared" si="165"/>
        <v>0.29511207104042914</v>
      </c>
      <c r="HC162" s="15">
        <f>((GY162*GY162)/(AR146*GW162*GW162)+(GV162*GV162)/(AR146*GT162*GT162))</f>
        <v>4.9999999999999992E-3</v>
      </c>
      <c r="HY162" s="25">
        <f>CY162</f>
        <v>22500</v>
      </c>
      <c r="HZ162" s="25">
        <f>CZ162</f>
        <v>28.846153846153843</v>
      </c>
      <c r="IA162" s="25">
        <f>DA162</f>
        <v>67500</v>
      </c>
    </row>
    <row r="163" spans="1:235" s="15" customFormat="1" x14ac:dyDescent="0.25">
      <c r="A163" s="31">
        <v>161</v>
      </c>
      <c r="B163" s="1">
        <v>29</v>
      </c>
      <c r="C163" s="1">
        <v>30</v>
      </c>
      <c r="D163" s="15" t="s">
        <v>127</v>
      </c>
      <c r="E163" s="1">
        <v>2</v>
      </c>
      <c r="F163" s="15" t="s">
        <v>777</v>
      </c>
      <c r="G163" s="15" t="s">
        <v>863</v>
      </c>
      <c r="H163" s="15" t="s">
        <v>759</v>
      </c>
      <c r="I163" s="1">
        <v>2014</v>
      </c>
      <c r="J163" s="15" t="s">
        <v>864</v>
      </c>
      <c r="K163" s="1">
        <v>2012</v>
      </c>
      <c r="L163" s="15" t="s">
        <v>865</v>
      </c>
      <c r="M163" s="15" t="s">
        <v>73</v>
      </c>
      <c r="N163" s="15" t="s">
        <v>23</v>
      </c>
      <c r="O163" s="31">
        <v>2</v>
      </c>
      <c r="P163" s="15">
        <v>31.1</v>
      </c>
      <c r="Q163" s="15">
        <v>119.13</v>
      </c>
      <c r="U163" s="15" t="s">
        <v>807</v>
      </c>
      <c r="V163" s="31">
        <v>2</v>
      </c>
      <c r="W163" s="16" t="s">
        <v>1149</v>
      </c>
      <c r="Y163" s="1"/>
      <c r="Z163" s="15">
        <v>4.9000000000000004</v>
      </c>
      <c r="AA163" s="15" t="s">
        <v>574</v>
      </c>
      <c r="AB163" s="15">
        <f t="shared" si="156"/>
        <v>4.9000000000000004</v>
      </c>
      <c r="AC163" s="1">
        <v>2</v>
      </c>
      <c r="AD163" s="15">
        <v>18.239999999999998</v>
      </c>
      <c r="AF163" s="15">
        <v>9.36</v>
      </c>
      <c r="AM163" s="1"/>
      <c r="AQ163" s="1"/>
      <c r="AR163" s="1">
        <v>3</v>
      </c>
      <c r="BP163" s="16"/>
      <c r="BQ163" s="16"/>
      <c r="BR163" s="16"/>
      <c r="BU163" s="16"/>
      <c r="CC163" s="15" t="s">
        <v>870</v>
      </c>
      <c r="CE163" s="15">
        <v>2</v>
      </c>
      <c r="CF163" s="15">
        <f t="shared" si="167"/>
        <v>45000</v>
      </c>
      <c r="CG163" s="15" t="s">
        <v>766</v>
      </c>
      <c r="CH163" s="15">
        <v>9.6</v>
      </c>
      <c r="CI163" s="15">
        <v>400</v>
      </c>
      <c r="CK163" s="15">
        <v>395</v>
      </c>
      <c r="CL163" s="15">
        <v>21</v>
      </c>
      <c r="CM163" s="15">
        <v>2.7</v>
      </c>
      <c r="CU163" s="15">
        <f>129.9+55.6+435.3+14.4</f>
        <v>635.19999999999993</v>
      </c>
      <c r="CV163" s="15">
        <v>167.6</v>
      </c>
      <c r="CY163" s="25">
        <f t="shared" si="168"/>
        <v>45000</v>
      </c>
      <c r="CZ163" s="25">
        <f t="shared" si="169"/>
        <v>57.692307692307686</v>
      </c>
      <c r="DA163" s="25">
        <f t="shared" si="170"/>
        <v>135000</v>
      </c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>
        <f t="shared" si="157"/>
        <v>4.83</v>
      </c>
      <c r="FL163" s="16">
        <f t="shared" si="158"/>
        <v>5.91</v>
      </c>
      <c r="FM163" s="15">
        <v>4.83</v>
      </c>
      <c r="FN163" s="15">
        <v>0.03</v>
      </c>
      <c r="FO163" s="15">
        <f>FN163*SQRT(AR163)</f>
        <v>5.1961524227066312E-2</v>
      </c>
      <c r="FP163" s="15">
        <v>5.91</v>
      </c>
      <c r="FQ163" s="15">
        <v>0.03</v>
      </c>
      <c r="FR163" s="15">
        <f>FQ163*SQRT(AR163)</f>
        <v>5.1961524227066312E-2</v>
      </c>
      <c r="FS163" s="15">
        <f t="shared" si="134"/>
        <v>1.2236024844720497</v>
      </c>
      <c r="FT163" s="15">
        <f t="shared" si="135"/>
        <v>1.08</v>
      </c>
      <c r="FU163" s="15">
        <f t="shared" si="136"/>
        <v>0.20179936375352558</v>
      </c>
      <c r="FV163" s="15">
        <f>((FR163*FR163)/(AR163*FP163*FP163)+(FO163*FO163)/(AR163*FM163*FM163))</f>
        <v>6.4345977479609673E-5</v>
      </c>
      <c r="GI163" s="15">
        <f t="shared" si="159"/>
        <v>6.3629999999999995</v>
      </c>
      <c r="GJ163" s="15">
        <f t="shared" si="160"/>
        <v>0.31814999999999999</v>
      </c>
      <c r="GK163" s="15">
        <f>GJ163*SQRT(AR163)</f>
        <v>0.55105196442803828</v>
      </c>
      <c r="GL163" s="15">
        <f>(1.97+94.68)/10</f>
        <v>9.6650000000000009</v>
      </c>
      <c r="GM163" s="15">
        <f t="shared" si="161"/>
        <v>0.48325000000000007</v>
      </c>
      <c r="GN163" s="15">
        <f>GM163*SQRT(AR163)</f>
        <v>0.83701355275765998</v>
      </c>
      <c r="GO163" s="15">
        <f t="shared" si="153"/>
        <v>1.5189376080465191</v>
      </c>
      <c r="GP163" s="15">
        <f t="shared" si="154"/>
        <v>3.3020000000000014</v>
      </c>
      <c r="GQ163" s="15">
        <f t="shared" si="155"/>
        <v>0.41801114840963915</v>
      </c>
      <c r="GR163" s="15">
        <f>((GN163*GN163)/(AR163*GL163*GL163)+(GK163*GK163)/(AR163*GI163*GI163))</f>
        <v>4.9999999999999992E-3</v>
      </c>
      <c r="GT163" s="15">
        <f t="shared" si="162"/>
        <v>70.862800565770868</v>
      </c>
      <c r="GU163" s="15">
        <v>3.5431400282885437</v>
      </c>
      <c r="GV163" s="15">
        <f>GU163*SQRT(AR147)</f>
        <v>6.1368985473267861</v>
      </c>
      <c r="GW163" s="15">
        <f>94.68*100/(1.97+94.68)</f>
        <v>97.961717537506459</v>
      </c>
      <c r="GX163" s="15">
        <v>4.8980858768753235</v>
      </c>
      <c r="GY163" s="15">
        <f>GX163*SQRT(AR147)</f>
        <v>8.4837335985836155</v>
      </c>
      <c r="GZ163" s="15">
        <f t="shared" si="163"/>
        <v>1.3824138582638137</v>
      </c>
      <c r="HA163" s="15">
        <f t="shared" si="164"/>
        <v>27.098916971735591</v>
      </c>
      <c r="HB163" s="15">
        <f t="shared" si="165"/>
        <v>0.32383114380315092</v>
      </c>
      <c r="HC163" s="15">
        <f>((GY163*GY163)/(AR147*GW163*GW163)+(GV163*GV163)/(AR147*GT163*GT163))</f>
        <v>4.9999999999999992E-3</v>
      </c>
      <c r="HY163" s="25">
        <f>CY163</f>
        <v>45000</v>
      </c>
      <c r="HZ163" s="25">
        <f>CZ163</f>
        <v>57.692307692307686</v>
      </c>
      <c r="IA163" s="25">
        <f>DA163</f>
        <v>135000</v>
      </c>
    </row>
    <row r="164" spans="1:235" s="15" customFormat="1" x14ac:dyDescent="0.25">
      <c r="A164" s="31">
        <v>162</v>
      </c>
      <c r="B164" s="1">
        <v>29</v>
      </c>
      <c r="C164" s="1">
        <v>30</v>
      </c>
      <c r="D164" s="15" t="s">
        <v>128</v>
      </c>
      <c r="E164" s="1">
        <v>6</v>
      </c>
      <c r="F164" s="15" t="s">
        <v>862</v>
      </c>
      <c r="G164" s="15" t="s">
        <v>863</v>
      </c>
      <c r="H164" s="15" t="s">
        <v>759</v>
      </c>
      <c r="I164" s="1">
        <v>2014</v>
      </c>
      <c r="J164" s="15" t="s">
        <v>864</v>
      </c>
      <c r="K164" s="1">
        <v>2012</v>
      </c>
      <c r="L164" s="15" t="s">
        <v>865</v>
      </c>
      <c r="M164" s="15" t="s">
        <v>73</v>
      </c>
      <c r="N164" s="15" t="s">
        <v>23</v>
      </c>
      <c r="O164" s="31">
        <v>2</v>
      </c>
      <c r="P164" s="15">
        <v>31.1</v>
      </c>
      <c r="Q164" s="15">
        <v>119.13</v>
      </c>
      <c r="U164" s="15" t="s">
        <v>807</v>
      </c>
      <c r="V164" s="31">
        <v>2</v>
      </c>
      <c r="W164" s="16" t="s">
        <v>1149</v>
      </c>
      <c r="Y164" s="1"/>
      <c r="Z164" s="15">
        <v>4.9000000000000004</v>
      </c>
      <c r="AA164" s="15" t="s">
        <v>574</v>
      </c>
      <c r="AB164" s="15">
        <f t="shared" si="156"/>
        <v>4.9000000000000004</v>
      </c>
      <c r="AC164" s="1">
        <v>2</v>
      </c>
      <c r="AD164" s="15">
        <v>18.239999999999998</v>
      </c>
      <c r="AF164" s="15">
        <v>9.36</v>
      </c>
      <c r="AM164" s="1"/>
      <c r="AQ164" s="1"/>
      <c r="AR164" s="1">
        <v>3</v>
      </c>
      <c r="BP164" s="16"/>
      <c r="BQ164" s="16"/>
      <c r="BR164" s="16"/>
      <c r="BU164" s="16"/>
      <c r="CC164" s="15" t="s">
        <v>869</v>
      </c>
      <c r="CE164" s="15">
        <v>1</v>
      </c>
      <c r="CF164" s="15">
        <f t="shared" si="167"/>
        <v>22500</v>
      </c>
      <c r="CG164" s="15" t="s">
        <v>766</v>
      </c>
      <c r="CH164" s="15">
        <v>10</v>
      </c>
      <c r="CI164" s="15">
        <v>400</v>
      </c>
      <c r="CK164" s="15">
        <v>538</v>
      </c>
      <c r="CL164" s="15">
        <v>18</v>
      </c>
      <c r="CM164" s="15">
        <v>2.94</v>
      </c>
      <c r="CU164" s="15">
        <f>183.9+46.3+480.2+119.4</f>
        <v>829.8</v>
      </c>
      <c r="CV164" s="15">
        <v>186.9</v>
      </c>
      <c r="CY164" s="25">
        <f t="shared" si="168"/>
        <v>22500</v>
      </c>
      <c r="CZ164" s="25">
        <f t="shared" si="169"/>
        <v>28.846153846153843</v>
      </c>
      <c r="DA164" s="25">
        <f t="shared" si="170"/>
        <v>67500</v>
      </c>
      <c r="DV164" s="15">
        <v>10.3</v>
      </c>
      <c r="DW164" s="15" t="s">
        <v>867</v>
      </c>
      <c r="DX164" s="15">
        <v>2</v>
      </c>
      <c r="DY164" s="15">
        <f>DX164*2250</f>
        <v>4500</v>
      </c>
      <c r="DZ164" s="15" t="s">
        <v>766</v>
      </c>
      <c r="EO164" s="15">
        <f>1081.2+789.4+1.7+24.7</f>
        <v>1897</v>
      </c>
      <c r="EP164" s="15">
        <v>795.6</v>
      </c>
      <c r="ES164" s="15">
        <f>DY164</f>
        <v>4500</v>
      </c>
      <c r="ET164" s="15">
        <f>ES164/2.25/1000</f>
        <v>2</v>
      </c>
      <c r="EU164" s="15">
        <f>ES164*0.55</f>
        <v>2475</v>
      </c>
      <c r="EW164" s="46">
        <f>AX164+BT164+CF164+DE164+DY164</f>
        <v>27000</v>
      </c>
      <c r="EX164" s="46">
        <f>BA164+BZ164+CZ164+DT164+ET164</f>
        <v>30.846153846153843</v>
      </c>
      <c r="EY164" s="46">
        <f>BB164+CA164+DA164+DU164+EU164</f>
        <v>69975</v>
      </c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>
        <f t="shared" si="157"/>
        <v>4.83</v>
      </c>
      <c r="FL164" s="16">
        <f t="shared" si="158"/>
        <v>6.25</v>
      </c>
      <c r="FM164" s="15">
        <v>4.83</v>
      </c>
      <c r="FN164" s="15">
        <v>0.03</v>
      </c>
      <c r="FO164" s="15">
        <f>FN164*SQRT(AR164)</f>
        <v>5.1961524227066312E-2</v>
      </c>
      <c r="FP164" s="15">
        <v>6.25</v>
      </c>
      <c r="FQ164" s="15">
        <v>0.01</v>
      </c>
      <c r="FR164" s="15">
        <f>FQ164*SQRT(AR164)</f>
        <v>1.7320508075688773E-2</v>
      </c>
      <c r="FS164" s="15">
        <f t="shared" si="134"/>
        <v>1.2939958592132506</v>
      </c>
      <c r="FT164" s="15">
        <f t="shared" si="135"/>
        <v>1.42</v>
      </c>
      <c r="FU164" s="15">
        <f t="shared" si="136"/>
        <v>0.25773499608382888</v>
      </c>
      <c r="FV164" s="15">
        <f>((FR164*FR164)/(AR164*FP164*FP164)+(FO164*FO164)/(AR164*FM164*FM164))</f>
        <v>4.1138758535550321E-5</v>
      </c>
      <c r="GI164" s="15">
        <f t="shared" si="159"/>
        <v>6.3629999999999995</v>
      </c>
      <c r="GJ164" s="15">
        <f t="shared" si="160"/>
        <v>0.31814999999999999</v>
      </c>
      <c r="GK164" s="15">
        <f>GJ164*SQRT(AR164)</f>
        <v>0.55105196442803828</v>
      </c>
      <c r="GL164" s="15">
        <f>(1.34+97.53)/10</f>
        <v>9.8870000000000005</v>
      </c>
      <c r="GM164" s="15">
        <f t="shared" si="161"/>
        <v>0.49435000000000007</v>
      </c>
      <c r="GN164" s="15">
        <f>GM164*SQRT(AR164)</f>
        <v>0.85623931672167453</v>
      </c>
      <c r="GO164" s="15">
        <f t="shared" si="153"/>
        <v>1.553826811252554</v>
      </c>
      <c r="GP164" s="15">
        <f t="shared" si="154"/>
        <v>3.5240000000000009</v>
      </c>
      <c r="GQ164" s="15">
        <f t="shared" si="155"/>
        <v>0.44072079866434111</v>
      </c>
      <c r="GR164" s="15">
        <f>((GN164*GN164)/(AR164*GL164*GL164)+(GK164*GK164)/(AR164*GI164*GI164))</f>
        <v>5.0000000000000001E-3</v>
      </c>
      <c r="GT164" s="15">
        <f t="shared" si="162"/>
        <v>70.862800565770868</v>
      </c>
      <c r="GU164" s="15">
        <v>3.5431400282885437</v>
      </c>
      <c r="GV164" s="15">
        <f>GU164*SQRT(AR148)</f>
        <v>6.1368985473267861</v>
      </c>
      <c r="GW164" s="15">
        <f>97.53*100/(1.34+97.53)</f>
        <v>98.644684939819967</v>
      </c>
      <c r="GX164" s="15">
        <v>4.9322342469909985</v>
      </c>
      <c r="GY164" s="15">
        <f>GX164*SQRT(AR148)</f>
        <v>8.5428803106196316</v>
      </c>
      <c r="GZ164" s="15">
        <f t="shared" si="163"/>
        <v>1.3920517415659224</v>
      </c>
      <c r="HA164" s="15">
        <f t="shared" si="164"/>
        <v>27.781884374049099</v>
      </c>
      <c r="HB164" s="15">
        <f t="shared" si="165"/>
        <v>0.33077873188659002</v>
      </c>
      <c r="HC164" s="15">
        <f>((GY164*GY164)/(AR148*GW164*GW164)+(GV164*GV164)/(AR148*GT164*GT164))</f>
        <v>5.0000000000000001E-3</v>
      </c>
      <c r="HY164" s="15">
        <f t="shared" ref="HY164:IA165" si="171">EW164</f>
        <v>27000</v>
      </c>
      <c r="HZ164" s="15">
        <f t="shared" si="171"/>
        <v>30.846153846153843</v>
      </c>
      <c r="IA164" s="15">
        <f t="shared" si="171"/>
        <v>69975</v>
      </c>
    </row>
    <row r="165" spans="1:235" s="15" customFormat="1" x14ac:dyDescent="0.25">
      <c r="A165" s="31">
        <v>163</v>
      </c>
      <c r="B165" s="1">
        <v>29</v>
      </c>
      <c r="C165" s="1">
        <v>30</v>
      </c>
      <c r="D165" s="15" t="s">
        <v>129</v>
      </c>
      <c r="E165" s="1">
        <v>6</v>
      </c>
      <c r="F165" s="15" t="s">
        <v>862</v>
      </c>
      <c r="G165" s="15" t="s">
        <v>863</v>
      </c>
      <c r="H165" s="15" t="s">
        <v>759</v>
      </c>
      <c r="I165" s="1">
        <v>2014</v>
      </c>
      <c r="J165" s="15" t="s">
        <v>864</v>
      </c>
      <c r="K165" s="1">
        <v>2012</v>
      </c>
      <c r="L165" s="15" t="s">
        <v>865</v>
      </c>
      <c r="M165" s="15" t="s">
        <v>73</v>
      </c>
      <c r="N165" s="15" t="s">
        <v>23</v>
      </c>
      <c r="O165" s="31">
        <v>2</v>
      </c>
      <c r="P165" s="15">
        <v>31.1</v>
      </c>
      <c r="Q165" s="15">
        <v>119.13</v>
      </c>
      <c r="U165" s="15" t="s">
        <v>807</v>
      </c>
      <c r="V165" s="31">
        <v>2</v>
      </c>
      <c r="W165" s="16" t="s">
        <v>1149</v>
      </c>
      <c r="Y165" s="1"/>
      <c r="Z165" s="15">
        <v>4.9000000000000004</v>
      </c>
      <c r="AA165" s="15" t="s">
        <v>574</v>
      </c>
      <c r="AB165" s="15">
        <f t="shared" si="156"/>
        <v>4.9000000000000004</v>
      </c>
      <c r="AC165" s="1">
        <v>2</v>
      </c>
      <c r="AD165" s="15">
        <v>18.239999999999998</v>
      </c>
      <c r="AF165" s="15">
        <v>9.36</v>
      </c>
      <c r="AM165" s="1"/>
      <c r="AQ165" s="1"/>
      <c r="AR165" s="1">
        <v>3</v>
      </c>
      <c r="BP165" s="16"/>
      <c r="BQ165" s="16"/>
      <c r="BR165" s="16"/>
      <c r="BU165" s="16"/>
      <c r="CC165" s="15" t="s">
        <v>870</v>
      </c>
      <c r="CE165" s="15">
        <v>1</v>
      </c>
      <c r="CF165" s="15">
        <f t="shared" si="167"/>
        <v>22500</v>
      </c>
      <c r="CG165" s="15" t="s">
        <v>766</v>
      </c>
      <c r="CH165" s="15">
        <v>9.6</v>
      </c>
      <c r="CI165" s="15">
        <v>400</v>
      </c>
      <c r="CK165" s="15">
        <v>395</v>
      </c>
      <c r="CL165" s="15">
        <v>21</v>
      </c>
      <c r="CM165" s="15">
        <v>2.7</v>
      </c>
      <c r="CU165" s="15">
        <f>129.9+55.6+435.3+14.4</f>
        <v>635.19999999999993</v>
      </c>
      <c r="CV165" s="15">
        <v>167.6</v>
      </c>
      <c r="CY165" s="25">
        <f t="shared" si="168"/>
        <v>22500</v>
      </c>
      <c r="CZ165" s="25">
        <f t="shared" si="169"/>
        <v>28.846153846153843</v>
      </c>
      <c r="DA165" s="25">
        <f t="shared" si="170"/>
        <v>67500</v>
      </c>
      <c r="DV165" s="15">
        <v>10.3</v>
      </c>
      <c r="DW165" s="15" t="s">
        <v>867</v>
      </c>
      <c r="DX165" s="15">
        <v>2</v>
      </c>
      <c r="DY165" s="15">
        <f>DX165*2250</f>
        <v>4500</v>
      </c>
      <c r="DZ165" s="15" t="s">
        <v>766</v>
      </c>
      <c r="EO165" s="15">
        <f>1081.2+789.4+1.7+24.7</f>
        <v>1897</v>
      </c>
      <c r="EP165" s="15">
        <v>795.6</v>
      </c>
      <c r="ES165" s="15">
        <f>DY165</f>
        <v>4500</v>
      </c>
      <c r="ET165" s="15">
        <f>ES165/2.25/1000</f>
        <v>2</v>
      </c>
      <c r="EU165" s="15">
        <f>ES165*0.55</f>
        <v>2475</v>
      </c>
      <c r="EW165" s="46">
        <f>AX165+BT165+CF165+DE165+DY165</f>
        <v>27000</v>
      </c>
      <c r="EX165" s="46">
        <f>BA165+BZ165+CZ165+DT165+ET165</f>
        <v>30.846153846153843</v>
      </c>
      <c r="EY165" s="46">
        <f>BB165+CA165+DA165+DU165+EU165</f>
        <v>69975</v>
      </c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>
        <f t="shared" si="157"/>
        <v>4.83</v>
      </c>
      <c r="FL165" s="16">
        <f t="shared" si="158"/>
        <v>6.02</v>
      </c>
      <c r="FM165" s="15">
        <v>4.83</v>
      </c>
      <c r="FN165" s="15">
        <v>0.03</v>
      </c>
      <c r="FO165" s="15">
        <f>FN165*SQRT(AR165)</f>
        <v>5.1961524227066312E-2</v>
      </c>
      <c r="FP165" s="15">
        <v>6.02</v>
      </c>
      <c r="FQ165" s="15">
        <v>0.01</v>
      </c>
      <c r="FR165" s="15">
        <f>FQ165*SQRT(AR165)</f>
        <v>1.7320508075688773E-2</v>
      </c>
      <c r="FS165" s="15">
        <f t="shared" si="134"/>
        <v>1.2463768115942029</v>
      </c>
      <c r="FT165" s="15">
        <f t="shared" si="135"/>
        <v>1.1899999999999995</v>
      </c>
      <c r="FU165" s="15">
        <f t="shared" si="136"/>
        <v>0.22024079165624832</v>
      </c>
      <c r="FV165" s="15">
        <f>((FR165*FR165)/(AR165*FP165*FP165)+(FO165*FO165)/(AR165*FM165*FM165))</f>
        <v>4.1338109977587383E-5</v>
      </c>
      <c r="GI165" s="15">
        <f t="shared" si="159"/>
        <v>6.3629999999999995</v>
      </c>
      <c r="GJ165" s="15">
        <f t="shared" si="160"/>
        <v>0.31814999999999999</v>
      </c>
      <c r="GK165" s="15">
        <f>GJ165*SQRT(AR165)</f>
        <v>0.55105196442803828</v>
      </c>
      <c r="GL165" s="15">
        <f>(1.57+92.74)/10</f>
        <v>9.4309999999999992</v>
      </c>
      <c r="GM165" s="15">
        <f t="shared" si="161"/>
        <v>0.47154999999999997</v>
      </c>
      <c r="GN165" s="15">
        <f>GM165*SQRT(AR165)</f>
        <v>0.81674855830910398</v>
      </c>
      <c r="GO165" s="15">
        <f t="shared" si="153"/>
        <v>1.4821625019644822</v>
      </c>
      <c r="GP165" s="15">
        <f t="shared" si="154"/>
        <v>3.0679999999999996</v>
      </c>
      <c r="GQ165" s="15">
        <f t="shared" si="155"/>
        <v>0.39350217131109266</v>
      </c>
      <c r="GR165" s="15">
        <f>((GN165*GN165)/(AR165*GL165*GL165)+(GK165*GK165)/(AR165*GI165*GI165))</f>
        <v>4.9999999999999992E-3</v>
      </c>
      <c r="GT165" s="15">
        <f t="shared" si="162"/>
        <v>70.862800565770868</v>
      </c>
      <c r="GU165" s="15">
        <v>3.5431400282885437</v>
      </c>
      <c r="GV165" s="15">
        <f>GU165*SQRT(AR149)</f>
        <v>6.1368985473267861</v>
      </c>
      <c r="GW165" s="15">
        <f>92.74*100/(1.57+92.74)</f>
        <v>98.335277277065018</v>
      </c>
      <c r="GX165" s="15">
        <v>4.9167638638532516</v>
      </c>
      <c r="GY165" s="15">
        <f>GX165*SQRT(AR149)</f>
        <v>8.5160848210124982</v>
      </c>
      <c r="GZ165" s="15">
        <f t="shared" si="163"/>
        <v>1.387685449798103</v>
      </c>
      <c r="HA165" s="15">
        <f t="shared" si="164"/>
        <v>27.472476711294149</v>
      </c>
      <c r="HB165" s="15">
        <f t="shared" si="165"/>
        <v>0.32763721521922928</v>
      </c>
      <c r="HC165" s="15">
        <f>((GY165*GY165)/(AR149*GW165*GW165)+(GV165*GV165)/(AR149*GT165*GT165))</f>
        <v>5.000000000000001E-3</v>
      </c>
      <c r="HY165" s="15">
        <f t="shared" si="171"/>
        <v>27000</v>
      </c>
      <c r="HZ165" s="15">
        <f t="shared" si="171"/>
        <v>30.846153846153843</v>
      </c>
      <c r="IA165" s="15">
        <f t="shared" si="171"/>
        <v>69975</v>
      </c>
    </row>
    <row r="166" spans="1:235" s="15" customFormat="1" x14ac:dyDescent="0.25">
      <c r="A166" s="31">
        <v>164</v>
      </c>
      <c r="B166" s="1">
        <v>30</v>
      </c>
      <c r="C166" s="1">
        <v>31</v>
      </c>
      <c r="D166" s="15" t="s">
        <v>130</v>
      </c>
      <c r="E166" s="1">
        <v>2</v>
      </c>
      <c r="F166" s="15" t="s">
        <v>777</v>
      </c>
      <c r="G166" s="15" t="s">
        <v>871</v>
      </c>
      <c r="H166" s="15" t="s">
        <v>880</v>
      </c>
      <c r="I166" s="1">
        <v>2018</v>
      </c>
      <c r="J166" s="15" t="s">
        <v>873</v>
      </c>
      <c r="K166" s="1">
        <v>2016</v>
      </c>
      <c r="L166" s="15" t="s">
        <v>623</v>
      </c>
      <c r="M166" s="15" t="s">
        <v>73</v>
      </c>
      <c r="N166" s="15" t="s">
        <v>23</v>
      </c>
      <c r="O166" s="31">
        <v>2</v>
      </c>
      <c r="P166" s="15">
        <v>29.09</v>
      </c>
      <c r="Q166" s="15">
        <v>119.08</v>
      </c>
      <c r="U166" s="15" t="s">
        <v>807</v>
      </c>
      <c r="V166" s="31">
        <v>2</v>
      </c>
      <c r="W166" s="16"/>
      <c r="X166" s="15" t="s">
        <v>729</v>
      </c>
      <c r="Y166" s="61">
        <v>11</v>
      </c>
      <c r="Z166" s="15">
        <v>5</v>
      </c>
      <c r="AA166" s="15" t="s">
        <v>574</v>
      </c>
      <c r="AB166" s="15">
        <f t="shared" si="156"/>
        <v>5</v>
      </c>
      <c r="AC166" s="1">
        <v>2</v>
      </c>
      <c r="AD166" s="15">
        <f t="shared" ref="AD166:AD179" si="172">2.3*1.74</f>
        <v>4.0019999999999998</v>
      </c>
      <c r="AF166" s="15">
        <v>6.6</v>
      </c>
      <c r="AJ166" s="15">
        <v>22</v>
      </c>
      <c r="AK166" s="15">
        <v>44</v>
      </c>
      <c r="AL166" s="15">
        <v>28</v>
      </c>
      <c r="AM166" s="1">
        <v>2</v>
      </c>
      <c r="AN166" s="15">
        <v>1.36</v>
      </c>
      <c r="AP166" s="15" t="s">
        <v>875</v>
      </c>
      <c r="AQ166" s="1">
        <v>1</v>
      </c>
      <c r="AR166" s="1">
        <v>3</v>
      </c>
      <c r="BP166" s="16"/>
      <c r="BQ166" s="16"/>
      <c r="BR166" s="16"/>
      <c r="BU166" s="16"/>
      <c r="CC166" s="15" t="s">
        <v>877</v>
      </c>
      <c r="CE166" s="15">
        <v>2</v>
      </c>
      <c r="CF166" s="15">
        <f t="shared" si="167"/>
        <v>45000</v>
      </c>
      <c r="CG166" s="15" t="s">
        <v>766</v>
      </c>
      <c r="CH166" s="15">
        <v>8.3000000000000007</v>
      </c>
      <c r="CI166" s="15">
        <v>500</v>
      </c>
      <c r="CK166" s="15">
        <v>477</v>
      </c>
      <c r="CN166" s="15">
        <v>0.15</v>
      </c>
      <c r="CR166" s="15">
        <v>0.24</v>
      </c>
      <c r="CY166" s="25">
        <f t="shared" si="168"/>
        <v>45000</v>
      </c>
      <c r="CZ166" s="25">
        <f t="shared" si="169"/>
        <v>57.692307692307686</v>
      </c>
      <c r="DA166" s="25">
        <f t="shared" si="170"/>
        <v>135000</v>
      </c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>
        <f t="shared" si="157"/>
        <v>4.74</v>
      </c>
      <c r="FL166" s="16">
        <f t="shared" si="158"/>
        <v>5.88</v>
      </c>
      <c r="FM166" s="15">
        <v>4.74</v>
      </c>
      <c r="FN166" s="15">
        <v>0.11</v>
      </c>
      <c r="FO166" s="15">
        <f>FN166*SQRT(AR166)</f>
        <v>0.1905255888325765</v>
      </c>
      <c r="FP166" s="15">
        <v>5.88</v>
      </c>
      <c r="FQ166" s="15">
        <v>0.15</v>
      </c>
      <c r="FR166" s="15">
        <f>FQ166*SQRT(AR166)</f>
        <v>0.25980762113533157</v>
      </c>
      <c r="FS166" s="15">
        <f t="shared" si="134"/>
        <v>1.240506329113924</v>
      </c>
      <c r="FT166" s="15">
        <f t="shared" si="135"/>
        <v>1.1399999999999997</v>
      </c>
      <c r="FU166" s="15">
        <f t="shared" si="136"/>
        <v>0.21551962620355036</v>
      </c>
      <c r="FV166" s="15">
        <f>((FR166*FR166)/(AR166*FP166*FP166)+(FO166*FO166)/(AR166*FM166*FM166))</f>
        <v>1.1893238068084364E-3</v>
      </c>
      <c r="HE166" s="15">
        <v>12.04</v>
      </c>
      <c r="HF166" s="15">
        <v>2.7</v>
      </c>
      <c r="HG166" s="15">
        <f>HF166*SQRT(AR166)</f>
        <v>4.676537180435969</v>
      </c>
      <c r="HH166" s="15">
        <v>19.350000000000001</v>
      </c>
      <c r="HI166" s="15">
        <v>1.22</v>
      </c>
      <c r="HJ166" s="15">
        <f>HI166*SQRT(AR166)</f>
        <v>2.1131019852340303</v>
      </c>
      <c r="HK166" s="15">
        <f t="shared" ref="HK166:HK203" si="173">HH166/HE166</f>
        <v>1.6071428571428574</v>
      </c>
      <c r="HL166" s="15">
        <f t="shared" ref="HL166:HL203" si="174">HH166-HE166</f>
        <v>7.3100000000000023</v>
      </c>
      <c r="HM166" s="15">
        <f t="shared" ref="HM166:HM203" si="175">LN(HH166)-LN(HE166)</f>
        <v>0.47445797959511626</v>
      </c>
      <c r="HN166" s="15">
        <f>((HJ166*HJ166)/(AR166*HH166*HH166)+(HG166*HG166)/(AR166*HE166*HE166))</f>
        <v>5.4264368488015774E-2</v>
      </c>
      <c r="HP166" s="15" t="s">
        <v>809</v>
      </c>
      <c r="HV166" s="15">
        <f t="shared" ref="HV166:HV203" si="176">HX166/HW166/100</f>
        <v>2845.3520818683178</v>
      </c>
      <c r="HW166" s="15">
        <f t="shared" ref="HW166:HW203" si="177">HM166</f>
        <v>0.47445797959511626</v>
      </c>
      <c r="HX166" s="25">
        <f>DA166</f>
        <v>135000</v>
      </c>
      <c r="HY166" s="25">
        <f>CY166</f>
        <v>45000</v>
      </c>
      <c r="HZ166" s="25">
        <f>CZ166</f>
        <v>57.692307692307686</v>
      </c>
      <c r="IA166" s="25">
        <f>DA166</f>
        <v>135000</v>
      </c>
    </row>
    <row r="167" spans="1:235" s="15" customFormat="1" x14ac:dyDescent="0.25">
      <c r="A167" s="31">
        <v>165</v>
      </c>
      <c r="B167" s="1">
        <v>30</v>
      </c>
      <c r="C167" s="1">
        <v>31</v>
      </c>
      <c r="D167" s="15" t="s">
        <v>131</v>
      </c>
      <c r="E167" s="1">
        <v>2</v>
      </c>
      <c r="F167" s="15" t="s">
        <v>777</v>
      </c>
      <c r="G167" s="15" t="s">
        <v>871</v>
      </c>
      <c r="H167" s="15" t="s">
        <v>880</v>
      </c>
      <c r="I167" s="1">
        <v>2018</v>
      </c>
      <c r="J167" s="15" t="s">
        <v>873</v>
      </c>
      <c r="K167" s="1">
        <v>2016</v>
      </c>
      <c r="L167" s="15" t="s">
        <v>623</v>
      </c>
      <c r="M167" s="15" t="s">
        <v>73</v>
      </c>
      <c r="N167" s="15" t="s">
        <v>23</v>
      </c>
      <c r="O167" s="31">
        <v>2</v>
      </c>
      <c r="P167" s="15">
        <v>29.09</v>
      </c>
      <c r="Q167" s="15">
        <v>119.08</v>
      </c>
      <c r="U167" s="15" t="s">
        <v>807</v>
      </c>
      <c r="V167" s="31">
        <v>2</v>
      </c>
      <c r="W167" s="16"/>
      <c r="X167" s="15" t="s">
        <v>729</v>
      </c>
      <c r="Y167" s="61">
        <v>11</v>
      </c>
      <c r="Z167" s="15">
        <v>5</v>
      </c>
      <c r="AA167" s="15" t="s">
        <v>574</v>
      </c>
      <c r="AB167" s="15">
        <f t="shared" si="156"/>
        <v>5</v>
      </c>
      <c r="AC167" s="1">
        <v>2</v>
      </c>
      <c r="AD167" s="15">
        <f t="shared" si="172"/>
        <v>4.0019999999999998</v>
      </c>
      <c r="AF167" s="15">
        <v>6.6</v>
      </c>
      <c r="AJ167" s="15">
        <v>22</v>
      </c>
      <c r="AK167" s="15">
        <v>44</v>
      </c>
      <c r="AL167" s="15">
        <v>28</v>
      </c>
      <c r="AM167" s="1">
        <v>2</v>
      </c>
      <c r="AN167" s="15">
        <v>1.36</v>
      </c>
      <c r="AP167" s="15" t="s">
        <v>875</v>
      </c>
      <c r="AQ167" s="1">
        <v>1</v>
      </c>
      <c r="AR167" s="1">
        <v>3</v>
      </c>
      <c r="BP167" s="16"/>
      <c r="BQ167" s="16"/>
      <c r="BR167" s="16"/>
      <c r="BU167" s="16"/>
      <c r="CC167" s="15" t="s">
        <v>877</v>
      </c>
      <c r="CE167" s="15">
        <v>4</v>
      </c>
      <c r="CF167" s="15">
        <f t="shared" si="167"/>
        <v>90000</v>
      </c>
      <c r="CG167" s="15" t="s">
        <v>766</v>
      </c>
      <c r="CH167" s="15">
        <v>8.3000000000000007</v>
      </c>
      <c r="CI167" s="15">
        <v>500</v>
      </c>
      <c r="CK167" s="15">
        <v>477</v>
      </c>
      <c r="CN167" s="15">
        <v>0.76</v>
      </c>
      <c r="CR167" s="15">
        <v>0.85</v>
      </c>
      <c r="CY167" s="25">
        <f t="shared" si="168"/>
        <v>90000</v>
      </c>
      <c r="CZ167" s="25">
        <f t="shared" si="169"/>
        <v>115.38461538461537</v>
      </c>
      <c r="DA167" s="25">
        <f t="shared" si="170"/>
        <v>270000</v>
      </c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>
        <f t="shared" si="157"/>
        <v>4.74</v>
      </c>
      <c r="FL167" s="16">
        <f t="shared" si="158"/>
        <v>6.56</v>
      </c>
      <c r="FM167" s="15">
        <v>4.74</v>
      </c>
      <c r="FN167" s="15">
        <v>0.11</v>
      </c>
      <c r="FO167" s="15">
        <f>FN167*SQRT(AR167)</f>
        <v>0.1905255888325765</v>
      </c>
      <c r="FP167" s="15">
        <v>6.56</v>
      </c>
      <c r="FQ167" s="15">
        <v>0.25</v>
      </c>
      <c r="FR167" s="15">
        <f>FQ167*SQRT(AR167)</f>
        <v>0.4330127018922193</v>
      </c>
      <c r="FS167" s="15">
        <f t="shared" si="134"/>
        <v>1.3839662447257381</v>
      </c>
      <c r="FT167" s="15">
        <f t="shared" si="135"/>
        <v>1.8199999999999994</v>
      </c>
      <c r="FU167" s="15">
        <f t="shared" si="136"/>
        <v>0.32495346724901242</v>
      </c>
      <c r="FV167" s="15">
        <f>((FR167*FR167)/(AR167*FP167*FP167)+(FO167*FO167)/(AR167*FM167*FM167))</f>
        <v>1.9909068043374748E-3</v>
      </c>
      <c r="HE167" s="15">
        <v>12.04</v>
      </c>
      <c r="HF167" s="15">
        <v>2.7</v>
      </c>
      <c r="HG167" s="15">
        <f>HF167*SQRT(AR167)</f>
        <v>4.676537180435969</v>
      </c>
      <c r="HH167" s="15">
        <v>21.37</v>
      </c>
      <c r="HI167" s="15">
        <v>0.7</v>
      </c>
      <c r="HJ167" s="15">
        <f>HI167*SQRT(AR167)</f>
        <v>1.2124355652982139</v>
      </c>
      <c r="HK167" s="15">
        <f t="shared" si="173"/>
        <v>1.7749169435215948</v>
      </c>
      <c r="HL167" s="15">
        <f t="shared" si="174"/>
        <v>9.3300000000000018</v>
      </c>
      <c r="HM167" s="15">
        <f t="shared" si="175"/>
        <v>0.57375362945038155</v>
      </c>
      <c r="HN167" s="15">
        <f>((HJ167*HJ167)/(AR167*HH167*HH167)+(HG167*HG167)/(AR167*HE167*HE167))</f>
        <v>5.1362148687959248E-2</v>
      </c>
      <c r="HP167" s="15" t="s">
        <v>809</v>
      </c>
      <c r="HV167" s="15">
        <f t="shared" si="176"/>
        <v>4705.8525844732758</v>
      </c>
      <c r="HW167" s="15">
        <f t="shared" si="177"/>
        <v>0.57375362945038155</v>
      </c>
      <c r="HX167" s="25">
        <f>DA167</f>
        <v>270000</v>
      </c>
      <c r="HY167" s="25">
        <f>CY167</f>
        <v>90000</v>
      </c>
      <c r="HZ167" s="25">
        <f>CZ167</f>
        <v>115.38461538461537</v>
      </c>
      <c r="IA167" s="25">
        <f>DA167</f>
        <v>270000</v>
      </c>
    </row>
    <row r="168" spans="1:235" s="15" customFormat="1" x14ac:dyDescent="0.25">
      <c r="A168" s="31">
        <v>166</v>
      </c>
      <c r="B168" s="1">
        <v>30</v>
      </c>
      <c r="C168" s="1">
        <v>31</v>
      </c>
      <c r="D168" s="15" t="s">
        <v>132</v>
      </c>
      <c r="E168" s="1">
        <v>2</v>
      </c>
      <c r="F168" s="15" t="s">
        <v>777</v>
      </c>
      <c r="G168" s="15" t="s">
        <v>871</v>
      </c>
      <c r="H168" s="15" t="s">
        <v>880</v>
      </c>
      <c r="I168" s="1">
        <v>2018</v>
      </c>
      <c r="J168" s="15" t="s">
        <v>873</v>
      </c>
      <c r="K168" s="1">
        <v>2016</v>
      </c>
      <c r="L168" s="15" t="s">
        <v>623</v>
      </c>
      <c r="M168" s="15" t="s">
        <v>73</v>
      </c>
      <c r="N168" s="15" t="s">
        <v>23</v>
      </c>
      <c r="O168" s="31">
        <v>2</v>
      </c>
      <c r="P168" s="15">
        <v>29.09</v>
      </c>
      <c r="Q168" s="15">
        <v>119.08</v>
      </c>
      <c r="U168" s="15" t="s">
        <v>807</v>
      </c>
      <c r="V168" s="31">
        <v>2</v>
      </c>
      <c r="W168" s="16"/>
      <c r="X168" s="15" t="s">
        <v>729</v>
      </c>
      <c r="Y168" s="61">
        <v>11</v>
      </c>
      <c r="Z168" s="15">
        <v>5</v>
      </c>
      <c r="AA168" s="15" t="s">
        <v>574</v>
      </c>
      <c r="AB168" s="15">
        <f t="shared" si="156"/>
        <v>5</v>
      </c>
      <c r="AC168" s="1">
        <v>2</v>
      </c>
      <c r="AD168" s="15">
        <f t="shared" si="172"/>
        <v>4.0019999999999998</v>
      </c>
      <c r="AF168" s="15">
        <v>6.6</v>
      </c>
      <c r="AJ168" s="15">
        <v>22</v>
      </c>
      <c r="AK168" s="15">
        <v>44</v>
      </c>
      <c r="AL168" s="15">
        <v>28</v>
      </c>
      <c r="AM168" s="1">
        <v>2</v>
      </c>
      <c r="AN168" s="15">
        <v>1.36</v>
      </c>
      <c r="AP168" s="15" t="s">
        <v>875</v>
      </c>
      <c r="AQ168" s="1">
        <v>1</v>
      </c>
      <c r="AR168" s="1">
        <v>3</v>
      </c>
      <c r="BP168" s="16"/>
      <c r="BQ168" s="16"/>
      <c r="BR168" s="16"/>
      <c r="BU168" s="16"/>
      <c r="CC168" s="15" t="s">
        <v>876</v>
      </c>
      <c r="CE168" s="15">
        <v>2</v>
      </c>
      <c r="CF168" s="15">
        <f t="shared" si="167"/>
        <v>45000</v>
      </c>
      <c r="CG168" s="15" t="s">
        <v>766</v>
      </c>
      <c r="CH168" s="15">
        <v>8.6</v>
      </c>
      <c r="CI168" s="15">
        <v>500</v>
      </c>
      <c r="CK168" s="15">
        <v>502</v>
      </c>
      <c r="CN168" s="15">
        <v>0.15</v>
      </c>
      <c r="CR168" s="15">
        <v>0.24</v>
      </c>
      <c r="CY168" s="25">
        <f t="shared" si="168"/>
        <v>45000</v>
      </c>
      <c r="CZ168" s="25">
        <f t="shared" si="169"/>
        <v>57.692307692307686</v>
      </c>
      <c r="DA168" s="25">
        <f t="shared" si="170"/>
        <v>135000</v>
      </c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>
        <f t="shared" si="157"/>
        <v>4.74</v>
      </c>
      <c r="FL168" s="16">
        <f t="shared" si="158"/>
        <v>4.82</v>
      </c>
      <c r="FM168" s="15">
        <v>4.74</v>
      </c>
      <c r="FN168" s="15">
        <v>0.11</v>
      </c>
      <c r="FO168" s="15">
        <f>FN168*SQRT(AR168)</f>
        <v>0.1905255888325765</v>
      </c>
      <c r="FP168" s="15">
        <v>4.82</v>
      </c>
      <c r="FQ168" s="15">
        <v>0.19</v>
      </c>
      <c r="FR168" s="15">
        <f>FQ168*SQRT(AR168)</f>
        <v>0.32908965343808666</v>
      </c>
      <c r="FS168" s="15">
        <f t="shared" si="134"/>
        <v>1.0168776371308017</v>
      </c>
      <c r="FT168" s="15">
        <f t="shared" si="135"/>
        <v>8.0000000000000071E-2</v>
      </c>
      <c r="FU168" s="15">
        <f t="shared" si="136"/>
        <v>1.6736792355523944E-2</v>
      </c>
      <c r="FV168" s="15">
        <f>((FR168*FR168)/(AR168*FP168*FP168)+(FO168*FO168)/(AR168*FM168*FM168))</f>
        <v>2.0924177252307262E-3</v>
      </c>
      <c r="HE168" s="15">
        <v>12.04</v>
      </c>
      <c r="HF168" s="15">
        <v>2.7</v>
      </c>
      <c r="HG168" s="15">
        <f>HF168*SQRT(AR168)</f>
        <v>4.676537180435969</v>
      </c>
      <c r="HH168" s="15">
        <v>21.52</v>
      </c>
      <c r="HI168" s="15">
        <v>0.79</v>
      </c>
      <c r="HJ168" s="15">
        <f>HI168*SQRT(AR168)</f>
        <v>1.368320137979413</v>
      </c>
      <c r="HK168" s="15">
        <f t="shared" si="173"/>
        <v>1.7873754152823922</v>
      </c>
      <c r="HL168" s="15">
        <f t="shared" si="174"/>
        <v>9.48</v>
      </c>
      <c r="HM168" s="15">
        <f t="shared" si="175"/>
        <v>0.58074829541290862</v>
      </c>
      <c r="HN168" s="15">
        <f>((HJ168*HJ168)/(AR168*HH168*HH168)+(HG168*HG168)/(AR168*HE168*HE168))</f>
        <v>5.1636806860494912E-2</v>
      </c>
      <c r="HP168" s="15" t="s">
        <v>809</v>
      </c>
      <c r="HV168" s="15">
        <f t="shared" si="176"/>
        <v>2324.5871071221277</v>
      </c>
      <c r="HW168" s="15">
        <f t="shared" si="177"/>
        <v>0.58074829541290862</v>
      </c>
      <c r="HX168" s="25">
        <f>DA168</f>
        <v>135000</v>
      </c>
      <c r="HY168" s="25">
        <f>CY168</f>
        <v>45000</v>
      </c>
      <c r="HZ168" s="25">
        <f>CZ168</f>
        <v>57.692307692307686</v>
      </c>
      <c r="IA168" s="25">
        <f>DA168</f>
        <v>135000</v>
      </c>
    </row>
    <row r="169" spans="1:235" s="15" customFormat="1" x14ac:dyDescent="0.25">
      <c r="A169" s="31">
        <v>167</v>
      </c>
      <c r="B169" s="1">
        <v>30</v>
      </c>
      <c r="C169" s="1">
        <v>31</v>
      </c>
      <c r="D169" s="15" t="s">
        <v>134</v>
      </c>
      <c r="E169" s="1">
        <v>2</v>
      </c>
      <c r="F169" s="15" t="s">
        <v>777</v>
      </c>
      <c r="G169" s="15" t="s">
        <v>871</v>
      </c>
      <c r="H169" s="15" t="s">
        <v>880</v>
      </c>
      <c r="I169" s="1">
        <v>2018</v>
      </c>
      <c r="J169" s="15" t="s">
        <v>873</v>
      </c>
      <c r="K169" s="1">
        <v>2016</v>
      </c>
      <c r="L169" s="15" t="s">
        <v>623</v>
      </c>
      <c r="M169" s="15" t="s">
        <v>73</v>
      </c>
      <c r="N169" s="15" t="s">
        <v>23</v>
      </c>
      <c r="O169" s="31">
        <v>2</v>
      </c>
      <c r="P169" s="15">
        <v>29.09</v>
      </c>
      <c r="Q169" s="15">
        <v>119.08</v>
      </c>
      <c r="U169" s="15" t="s">
        <v>807</v>
      </c>
      <c r="V169" s="31">
        <v>2</v>
      </c>
      <c r="W169" s="16"/>
      <c r="X169" s="15" t="s">
        <v>729</v>
      </c>
      <c r="Y169" s="61">
        <v>11</v>
      </c>
      <c r="Z169" s="15">
        <v>5</v>
      </c>
      <c r="AA169" s="15" t="s">
        <v>574</v>
      </c>
      <c r="AB169" s="15">
        <f t="shared" si="156"/>
        <v>5</v>
      </c>
      <c r="AC169" s="1">
        <v>2</v>
      </c>
      <c r="AD169" s="15">
        <f t="shared" si="172"/>
        <v>4.0019999999999998</v>
      </c>
      <c r="AF169" s="15">
        <v>6.6</v>
      </c>
      <c r="AJ169" s="15">
        <v>22</v>
      </c>
      <c r="AK169" s="15">
        <v>44</v>
      </c>
      <c r="AL169" s="15">
        <v>28</v>
      </c>
      <c r="AM169" s="1">
        <v>2</v>
      </c>
      <c r="AN169" s="15">
        <v>1.36</v>
      </c>
      <c r="AP169" s="15" t="s">
        <v>875</v>
      </c>
      <c r="AQ169" s="1">
        <v>1</v>
      </c>
      <c r="AR169" s="1">
        <v>3</v>
      </c>
      <c r="BP169" s="16"/>
      <c r="BQ169" s="16"/>
      <c r="BR169" s="16"/>
      <c r="BU169" s="16"/>
      <c r="CC169" s="15" t="s">
        <v>876</v>
      </c>
      <c r="CE169" s="15">
        <v>4</v>
      </c>
      <c r="CF169" s="15">
        <f t="shared" si="167"/>
        <v>90000</v>
      </c>
      <c r="CG169" s="15" t="s">
        <v>766</v>
      </c>
      <c r="CH169" s="15">
        <v>8.6</v>
      </c>
      <c r="CI169" s="15">
        <v>500</v>
      </c>
      <c r="CK169" s="15">
        <v>502</v>
      </c>
      <c r="CN169" s="15">
        <v>0.76</v>
      </c>
      <c r="CR169" s="15">
        <v>0.85</v>
      </c>
      <c r="CY169" s="25">
        <f t="shared" si="168"/>
        <v>90000</v>
      </c>
      <c r="CZ169" s="25">
        <f t="shared" si="169"/>
        <v>115.38461538461537</v>
      </c>
      <c r="DA169" s="25">
        <f t="shared" si="170"/>
        <v>270000</v>
      </c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>
        <f t="shared" si="157"/>
        <v>4.74</v>
      </c>
      <c r="FL169" s="16">
        <f t="shared" si="158"/>
        <v>4.97</v>
      </c>
      <c r="FM169" s="15">
        <v>4.74</v>
      </c>
      <c r="FN169" s="15">
        <v>0.11</v>
      </c>
      <c r="FO169" s="15">
        <f>FN169*SQRT(AR169)</f>
        <v>0.1905255888325765</v>
      </c>
      <c r="FP169" s="15">
        <v>4.97</v>
      </c>
      <c r="FQ169" s="15">
        <v>0.05</v>
      </c>
      <c r="FR169" s="15">
        <f>FQ169*SQRT(AR169)</f>
        <v>8.6602540378443865E-2</v>
      </c>
      <c r="FS169" s="15">
        <f t="shared" si="134"/>
        <v>1.0485232067510548</v>
      </c>
      <c r="FT169" s="15">
        <f t="shared" si="135"/>
        <v>0.22999999999999954</v>
      </c>
      <c r="FU169" s="15">
        <f t="shared" si="136"/>
        <v>4.7382704401552234E-2</v>
      </c>
      <c r="FV169" s="15">
        <f>((FR169*FR169)/(AR169*FP169*FP169)+(FO169*FO169)/(AR169*FM169*FM169))</f>
        <v>6.3976418157458774E-4</v>
      </c>
      <c r="HE169" s="15">
        <v>12.04</v>
      </c>
      <c r="HF169" s="15">
        <v>2.7</v>
      </c>
      <c r="HG169" s="15">
        <f>HF169*SQRT(AR169)</f>
        <v>4.676537180435969</v>
      </c>
      <c r="HH169" s="15">
        <v>18.34</v>
      </c>
      <c r="HI169" s="15">
        <v>10</v>
      </c>
      <c r="HJ169" s="15">
        <f>HI169*SQRT(AR169)</f>
        <v>17.320508075688771</v>
      </c>
      <c r="HK169" s="15">
        <f t="shared" si="173"/>
        <v>1.5232558139534884</v>
      </c>
      <c r="HL169" s="15">
        <f t="shared" si="174"/>
        <v>6.3000000000000007</v>
      </c>
      <c r="HM169" s="15">
        <f t="shared" si="175"/>
        <v>0.42085002694764384</v>
      </c>
      <c r="HN169" s="15">
        <f>((HJ169*HJ169)/(AR169*HH169*HH169)+(HG169*HG169)/(AR169*HE169*HE169))</f>
        <v>0.34759358049301758</v>
      </c>
      <c r="HP169" s="15" t="s">
        <v>809</v>
      </c>
      <c r="HV169" s="15">
        <f t="shared" si="176"/>
        <v>6415.5870906856226</v>
      </c>
      <c r="HW169" s="15">
        <f t="shared" si="177"/>
        <v>0.42085002694764384</v>
      </c>
      <c r="HX169" s="25">
        <f>DA169</f>
        <v>270000</v>
      </c>
      <c r="HY169" s="25">
        <f>CY169</f>
        <v>90000</v>
      </c>
      <c r="HZ169" s="25">
        <f>CZ169</f>
        <v>115.38461538461537</v>
      </c>
      <c r="IA169" s="25">
        <f>DA169</f>
        <v>270000</v>
      </c>
    </row>
    <row r="170" spans="1:235" s="15" customFormat="1" x14ac:dyDescent="0.25">
      <c r="A170" s="31">
        <v>168</v>
      </c>
      <c r="B170" s="1">
        <v>30</v>
      </c>
      <c r="C170" s="1">
        <v>31</v>
      </c>
      <c r="D170" s="15" t="s">
        <v>135</v>
      </c>
      <c r="E170" s="1">
        <v>1</v>
      </c>
      <c r="F170" s="15" t="s">
        <v>761</v>
      </c>
      <c r="G170" s="15" t="s">
        <v>871</v>
      </c>
      <c r="H170" s="15" t="s">
        <v>880</v>
      </c>
      <c r="I170" s="1">
        <v>2018</v>
      </c>
      <c r="J170" s="15" t="s">
        <v>873</v>
      </c>
      <c r="K170" s="1">
        <v>2016</v>
      </c>
      <c r="L170" s="15" t="s">
        <v>623</v>
      </c>
      <c r="M170" s="15" t="s">
        <v>73</v>
      </c>
      <c r="N170" s="15" t="s">
        <v>23</v>
      </c>
      <c r="O170" s="31">
        <v>2</v>
      </c>
      <c r="P170" s="15">
        <v>29.09</v>
      </c>
      <c r="Q170" s="15">
        <v>119.08</v>
      </c>
      <c r="U170" s="15" t="s">
        <v>807</v>
      </c>
      <c r="V170" s="31">
        <v>2</v>
      </c>
      <c r="W170" s="16"/>
      <c r="X170" s="15" t="s">
        <v>729</v>
      </c>
      <c r="Y170" s="61">
        <v>11</v>
      </c>
      <c r="Z170" s="15">
        <v>5</v>
      </c>
      <c r="AA170" s="15" t="s">
        <v>574</v>
      </c>
      <c r="AB170" s="15">
        <f t="shared" si="156"/>
        <v>5</v>
      </c>
      <c r="AC170" s="1">
        <v>2</v>
      </c>
      <c r="AD170" s="15">
        <f t="shared" si="172"/>
        <v>4.0019999999999998</v>
      </c>
      <c r="AF170" s="15">
        <v>6.6</v>
      </c>
      <c r="AJ170" s="15">
        <v>22</v>
      </c>
      <c r="AK170" s="15">
        <v>44</v>
      </c>
      <c r="AL170" s="15">
        <v>28</v>
      </c>
      <c r="AM170" s="1">
        <v>2</v>
      </c>
      <c r="AN170" s="15">
        <v>1.36</v>
      </c>
      <c r="AP170" s="15" t="s">
        <v>875</v>
      </c>
      <c r="AQ170" s="1">
        <v>1</v>
      </c>
      <c r="AR170" s="1">
        <v>3</v>
      </c>
      <c r="AT170" s="15" t="s">
        <v>545</v>
      </c>
      <c r="AW170" s="15">
        <v>0.6</v>
      </c>
      <c r="AX170" s="15">
        <f>AW170*1.78*2250</f>
        <v>2403</v>
      </c>
      <c r="AY170" s="15" t="s">
        <v>766</v>
      </c>
      <c r="AZ170" s="15">
        <f>AX170</f>
        <v>2403</v>
      </c>
      <c r="BA170" s="15">
        <f>AZ170/2.93/1000</f>
        <v>0.82013651877133098</v>
      </c>
      <c r="BB170" s="15">
        <f>AZ170*0.6</f>
        <v>1441.8</v>
      </c>
      <c r="BP170" s="16"/>
      <c r="BQ170" s="16"/>
      <c r="BR170" s="16"/>
      <c r="BU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>
        <f t="shared" si="157"/>
        <v>4.74</v>
      </c>
      <c r="FL170" s="16">
        <f t="shared" si="158"/>
        <v>5.37</v>
      </c>
      <c r="FM170" s="15">
        <v>4.74</v>
      </c>
      <c r="FN170" s="15">
        <v>0.11</v>
      </c>
      <c r="FO170" s="15">
        <f>FN170*SQRT(AR170)</f>
        <v>0.1905255888325765</v>
      </c>
      <c r="FP170" s="15">
        <v>5.37</v>
      </c>
      <c r="FQ170" s="15">
        <v>0.35</v>
      </c>
      <c r="FR170" s="15">
        <f>FQ170*SQRT(AR170)</f>
        <v>0.60621778264910697</v>
      </c>
      <c r="FS170" s="15">
        <f t="shared" si="134"/>
        <v>1.1329113924050633</v>
      </c>
      <c r="FT170" s="15">
        <f t="shared" si="135"/>
        <v>0.62999999999999989</v>
      </c>
      <c r="FU170" s="15">
        <f t="shared" si="136"/>
        <v>0.12479077281378825</v>
      </c>
      <c r="FV170" s="15">
        <f>((FR170*FR170)/(AR170*FP170*FP170)+(FO170*FO170)/(AR170*FM170*FM170))</f>
        <v>4.7865827290311455E-3</v>
      </c>
      <c r="HE170" s="15">
        <v>12.04</v>
      </c>
      <c r="HF170" s="15">
        <v>2.7</v>
      </c>
      <c r="HG170" s="15">
        <f>HF170*SQRT(AR170)</f>
        <v>4.676537180435969</v>
      </c>
      <c r="HH170" s="15">
        <v>20.99</v>
      </c>
      <c r="HI170" s="15">
        <v>1.37</v>
      </c>
      <c r="HJ170" s="15">
        <f>HI170*SQRT(AR170)</f>
        <v>2.3729096063693618</v>
      </c>
      <c r="HK170" s="15">
        <f t="shared" si="173"/>
        <v>1.7433554817275747</v>
      </c>
      <c r="HL170" s="15">
        <f t="shared" si="174"/>
        <v>8.9499999999999993</v>
      </c>
      <c r="HM170" s="15">
        <f t="shared" si="175"/>
        <v>0.55581169395186691</v>
      </c>
      <c r="HN170" s="15">
        <f>((HJ170*HJ170)/(AR170*HH170*HH170)+(HG170*HG170)/(AR170*HE170*HE170))</f>
        <v>5.4549245340475602E-2</v>
      </c>
      <c r="HP170" s="15" t="s">
        <v>809</v>
      </c>
      <c r="HV170" s="15">
        <f t="shared" si="176"/>
        <v>25.940440183053425</v>
      </c>
      <c r="HW170" s="15">
        <f t="shared" si="177"/>
        <v>0.55581169395186691</v>
      </c>
      <c r="HX170" s="15">
        <f>BB170</f>
        <v>1441.8</v>
      </c>
      <c r="HY170" s="15">
        <f>AZ170</f>
        <v>2403</v>
      </c>
      <c r="HZ170" s="15">
        <f>BA170</f>
        <v>0.82013651877133098</v>
      </c>
      <c r="IA170" s="15">
        <f>BB170</f>
        <v>1441.8</v>
      </c>
    </row>
    <row r="171" spans="1:235" s="15" customFormat="1" x14ac:dyDescent="0.25">
      <c r="A171" s="31">
        <v>169</v>
      </c>
      <c r="B171" s="1">
        <v>30</v>
      </c>
      <c r="C171" s="1">
        <v>31</v>
      </c>
      <c r="D171" s="15" t="s">
        <v>136</v>
      </c>
      <c r="E171" s="1">
        <v>1</v>
      </c>
      <c r="F171" s="15" t="s">
        <v>761</v>
      </c>
      <c r="G171" s="15" t="s">
        <v>871</v>
      </c>
      <c r="H171" s="15" t="s">
        <v>880</v>
      </c>
      <c r="I171" s="1">
        <v>2018</v>
      </c>
      <c r="J171" s="15" t="s">
        <v>873</v>
      </c>
      <c r="K171" s="1">
        <v>2016</v>
      </c>
      <c r="L171" s="15" t="s">
        <v>623</v>
      </c>
      <c r="M171" s="15" t="s">
        <v>73</v>
      </c>
      <c r="N171" s="15" t="s">
        <v>23</v>
      </c>
      <c r="O171" s="31">
        <v>2</v>
      </c>
      <c r="P171" s="15">
        <v>29.09</v>
      </c>
      <c r="Q171" s="15">
        <v>119.08</v>
      </c>
      <c r="U171" s="15" t="s">
        <v>807</v>
      </c>
      <c r="V171" s="31">
        <v>2</v>
      </c>
      <c r="W171" s="16"/>
      <c r="X171" s="15" t="s">
        <v>729</v>
      </c>
      <c r="Y171" s="61">
        <v>11</v>
      </c>
      <c r="Z171" s="15">
        <v>5</v>
      </c>
      <c r="AA171" s="15" t="s">
        <v>574</v>
      </c>
      <c r="AB171" s="15">
        <f t="shared" si="156"/>
        <v>5</v>
      </c>
      <c r="AC171" s="1">
        <v>2</v>
      </c>
      <c r="AD171" s="15">
        <f t="shared" si="172"/>
        <v>4.0019999999999998</v>
      </c>
      <c r="AF171" s="15">
        <v>6.6</v>
      </c>
      <c r="AJ171" s="15">
        <v>22</v>
      </c>
      <c r="AK171" s="15">
        <v>44</v>
      </c>
      <c r="AL171" s="15">
        <v>28</v>
      </c>
      <c r="AM171" s="1">
        <v>2</v>
      </c>
      <c r="AN171" s="15">
        <v>1.36</v>
      </c>
      <c r="AP171" s="15" t="s">
        <v>875</v>
      </c>
      <c r="AQ171" s="1">
        <v>1</v>
      </c>
      <c r="AR171" s="1">
        <v>3</v>
      </c>
      <c r="AT171" s="15" t="s">
        <v>545</v>
      </c>
      <c r="AW171" s="15">
        <v>1.2</v>
      </c>
      <c r="AX171" s="15">
        <f>AW171*1.78*2250</f>
        <v>4806</v>
      </c>
      <c r="AY171" s="15" t="s">
        <v>766</v>
      </c>
      <c r="AZ171" s="15">
        <f>AX171</f>
        <v>4806</v>
      </c>
      <c r="BA171" s="15">
        <f>AZ171/2.93/1000</f>
        <v>1.640273037542662</v>
      </c>
      <c r="BB171" s="15">
        <f>AZ171*0.6</f>
        <v>2883.6</v>
      </c>
      <c r="BP171" s="16"/>
      <c r="BQ171" s="16"/>
      <c r="BR171" s="16"/>
      <c r="BU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>
        <f t="shared" si="157"/>
        <v>4.74</v>
      </c>
      <c r="FL171" s="16">
        <f t="shared" si="158"/>
        <v>6.48</v>
      </c>
      <c r="FM171" s="15">
        <v>4.74</v>
      </c>
      <c r="FN171" s="15">
        <v>0.11</v>
      </c>
      <c r="FO171" s="15">
        <f>FN171*SQRT(AR171)</f>
        <v>0.1905255888325765</v>
      </c>
      <c r="FP171" s="15">
        <v>6.48</v>
      </c>
      <c r="FQ171" s="15">
        <v>0.13</v>
      </c>
      <c r="FR171" s="15">
        <f>FQ171*SQRT(AR171)</f>
        <v>0.22516660498395405</v>
      </c>
      <c r="FS171" s="15">
        <f t="shared" si="134"/>
        <v>1.3670886075949367</v>
      </c>
      <c r="FT171" s="15">
        <f t="shared" si="135"/>
        <v>1.7400000000000002</v>
      </c>
      <c r="FU171" s="15">
        <f t="shared" si="136"/>
        <v>0.3126833746571982</v>
      </c>
      <c r="FV171" s="15">
        <f>((FR171*FR171)/(AR171*FP171*FP171)+(FO171*FO171)/(AR171*FM171*FM171))</f>
        <v>9.4102624071911529E-4</v>
      </c>
      <c r="HE171" s="15">
        <v>12.04</v>
      </c>
      <c r="HF171" s="15">
        <v>2.7</v>
      </c>
      <c r="HG171" s="15">
        <f>HF171*SQRT(AR171)</f>
        <v>4.676537180435969</v>
      </c>
      <c r="HH171" s="15">
        <v>19.760000000000002</v>
      </c>
      <c r="HI171" s="15">
        <v>0.66</v>
      </c>
      <c r="HJ171" s="15">
        <f>HI171*SQRT(AR171)</f>
        <v>1.143153532995459</v>
      </c>
      <c r="HK171" s="15">
        <f t="shared" si="173"/>
        <v>1.6411960132890369</v>
      </c>
      <c r="HL171" s="15">
        <f t="shared" si="174"/>
        <v>7.7200000000000024</v>
      </c>
      <c r="HM171" s="15">
        <f t="shared" si="175"/>
        <v>0.495425252439047</v>
      </c>
      <c r="HN171" s="15">
        <f>((HJ171*HJ171)/(AR171*HH171*HH171)+(HG171*HG171)/(AR171*HE171*HE171))</f>
        <v>5.1404794120849966E-2</v>
      </c>
      <c r="HP171" s="15" t="s">
        <v>809</v>
      </c>
      <c r="HV171" s="15">
        <f t="shared" si="176"/>
        <v>58.204542174700194</v>
      </c>
      <c r="HW171" s="15">
        <f t="shared" si="177"/>
        <v>0.495425252439047</v>
      </c>
      <c r="HX171" s="15">
        <f>BB171</f>
        <v>2883.6</v>
      </c>
      <c r="HY171" s="15">
        <f>AZ171</f>
        <v>4806</v>
      </c>
      <c r="HZ171" s="15">
        <f>BA171</f>
        <v>1.640273037542662</v>
      </c>
      <c r="IA171" s="15">
        <f>BB171</f>
        <v>2883.6</v>
      </c>
    </row>
    <row r="172" spans="1:235" s="15" customFormat="1" x14ac:dyDescent="0.25">
      <c r="A172" s="31">
        <v>170</v>
      </c>
      <c r="B172" s="1">
        <v>30</v>
      </c>
      <c r="C172" s="1">
        <v>31</v>
      </c>
      <c r="D172" s="15" t="s">
        <v>137</v>
      </c>
      <c r="E172" s="1">
        <v>6</v>
      </c>
      <c r="F172" s="15" t="s">
        <v>872</v>
      </c>
      <c r="G172" s="15" t="s">
        <v>871</v>
      </c>
      <c r="H172" s="15" t="s">
        <v>880</v>
      </c>
      <c r="I172" s="1">
        <v>2018</v>
      </c>
      <c r="J172" s="15" t="s">
        <v>873</v>
      </c>
      <c r="K172" s="1">
        <v>2016</v>
      </c>
      <c r="L172" s="15" t="s">
        <v>623</v>
      </c>
      <c r="M172" s="15" t="s">
        <v>73</v>
      </c>
      <c r="N172" s="15" t="s">
        <v>23</v>
      </c>
      <c r="O172" s="31">
        <v>2</v>
      </c>
      <c r="P172" s="15">
        <v>29.09</v>
      </c>
      <c r="Q172" s="15">
        <v>119.08</v>
      </c>
      <c r="U172" s="15" t="s">
        <v>807</v>
      </c>
      <c r="V172" s="31">
        <v>2</v>
      </c>
      <c r="W172" s="16"/>
      <c r="X172" s="15" t="s">
        <v>729</v>
      </c>
      <c r="Y172" s="61">
        <v>11</v>
      </c>
      <c r="Z172" s="15">
        <v>5</v>
      </c>
      <c r="AA172" s="15" t="s">
        <v>574</v>
      </c>
      <c r="AB172" s="15">
        <f t="shared" si="156"/>
        <v>5</v>
      </c>
      <c r="AC172" s="1">
        <v>2</v>
      </c>
      <c r="AD172" s="15">
        <f t="shared" si="172"/>
        <v>4.0019999999999998</v>
      </c>
      <c r="AF172" s="15">
        <v>6.6</v>
      </c>
      <c r="AJ172" s="15">
        <v>22</v>
      </c>
      <c r="AK172" s="15">
        <v>44</v>
      </c>
      <c r="AL172" s="15">
        <v>28</v>
      </c>
      <c r="AM172" s="1">
        <v>2</v>
      </c>
      <c r="AN172" s="15">
        <v>1.36</v>
      </c>
      <c r="AP172" s="15" t="s">
        <v>875</v>
      </c>
      <c r="AQ172" s="1">
        <v>1</v>
      </c>
      <c r="AR172" s="1">
        <v>3</v>
      </c>
      <c r="BP172" s="16"/>
      <c r="BQ172" s="16"/>
      <c r="BR172" s="16"/>
      <c r="BU172" s="16"/>
      <c r="CC172" s="15" t="s">
        <v>877</v>
      </c>
      <c r="CE172" s="15">
        <v>2</v>
      </c>
      <c r="CF172" s="15">
        <f t="shared" ref="CF172:CF179" si="178">CE172*22500</f>
        <v>45000</v>
      </c>
      <c r="CG172" s="15" t="s">
        <v>766</v>
      </c>
      <c r="CH172" s="15">
        <v>8.3000000000000007</v>
      </c>
      <c r="CI172" s="15">
        <v>500</v>
      </c>
      <c r="CK172" s="15">
        <v>477</v>
      </c>
      <c r="CN172" s="15">
        <v>0.15</v>
      </c>
      <c r="CR172" s="15">
        <v>0.24</v>
      </c>
      <c r="CY172" s="25">
        <f t="shared" ref="CY172:CY179" si="179">CF172</f>
        <v>45000</v>
      </c>
      <c r="CZ172" s="25">
        <f t="shared" ref="CZ172:CZ179" si="180">CY172/0.78/1000</f>
        <v>57.692307692307686</v>
      </c>
      <c r="DA172" s="25">
        <f t="shared" ref="DA172:DA179" si="181">CY172*3</f>
        <v>135000</v>
      </c>
      <c r="EW172" s="46">
        <f>AX172+BT172+CF172+DE172+DY172</f>
        <v>45000</v>
      </c>
      <c r="EX172" s="46">
        <f>BA172+BZ172+CZ172+DT172+ET172</f>
        <v>57.692307692307686</v>
      </c>
      <c r="EY172" s="46">
        <f>BB172+CA172+DA172+DU172+EU172</f>
        <v>135000</v>
      </c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>
        <f t="shared" si="157"/>
        <v>4.74</v>
      </c>
      <c r="FL172" s="16">
        <f t="shared" si="158"/>
        <v>6.5990000000000002</v>
      </c>
      <c r="FM172" s="15">
        <v>4.74</v>
      </c>
      <c r="FN172" s="15">
        <v>0.11</v>
      </c>
      <c r="FO172" s="15">
        <f>FN172*SQRT(AR172)</f>
        <v>0.1905255888325765</v>
      </c>
      <c r="FP172" s="15">
        <v>6.5990000000000002</v>
      </c>
      <c r="FQ172" s="15">
        <v>0.26</v>
      </c>
      <c r="FR172" s="15">
        <f>FQ172*SQRT(AR172)</f>
        <v>0.4503332099679081</v>
      </c>
      <c r="FS172" s="15">
        <f t="shared" si="134"/>
        <v>1.3921940928270042</v>
      </c>
      <c r="FT172" s="15">
        <f t="shared" si="135"/>
        <v>1.859</v>
      </c>
      <c r="FU172" s="15">
        <f t="shared" si="136"/>
        <v>0.33088098669429944</v>
      </c>
      <c r="FV172" s="15">
        <f>((FR172*FR172)/(AR172*FP172*FP172)+(FO172*FO172)/(AR172*FM172*FM172))</f>
        <v>2.0909061298082284E-3</v>
      </c>
      <c r="HE172" s="15">
        <v>12.04</v>
      </c>
      <c r="HF172" s="15">
        <v>2.7</v>
      </c>
      <c r="HG172" s="15">
        <f>HF172*SQRT(AR172)</f>
        <v>4.676537180435969</v>
      </c>
      <c r="HH172" s="15">
        <v>17.21</v>
      </c>
      <c r="HI172" s="15">
        <v>0.21</v>
      </c>
      <c r="HJ172" s="15">
        <f>HI172*SQRT(AR172)</f>
        <v>0.36373066958946421</v>
      </c>
      <c r="HK172" s="15">
        <f t="shared" si="173"/>
        <v>1.4294019933554818</v>
      </c>
      <c r="HL172" s="15">
        <f t="shared" si="174"/>
        <v>5.1700000000000017</v>
      </c>
      <c r="HM172" s="15">
        <f t="shared" si="175"/>
        <v>0.35725617034277324</v>
      </c>
      <c r="HN172" s="15">
        <f>((HJ172*HJ172)/(AR172*HH172*HH172)+(HG172*HG172)/(AR172*HE172*HE172))</f>
        <v>5.0438073911654537E-2</v>
      </c>
      <c r="HP172" s="15" t="s">
        <v>809</v>
      </c>
      <c r="HV172" s="15">
        <f t="shared" si="176"/>
        <v>3778.8010734838481</v>
      </c>
      <c r="HW172" s="15">
        <f t="shared" si="177"/>
        <v>0.35725617034277324</v>
      </c>
      <c r="HX172" s="15">
        <f t="shared" ref="HX172:HX179" si="182">EY172</f>
        <v>135000</v>
      </c>
      <c r="HY172" s="15">
        <f t="shared" ref="HY172:IA179" si="183">EW172</f>
        <v>45000</v>
      </c>
      <c r="HZ172" s="15">
        <f t="shared" si="183"/>
        <v>57.692307692307686</v>
      </c>
      <c r="IA172" s="15">
        <f t="shared" si="183"/>
        <v>135000</v>
      </c>
    </row>
    <row r="173" spans="1:235" s="15" customFormat="1" x14ac:dyDescent="0.25">
      <c r="A173" s="31">
        <v>171</v>
      </c>
      <c r="B173" s="1">
        <v>30</v>
      </c>
      <c r="C173" s="1">
        <v>31</v>
      </c>
      <c r="D173" s="15" t="s">
        <v>138</v>
      </c>
      <c r="E173" s="1">
        <v>6</v>
      </c>
      <c r="F173" s="15" t="s">
        <v>872</v>
      </c>
      <c r="G173" s="15" t="s">
        <v>871</v>
      </c>
      <c r="H173" s="15" t="s">
        <v>880</v>
      </c>
      <c r="I173" s="1">
        <v>2018</v>
      </c>
      <c r="J173" s="15" t="s">
        <v>873</v>
      </c>
      <c r="K173" s="1">
        <v>2016</v>
      </c>
      <c r="L173" s="15" t="s">
        <v>623</v>
      </c>
      <c r="M173" s="15" t="s">
        <v>73</v>
      </c>
      <c r="N173" s="15" t="s">
        <v>23</v>
      </c>
      <c r="O173" s="31">
        <v>2</v>
      </c>
      <c r="P173" s="15">
        <v>29.09</v>
      </c>
      <c r="Q173" s="15">
        <v>119.08</v>
      </c>
      <c r="U173" s="15" t="s">
        <v>807</v>
      </c>
      <c r="V173" s="31">
        <v>2</v>
      </c>
      <c r="W173" s="16"/>
      <c r="X173" s="15" t="s">
        <v>729</v>
      </c>
      <c r="Y173" s="61">
        <v>11</v>
      </c>
      <c r="Z173" s="15">
        <v>5</v>
      </c>
      <c r="AA173" s="15" t="s">
        <v>574</v>
      </c>
      <c r="AB173" s="15">
        <f t="shared" si="156"/>
        <v>5</v>
      </c>
      <c r="AC173" s="1">
        <v>2</v>
      </c>
      <c r="AD173" s="15">
        <f t="shared" si="172"/>
        <v>4.0019999999999998</v>
      </c>
      <c r="AF173" s="15">
        <v>6.6</v>
      </c>
      <c r="AJ173" s="15">
        <v>22</v>
      </c>
      <c r="AK173" s="15">
        <v>44</v>
      </c>
      <c r="AL173" s="15">
        <v>28</v>
      </c>
      <c r="AM173" s="1">
        <v>2</v>
      </c>
      <c r="AN173" s="15">
        <v>1.36</v>
      </c>
      <c r="AP173" s="15" t="s">
        <v>875</v>
      </c>
      <c r="AQ173" s="1">
        <v>1</v>
      </c>
      <c r="AR173" s="1">
        <v>3</v>
      </c>
      <c r="BP173" s="16"/>
      <c r="BQ173" s="16"/>
      <c r="BR173" s="16"/>
      <c r="BU173" s="16"/>
      <c r="CC173" s="15" t="s">
        <v>877</v>
      </c>
      <c r="CE173" s="15">
        <v>4</v>
      </c>
      <c r="CF173" s="15">
        <f t="shared" si="178"/>
        <v>90000</v>
      </c>
      <c r="CG173" s="15" t="s">
        <v>766</v>
      </c>
      <c r="CH173" s="15">
        <v>8.3000000000000007</v>
      </c>
      <c r="CI173" s="15">
        <v>500</v>
      </c>
      <c r="CK173" s="15">
        <v>477</v>
      </c>
      <c r="CN173" s="15">
        <v>0.76</v>
      </c>
      <c r="CR173" s="15">
        <v>0.85</v>
      </c>
      <c r="CY173" s="25">
        <f t="shared" si="179"/>
        <v>90000</v>
      </c>
      <c r="CZ173" s="25">
        <f t="shared" si="180"/>
        <v>115.38461538461537</v>
      </c>
      <c r="DA173" s="25">
        <f t="shared" si="181"/>
        <v>270000</v>
      </c>
      <c r="EW173" s="46">
        <f>AX173+BT173+CF173+DE173+DY173</f>
        <v>90000</v>
      </c>
      <c r="EX173" s="46">
        <f>BA173+BZ173+CZ173+DT173+ET173</f>
        <v>115.38461538461537</v>
      </c>
      <c r="EY173" s="46">
        <f>BB173+CA173+DA173+DU173+EU173</f>
        <v>270000</v>
      </c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>
        <f t="shared" si="157"/>
        <v>4.74</v>
      </c>
      <c r="FL173" s="16">
        <f t="shared" si="158"/>
        <v>7.15</v>
      </c>
      <c r="FM173" s="15">
        <v>4.74</v>
      </c>
      <c r="FN173" s="15">
        <v>0.11</v>
      </c>
      <c r="FO173" s="15">
        <f>FN173*SQRT(AR173)</f>
        <v>0.1905255888325765</v>
      </c>
      <c r="FP173" s="15">
        <v>7.15</v>
      </c>
      <c r="FQ173" s="15">
        <v>7.0000000000000007E-2</v>
      </c>
      <c r="FR173" s="15">
        <f>FQ173*SQRT(AR173)</f>
        <v>0.12124355652982141</v>
      </c>
      <c r="FS173" s="15">
        <f t="shared" si="134"/>
        <v>1.5084388185654007</v>
      </c>
      <c r="FT173" s="15">
        <f t="shared" si="135"/>
        <v>2.41</v>
      </c>
      <c r="FU173" s="15">
        <f t="shared" si="136"/>
        <v>0.41107522099893123</v>
      </c>
      <c r="FV173" s="15">
        <f>((FR173*FR173)/(AR173*FP173*FP173)+(FO173*FO173)/(AR173*FM173*FM173))</f>
        <v>6.3440150225820891E-4</v>
      </c>
      <c r="HE173" s="15">
        <v>12.04</v>
      </c>
      <c r="HF173" s="15">
        <v>2.7</v>
      </c>
      <c r="HG173" s="15">
        <f>HF173*SQRT(AR173)</f>
        <v>4.676537180435969</v>
      </c>
      <c r="HH173" s="15">
        <v>18.559999999999999</v>
      </c>
      <c r="HI173" s="15">
        <v>1.61</v>
      </c>
      <c r="HJ173" s="15">
        <f>HI173*SQRT(AR173)</f>
        <v>2.7886018001858925</v>
      </c>
      <c r="HK173" s="15">
        <f t="shared" si="173"/>
        <v>1.5415282392026579</v>
      </c>
      <c r="HL173" s="15">
        <f t="shared" si="174"/>
        <v>6.52</v>
      </c>
      <c r="HM173" s="15">
        <f t="shared" si="175"/>
        <v>0.43277428747737945</v>
      </c>
      <c r="HN173" s="15">
        <f>((HJ173*HJ173)/(AR173*HH173*HH173)+(HG173*HG173)/(AR173*HE173*HE173))</f>
        <v>5.7813994704876991E-2</v>
      </c>
      <c r="HP173" s="15" t="s">
        <v>809</v>
      </c>
      <c r="HV173" s="15">
        <f t="shared" si="176"/>
        <v>6238.8179661462109</v>
      </c>
      <c r="HW173" s="15">
        <f t="shared" si="177"/>
        <v>0.43277428747737945</v>
      </c>
      <c r="HX173" s="15">
        <f t="shared" si="182"/>
        <v>270000</v>
      </c>
      <c r="HY173" s="15">
        <f t="shared" si="183"/>
        <v>90000</v>
      </c>
      <c r="HZ173" s="15">
        <f t="shared" si="183"/>
        <v>115.38461538461537</v>
      </c>
      <c r="IA173" s="15">
        <f t="shared" si="183"/>
        <v>270000</v>
      </c>
    </row>
    <row r="174" spans="1:235" s="15" customFormat="1" x14ac:dyDescent="0.25">
      <c r="A174" s="31">
        <v>172</v>
      </c>
      <c r="B174" s="1">
        <v>30</v>
      </c>
      <c r="C174" s="1">
        <v>31</v>
      </c>
      <c r="D174" s="15" t="s">
        <v>139</v>
      </c>
      <c r="E174" s="1">
        <v>6</v>
      </c>
      <c r="F174" s="15" t="s">
        <v>872</v>
      </c>
      <c r="G174" s="15" t="s">
        <v>871</v>
      </c>
      <c r="H174" s="15" t="s">
        <v>880</v>
      </c>
      <c r="I174" s="1">
        <v>2018</v>
      </c>
      <c r="J174" s="15" t="s">
        <v>873</v>
      </c>
      <c r="K174" s="1">
        <v>2016</v>
      </c>
      <c r="L174" s="15" t="s">
        <v>623</v>
      </c>
      <c r="M174" s="15" t="s">
        <v>73</v>
      </c>
      <c r="N174" s="15" t="s">
        <v>23</v>
      </c>
      <c r="O174" s="31">
        <v>2</v>
      </c>
      <c r="P174" s="15">
        <v>29.09</v>
      </c>
      <c r="Q174" s="15">
        <v>119.08</v>
      </c>
      <c r="U174" s="15" t="s">
        <v>807</v>
      </c>
      <c r="V174" s="31">
        <v>2</v>
      </c>
      <c r="W174" s="16"/>
      <c r="X174" s="15" t="s">
        <v>729</v>
      </c>
      <c r="Y174" s="61">
        <v>11</v>
      </c>
      <c r="Z174" s="15">
        <v>5</v>
      </c>
      <c r="AA174" s="15" t="s">
        <v>574</v>
      </c>
      <c r="AB174" s="15">
        <f t="shared" si="156"/>
        <v>5</v>
      </c>
      <c r="AC174" s="1">
        <v>2</v>
      </c>
      <c r="AD174" s="15">
        <f t="shared" si="172"/>
        <v>4.0019999999999998</v>
      </c>
      <c r="AF174" s="15">
        <v>6.6</v>
      </c>
      <c r="AJ174" s="15">
        <v>22</v>
      </c>
      <c r="AK174" s="15">
        <v>44</v>
      </c>
      <c r="AL174" s="15">
        <v>28</v>
      </c>
      <c r="AM174" s="1">
        <v>2</v>
      </c>
      <c r="AN174" s="15">
        <v>1.36</v>
      </c>
      <c r="AP174" s="15" t="s">
        <v>875</v>
      </c>
      <c r="AQ174" s="1">
        <v>1</v>
      </c>
      <c r="AR174" s="1">
        <v>3</v>
      </c>
      <c r="BP174" s="16"/>
      <c r="BQ174" s="16"/>
      <c r="BR174" s="16"/>
      <c r="BU174" s="16"/>
      <c r="CC174" s="15" t="s">
        <v>876</v>
      </c>
      <c r="CE174" s="15">
        <v>2</v>
      </c>
      <c r="CF174" s="15">
        <f t="shared" si="178"/>
        <v>45000</v>
      </c>
      <c r="CG174" s="15" t="s">
        <v>766</v>
      </c>
      <c r="CH174" s="15">
        <v>8.6</v>
      </c>
      <c r="CI174" s="15">
        <v>500</v>
      </c>
      <c r="CK174" s="15">
        <v>502</v>
      </c>
      <c r="CN174" s="15">
        <v>0.15</v>
      </c>
      <c r="CR174" s="15">
        <v>0.24</v>
      </c>
      <c r="CY174" s="25">
        <f t="shared" si="179"/>
        <v>45000</v>
      </c>
      <c r="CZ174" s="25">
        <f t="shared" si="180"/>
        <v>57.692307692307686</v>
      </c>
      <c r="DA174" s="25">
        <f t="shared" si="181"/>
        <v>135000</v>
      </c>
      <c r="EW174" s="46">
        <f>AX174+BT174+CF174+DE174+DY174</f>
        <v>45000</v>
      </c>
      <c r="EX174" s="46">
        <f>BA174+BZ174+CZ174+DT174+ET174</f>
        <v>57.692307692307686</v>
      </c>
      <c r="EY174" s="46">
        <f>BB174+CA174+DA174+DU174+EU174</f>
        <v>135000</v>
      </c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>
        <f t="shared" si="157"/>
        <v>4.74</v>
      </c>
      <c r="FL174" s="16">
        <f t="shared" si="158"/>
        <v>5.98</v>
      </c>
      <c r="FM174" s="15">
        <v>4.74</v>
      </c>
      <c r="FN174" s="15">
        <v>0.11</v>
      </c>
      <c r="FO174" s="15">
        <f>FN174*SQRT(AR174)</f>
        <v>0.1905255888325765</v>
      </c>
      <c r="FP174" s="15">
        <v>5.98</v>
      </c>
      <c r="FQ174" s="15">
        <v>0.72</v>
      </c>
      <c r="FR174" s="15">
        <f>FQ174*SQRT(AR174)</f>
        <v>1.2470765814495914</v>
      </c>
      <c r="FS174" s="15">
        <f t="shared" si="134"/>
        <v>1.2616033755274263</v>
      </c>
      <c r="FT174" s="15">
        <f t="shared" si="135"/>
        <v>1.2400000000000002</v>
      </c>
      <c r="FU174" s="15">
        <f t="shared" si="136"/>
        <v>0.23238343225555536</v>
      </c>
      <c r="FV174" s="15">
        <f>((FR174*FR174)/(AR174*FP174*FP174)+(FO174*FO174)/(AR174*FM174*FM174))</f>
        <v>1.5035035436779799E-2</v>
      </c>
      <c r="HE174" s="15">
        <v>12.04</v>
      </c>
      <c r="HF174" s="15">
        <v>2.7</v>
      </c>
      <c r="HG174" s="15">
        <f>HF174*SQRT(AR174)</f>
        <v>4.676537180435969</v>
      </c>
      <c r="HH174" s="15">
        <v>19.28</v>
      </c>
      <c r="HI174" s="15">
        <v>0.89</v>
      </c>
      <c r="HJ174" s="15">
        <f>HI174*SQRT(AR174)</f>
        <v>1.5415252187363007</v>
      </c>
      <c r="HK174" s="15">
        <f t="shared" si="173"/>
        <v>1.6013289036544853</v>
      </c>
      <c r="HL174" s="15">
        <f t="shared" si="174"/>
        <v>7.240000000000002</v>
      </c>
      <c r="HM174" s="15">
        <f t="shared" si="175"/>
        <v>0.47083384930172478</v>
      </c>
      <c r="HN174" s="15">
        <f>((HJ174*HJ174)/(AR174*HH174*HH174)+(HG174*HG174)/(AR174*HE174*HE174))</f>
        <v>5.2420094185496119E-2</v>
      </c>
      <c r="HP174" s="15" t="s">
        <v>809</v>
      </c>
      <c r="HV174" s="15">
        <f t="shared" si="176"/>
        <v>2867.2534950537902</v>
      </c>
      <c r="HW174" s="15">
        <f t="shared" si="177"/>
        <v>0.47083384930172478</v>
      </c>
      <c r="HX174" s="15">
        <f t="shared" si="182"/>
        <v>135000</v>
      </c>
      <c r="HY174" s="15">
        <f t="shared" si="183"/>
        <v>45000</v>
      </c>
      <c r="HZ174" s="15">
        <f t="shared" si="183"/>
        <v>57.692307692307686</v>
      </c>
      <c r="IA174" s="15">
        <f t="shared" si="183"/>
        <v>135000</v>
      </c>
    </row>
    <row r="175" spans="1:235" s="15" customFormat="1" x14ac:dyDescent="0.25">
      <c r="A175" s="31">
        <v>173</v>
      </c>
      <c r="B175" s="1">
        <v>30</v>
      </c>
      <c r="C175" s="1">
        <v>31</v>
      </c>
      <c r="D175" s="15" t="s">
        <v>140</v>
      </c>
      <c r="E175" s="1">
        <v>6</v>
      </c>
      <c r="F175" s="15" t="s">
        <v>872</v>
      </c>
      <c r="G175" s="15" t="s">
        <v>871</v>
      </c>
      <c r="H175" s="15" t="s">
        <v>880</v>
      </c>
      <c r="I175" s="1">
        <v>2018</v>
      </c>
      <c r="J175" s="15" t="s">
        <v>873</v>
      </c>
      <c r="K175" s="1">
        <v>2016</v>
      </c>
      <c r="L175" s="15" t="s">
        <v>623</v>
      </c>
      <c r="M175" s="15" t="s">
        <v>73</v>
      </c>
      <c r="N175" s="15" t="s">
        <v>23</v>
      </c>
      <c r="O175" s="31">
        <v>2</v>
      </c>
      <c r="P175" s="15">
        <v>29.09</v>
      </c>
      <c r="Q175" s="15">
        <v>119.08</v>
      </c>
      <c r="U175" s="15" t="s">
        <v>807</v>
      </c>
      <c r="V175" s="31">
        <v>2</v>
      </c>
      <c r="W175" s="16"/>
      <c r="X175" s="15" t="s">
        <v>729</v>
      </c>
      <c r="Y175" s="61">
        <v>11</v>
      </c>
      <c r="Z175" s="15">
        <v>5</v>
      </c>
      <c r="AA175" s="15" t="s">
        <v>574</v>
      </c>
      <c r="AB175" s="15">
        <f t="shared" si="156"/>
        <v>5</v>
      </c>
      <c r="AC175" s="1">
        <v>2</v>
      </c>
      <c r="AD175" s="15">
        <f t="shared" si="172"/>
        <v>4.0019999999999998</v>
      </c>
      <c r="AF175" s="15">
        <v>6.6</v>
      </c>
      <c r="AJ175" s="15">
        <v>22</v>
      </c>
      <c r="AK175" s="15">
        <v>44</v>
      </c>
      <c r="AL175" s="15">
        <v>28</v>
      </c>
      <c r="AM175" s="1">
        <v>2</v>
      </c>
      <c r="AN175" s="15">
        <v>1.36</v>
      </c>
      <c r="AP175" s="15" t="s">
        <v>875</v>
      </c>
      <c r="AQ175" s="1">
        <v>1</v>
      </c>
      <c r="AR175" s="1">
        <v>3</v>
      </c>
      <c r="BP175" s="16"/>
      <c r="BQ175" s="16"/>
      <c r="BR175" s="16"/>
      <c r="BU175" s="16"/>
      <c r="CC175" s="15" t="s">
        <v>876</v>
      </c>
      <c r="CE175" s="15">
        <v>4</v>
      </c>
      <c r="CF175" s="15">
        <f t="shared" si="178"/>
        <v>90000</v>
      </c>
      <c r="CG175" s="15" t="s">
        <v>766</v>
      </c>
      <c r="CH175" s="15">
        <v>8.6</v>
      </c>
      <c r="CI175" s="15">
        <v>500</v>
      </c>
      <c r="CK175" s="15">
        <v>502</v>
      </c>
      <c r="CN175" s="15">
        <v>0.76</v>
      </c>
      <c r="CR175" s="15">
        <v>0.85</v>
      </c>
      <c r="CY175" s="25">
        <f t="shared" si="179"/>
        <v>90000</v>
      </c>
      <c r="CZ175" s="25">
        <f t="shared" si="180"/>
        <v>115.38461538461537</v>
      </c>
      <c r="DA175" s="25">
        <f t="shared" si="181"/>
        <v>270000</v>
      </c>
      <c r="EW175" s="46">
        <f>AX175+BT175+CF175+DE175+DY175</f>
        <v>90000</v>
      </c>
      <c r="EX175" s="46">
        <f>BA175+BZ175+CZ175+DT175+ET175</f>
        <v>115.38461538461537</v>
      </c>
      <c r="EY175" s="46">
        <f>BB175+CA175+DA175+DU175+EU175</f>
        <v>270000</v>
      </c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>
        <f t="shared" si="157"/>
        <v>4.74</v>
      </c>
      <c r="FL175" s="16">
        <f t="shared" si="158"/>
        <v>5.29</v>
      </c>
      <c r="FM175" s="15">
        <v>4.74</v>
      </c>
      <c r="FN175" s="15">
        <v>0.11</v>
      </c>
      <c r="FO175" s="15">
        <f>FN175*SQRT(AR175)</f>
        <v>0.1905255888325765</v>
      </c>
      <c r="FP175" s="15">
        <v>5.29</v>
      </c>
      <c r="FQ175" s="15">
        <v>0.08</v>
      </c>
      <c r="FR175" s="15">
        <f>FQ175*SQRT(AR175)</f>
        <v>0.13856406460551018</v>
      </c>
      <c r="FS175" s="15">
        <f t="shared" si="134"/>
        <v>1.1160337552742616</v>
      </c>
      <c r="FT175" s="15">
        <f t="shared" si="135"/>
        <v>0.54999999999999982</v>
      </c>
      <c r="FU175" s="15">
        <f t="shared" si="136"/>
        <v>0.10978111016322289</v>
      </c>
      <c r="FV175" s="15">
        <f>((FR175*FR175)/(AR175*FP175*FP175)+(FO175*FO175)/(AR175*FM175*FM175))</f>
        <v>7.6725459275910253E-4</v>
      </c>
      <c r="HE175" s="15">
        <v>12.04</v>
      </c>
      <c r="HF175" s="15">
        <v>2.7</v>
      </c>
      <c r="HG175" s="15">
        <f>HF175*SQRT(AR175)</f>
        <v>4.676537180435969</v>
      </c>
      <c r="HH175" s="15">
        <v>21.82</v>
      </c>
      <c r="HI175" s="15">
        <v>0.06</v>
      </c>
      <c r="HJ175" s="15">
        <f>HI175*SQRT(AR175)</f>
        <v>0.10392304845413262</v>
      </c>
      <c r="HK175" s="15">
        <f t="shared" si="173"/>
        <v>1.8122923588039868</v>
      </c>
      <c r="HL175" s="15">
        <f t="shared" si="174"/>
        <v>9.7800000000000011</v>
      </c>
      <c r="HM175" s="15">
        <f t="shared" si="175"/>
        <v>0.59459254052424981</v>
      </c>
      <c r="HN175" s="15">
        <f>((HJ175*HJ175)/(AR175*HH175*HH175)+(HG175*HG175)/(AR175*HE175*HE175))</f>
        <v>5.029674127086637E-2</v>
      </c>
      <c r="HP175" s="15" t="s">
        <v>809</v>
      </c>
      <c r="HV175" s="15">
        <f t="shared" si="176"/>
        <v>4540.924777864554</v>
      </c>
      <c r="HW175" s="15">
        <f t="shared" si="177"/>
        <v>0.59459254052424981</v>
      </c>
      <c r="HX175" s="15">
        <f t="shared" si="182"/>
        <v>270000</v>
      </c>
      <c r="HY175" s="15">
        <f t="shared" si="183"/>
        <v>90000</v>
      </c>
      <c r="HZ175" s="15">
        <f t="shared" si="183"/>
        <v>115.38461538461537</v>
      </c>
      <c r="IA175" s="15">
        <f t="shared" si="183"/>
        <v>270000</v>
      </c>
    </row>
    <row r="176" spans="1:235" s="15" customFormat="1" x14ac:dyDescent="0.25">
      <c r="A176" s="31">
        <v>174</v>
      </c>
      <c r="B176" s="1">
        <v>30</v>
      </c>
      <c r="C176" s="1">
        <v>31</v>
      </c>
      <c r="D176" s="15" t="s">
        <v>141</v>
      </c>
      <c r="E176" s="1">
        <v>6</v>
      </c>
      <c r="F176" s="15" t="s">
        <v>872</v>
      </c>
      <c r="G176" s="15" t="s">
        <v>871</v>
      </c>
      <c r="H176" s="15" t="s">
        <v>880</v>
      </c>
      <c r="I176" s="1">
        <v>2018</v>
      </c>
      <c r="J176" s="15" t="s">
        <v>873</v>
      </c>
      <c r="K176" s="1">
        <v>2016</v>
      </c>
      <c r="L176" s="15" t="s">
        <v>623</v>
      </c>
      <c r="M176" s="15" t="s">
        <v>73</v>
      </c>
      <c r="N176" s="15" t="s">
        <v>23</v>
      </c>
      <c r="O176" s="31">
        <v>2</v>
      </c>
      <c r="P176" s="15">
        <v>29.09</v>
      </c>
      <c r="Q176" s="15">
        <v>119.08</v>
      </c>
      <c r="U176" s="15" t="s">
        <v>807</v>
      </c>
      <c r="V176" s="31">
        <v>2</v>
      </c>
      <c r="W176" s="16"/>
      <c r="X176" s="15" t="s">
        <v>729</v>
      </c>
      <c r="Y176" s="61">
        <v>11</v>
      </c>
      <c r="Z176" s="15">
        <v>5</v>
      </c>
      <c r="AA176" s="15" t="s">
        <v>574</v>
      </c>
      <c r="AB176" s="15">
        <f t="shared" si="156"/>
        <v>5</v>
      </c>
      <c r="AC176" s="1">
        <v>2</v>
      </c>
      <c r="AD176" s="15">
        <f t="shared" si="172"/>
        <v>4.0019999999999998</v>
      </c>
      <c r="AF176" s="15">
        <v>6.6</v>
      </c>
      <c r="AJ176" s="15">
        <v>22</v>
      </c>
      <c r="AK176" s="15">
        <v>44</v>
      </c>
      <c r="AL176" s="15">
        <v>28</v>
      </c>
      <c r="AM176" s="1">
        <v>2</v>
      </c>
      <c r="AN176" s="15">
        <v>1.36</v>
      </c>
      <c r="AP176" s="15" t="s">
        <v>875</v>
      </c>
      <c r="AQ176" s="1">
        <v>1</v>
      </c>
      <c r="AR176" s="1">
        <v>3</v>
      </c>
      <c r="BP176" s="16"/>
      <c r="BQ176" s="16"/>
      <c r="BR176" s="16"/>
      <c r="BU176" s="16"/>
      <c r="CC176" s="15" t="s">
        <v>877</v>
      </c>
      <c r="CE176" s="15">
        <v>2</v>
      </c>
      <c r="CF176" s="15">
        <f t="shared" si="178"/>
        <v>45000</v>
      </c>
      <c r="CG176" s="15" t="s">
        <v>766</v>
      </c>
      <c r="CH176" s="15">
        <v>8.3000000000000007</v>
      </c>
      <c r="CI176" s="15">
        <v>500</v>
      </c>
      <c r="CK176" s="15">
        <v>477</v>
      </c>
      <c r="CN176" s="15">
        <v>0.15</v>
      </c>
      <c r="CR176" s="15">
        <v>0.24</v>
      </c>
      <c r="CY176" s="25">
        <f t="shared" si="179"/>
        <v>45000</v>
      </c>
      <c r="CZ176" s="25">
        <f t="shared" si="180"/>
        <v>57.692307692307686</v>
      </c>
      <c r="DA176" s="25">
        <f t="shared" si="181"/>
        <v>135000</v>
      </c>
      <c r="EW176" s="46">
        <f>AX176+BT176+CF176+DE176+DY176</f>
        <v>45000</v>
      </c>
      <c r="EX176" s="46">
        <f>BA176+BZ176+CZ176+DT176+ET176</f>
        <v>57.692307692307686</v>
      </c>
      <c r="EY176" s="46">
        <f>BB176+CA176+DA176+DU176+EU176</f>
        <v>135000</v>
      </c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>
        <f t="shared" si="157"/>
        <v>4.74</v>
      </c>
      <c r="FL176" s="16">
        <f t="shared" si="158"/>
        <v>7.17</v>
      </c>
      <c r="FM176" s="15">
        <v>4.74</v>
      </c>
      <c r="FN176" s="15">
        <v>0.11</v>
      </c>
      <c r="FO176" s="15">
        <f>FN176*SQRT(AR176)</f>
        <v>0.1905255888325765</v>
      </c>
      <c r="FP176" s="15">
        <v>7.17</v>
      </c>
      <c r="FQ176" s="15">
        <v>0.14000000000000001</v>
      </c>
      <c r="FR176" s="15">
        <f>FQ176*SQRT(AR176)</f>
        <v>0.24248711305964282</v>
      </c>
      <c r="FS176" s="15">
        <f t="shared" si="134"/>
        <v>1.5126582278481011</v>
      </c>
      <c r="FT176" s="15">
        <f t="shared" si="135"/>
        <v>2.4299999999999997</v>
      </c>
      <c r="FU176" s="15">
        <f t="shared" si="136"/>
        <v>0.4138685189045439</v>
      </c>
      <c r="FV176" s="15">
        <f>((FR176*FR176)/(AR176*FP176*FP176)+(FO176*FO176)/(AR176*FM176*FM176))</f>
        <v>9.198102364132738E-4</v>
      </c>
      <c r="HE176" s="15">
        <v>12.04</v>
      </c>
      <c r="HF176" s="15">
        <v>2.7</v>
      </c>
      <c r="HG176" s="15">
        <f>HF176*SQRT(AR176)</f>
        <v>4.676537180435969</v>
      </c>
      <c r="HH176" s="15">
        <v>17.670000000000002</v>
      </c>
      <c r="HI176" s="15">
        <v>3.86</v>
      </c>
      <c r="HJ176" s="15">
        <f>HI176*SQRT(AR176)</f>
        <v>6.6857161172158657</v>
      </c>
      <c r="HK176" s="15">
        <f t="shared" si="173"/>
        <v>1.4676079734219272</v>
      </c>
      <c r="HL176" s="15">
        <f t="shared" si="174"/>
        <v>5.6300000000000026</v>
      </c>
      <c r="HM176" s="15">
        <f t="shared" si="175"/>
        <v>0.38363384645093035</v>
      </c>
      <c r="HN176" s="15">
        <f>((HJ176*HJ176)/(AR176*HH176*HH176)+(HG176*HG176)/(AR176*HE176*HE176))</f>
        <v>9.8009298188028948E-2</v>
      </c>
      <c r="HP176" s="15" t="s">
        <v>809</v>
      </c>
      <c r="HV176" s="15">
        <f t="shared" si="176"/>
        <v>3518.9804353528934</v>
      </c>
      <c r="HW176" s="15">
        <f t="shared" si="177"/>
        <v>0.38363384645093035</v>
      </c>
      <c r="HX176" s="15">
        <f t="shared" si="182"/>
        <v>135000</v>
      </c>
      <c r="HY176" s="15">
        <f t="shared" si="183"/>
        <v>45000</v>
      </c>
      <c r="HZ176" s="15">
        <f t="shared" si="183"/>
        <v>57.692307692307686</v>
      </c>
      <c r="IA176" s="15">
        <f t="shared" si="183"/>
        <v>135000</v>
      </c>
    </row>
    <row r="177" spans="1:235" s="15" customFormat="1" x14ac:dyDescent="0.25">
      <c r="A177" s="31">
        <v>175</v>
      </c>
      <c r="B177" s="1">
        <v>30</v>
      </c>
      <c r="C177" s="1">
        <v>31</v>
      </c>
      <c r="D177" s="15" t="s">
        <v>142</v>
      </c>
      <c r="E177" s="1">
        <v>6</v>
      </c>
      <c r="F177" s="15" t="s">
        <v>872</v>
      </c>
      <c r="G177" s="15" t="s">
        <v>871</v>
      </c>
      <c r="H177" s="15" t="s">
        <v>880</v>
      </c>
      <c r="I177" s="1">
        <v>2018</v>
      </c>
      <c r="J177" s="15" t="s">
        <v>873</v>
      </c>
      <c r="K177" s="1">
        <v>2016</v>
      </c>
      <c r="L177" s="15" t="s">
        <v>623</v>
      </c>
      <c r="M177" s="15" t="s">
        <v>73</v>
      </c>
      <c r="N177" s="15" t="s">
        <v>23</v>
      </c>
      <c r="O177" s="31">
        <v>2</v>
      </c>
      <c r="P177" s="15">
        <v>29.09</v>
      </c>
      <c r="Q177" s="15">
        <v>119.08</v>
      </c>
      <c r="U177" s="15" t="s">
        <v>807</v>
      </c>
      <c r="V177" s="31">
        <v>2</v>
      </c>
      <c r="W177" s="16"/>
      <c r="X177" s="15" t="s">
        <v>729</v>
      </c>
      <c r="Y177" s="61">
        <v>11</v>
      </c>
      <c r="Z177" s="15">
        <v>5</v>
      </c>
      <c r="AA177" s="15" t="s">
        <v>574</v>
      </c>
      <c r="AB177" s="15">
        <f t="shared" si="156"/>
        <v>5</v>
      </c>
      <c r="AC177" s="1">
        <v>2</v>
      </c>
      <c r="AD177" s="15">
        <f t="shared" si="172"/>
        <v>4.0019999999999998</v>
      </c>
      <c r="AF177" s="15">
        <v>6.6</v>
      </c>
      <c r="AJ177" s="15">
        <v>22</v>
      </c>
      <c r="AK177" s="15">
        <v>44</v>
      </c>
      <c r="AL177" s="15">
        <v>28</v>
      </c>
      <c r="AM177" s="1">
        <v>2</v>
      </c>
      <c r="AN177" s="15">
        <v>1.36</v>
      </c>
      <c r="AP177" s="15" t="s">
        <v>875</v>
      </c>
      <c r="AQ177" s="1">
        <v>1</v>
      </c>
      <c r="AR177" s="1">
        <v>3</v>
      </c>
      <c r="BP177" s="16"/>
      <c r="BQ177" s="16"/>
      <c r="BR177" s="16"/>
      <c r="BU177" s="16"/>
      <c r="CC177" s="15" t="s">
        <v>877</v>
      </c>
      <c r="CE177" s="15">
        <v>4</v>
      </c>
      <c r="CF177" s="15">
        <f t="shared" si="178"/>
        <v>90000</v>
      </c>
      <c r="CG177" s="15" t="s">
        <v>766</v>
      </c>
      <c r="CH177" s="15">
        <v>8.3000000000000007</v>
      </c>
      <c r="CI177" s="15">
        <v>500</v>
      </c>
      <c r="CK177" s="15">
        <v>477</v>
      </c>
      <c r="CN177" s="15">
        <v>0.76</v>
      </c>
      <c r="CR177" s="15">
        <v>0.85</v>
      </c>
      <c r="CY177" s="25">
        <f t="shared" si="179"/>
        <v>90000</v>
      </c>
      <c r="CZ177" s="25">
        <f t="shared" si="180"/>
        <v>115.38461538461537</v>
      </c>
      <c r="DA177" s="25">
        <f t="shared" si="181"/>
        <v>270000</v>
      </c>
      <c r="EW177" s="46">
        <f>AX177+BT177+CF177+DE177+DY177</f>
        <v>90000</v>
      </c>
      <c r="EX177" s="46">
        <f>BA177+BZ177+CZ177+DT177+ET177</f>
        <v>115.38461538461537</v>
      </c>
      <c r="EY177" s="46">
        <f>BB177+CA177+DA177+DU177+EU177</f>
        <v>270000</v>
      </c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>
        <f t="shared" si="157"/>
        <v>4.74</v>
      </c>
      <c r="FL177" s="16">
        <f t="shared" si="158"/>
        <v>7.77</v>
      </c>
      <c r="FM177" s="15">
        <v>4.74</v>
      </c>
      <c r="FN177" s="15">
        <v>0.11</v>
      </c>
      <c r="FO177" s="15">
        <f>FN177*SQRT(AR177)</f>
        <v>0.1905255888325765</v>
      </c>
      <c r="FP177" s="15">
        <v>7.77</v>
      </c>
      <c r="FQ177" s="15">
        <v>0.33</v>
      </c>
      <c r="FR177" s="15">
        <f>FQ177*SQRT(AR177)</f>
        <v>0.57157676649772948</v>
      </c>
      <c r="FS177" s="15">
        <f t="shared" si="134"/>
        <v>1.6392405063291138</v>
      </c>
      <c r="FT177" s="15">
        <f t="shared" si="135"/>
        <v>3.0299999999999994</v>
      </c>
      <c r="FU177" s="15">
        <f t="shared" si="136"/>
        <v>0.49423302867257091</v>
      </c>
      <c r="FV177" s="15">
        <f>((FR177*FR177)/(AR177*FP177*FP177)+(FO177*FO177)/(AR177*FM177*FM177))</f>
        <v>2.3423427430989824E-3</v>
      </c>
      <c r="HE177" s="15">
        <v>12.04</v>
      </c>
      <c r="HF177" s="15">
        <v>2.7</v>
      </c>
      <c r="HG177" s="15">
        <f>HF177*SQRT(AR177)</f>
        <v>4.676537180435969</v>
      </c>
      <c r="HH177" s="15">
        <v>18.5</v>
      </c>
      <c r="HI177" s="15">
        <v>1.44</v>
      </c>
      <c r="HJ177" s="15">
        <f>HI177*SQRT(AR177)</f>
        <v>2.4941531628991829</v>
      </c>
      <c r="HK177" s="15">
        <f t="shared" si="173"/>
        <v>1.536544850498339</v>
      </c>
      <c r="HL177" s="15">
        <f t="shared" si="174"/>
        <v>6.4600000000000009</v>
      </c>
      <c r="HM177" s="15">
        <f t="shared" si="175"/>
        <v>0.42953629220360412</v>
      </c>
      <c r="HN177" s="15">
        <f>((HJ177*HJ177)/(AR177*HH177*HH177)+(HG177*HG177)/(AR177*HE177*HE177))</f>
        <v>5.6347909030395035E-2</v>
      </c>
      <c r="HP177" s="15" t="s">
        <v>809</v>
      </c>
      <c r="HV177" s="15">
        <f t="shared" si="176"/>
        <v>6285.8483648691908</v>
      </c>
      <c r="HW177" s="15">
        <f t="shared" si="177"/>
        <v>0.42953629220360412</v>
      </c>
      <c r="HX177" s="15">
        <f t="shared" si="182"/>
        <v>270000</v>
      </c>
      <c r="HY177" s="15">
        <f t="shared" si="183"/>
        <v>90000</v>
      </c>
      <c r="HZ177" s="15">
        <f t="shared" si="183"/>
        <v>115.38461538461537</v>
      </c>
      <c r="IA177" s="15">
        <f t="shared" si="183"/>
        <v>270000</v>
      </c>
    </row>
    <row r="178" spans="1:235" s="15" customFormat="1" x14ac:dyDescent="0.25">
      <c r="A178" s="31">
        <v>176</v>
      </c>
      <c r="B178" s="1">
        <v>30</v>
      </c>
      <c r="C178" s="1">
        <v>31</v>
      </c>
      <c r="D178" s="15" t="s">
        <v>143</v>
      </c>
      <c r="E178" s="1">
        <v>6</v>
      </c>
      <c r="F178" s="15" t="s">
        <v>872</v>
      </c>
      <c r="G178" s="15" t="s">
        <v>871</v>
      </c>
      <c r="H178" s="15" t="s">
        <v>880</v>
      </c>
      <c r="I178" s="1">
        <v>2018</v>
      </c>
      <c r="J178" s="15" t="s">
        <v>873</v>
      </c>
      <c r="K178" s="1">
        <v>2016</v>
      </c>
      <c r="L178" s="15" t="s">
        <v>623</v>
      </c>
      <c r="M178" s="15" t="s">
        <v>73</v>
      </c>
      <c r="N178" s="15" t="s">
        <v>23</v>
      </c>
      <c r="O178" s="31">
        <v>2</v>
      </c>
      <c r="P178" s="15">
        <v>29.09</v>
      </c>
      <c r="Q178" s="15">
        <v>119.08</v>
      </c>
      <c r="U178" s="15" t="s">
        <v>807</v>
      </c>
      <c r="V178" s="31">
        <v>2</v>
      </c>
      <c r="W178" s="16"/>
      <c r="X178" s="15" t="s">
        <v>729</v>
      </c>
      <c r="Y178" s="61">
        <v>11</v>
      </c>
      <c r="Z178" s="15">
        <v>5</v>
      </c>
      <c r="AA178" s="15" t="s">
        <v>574</v>
      </c>
      <c r="AB178" s="15">
        <f t="shared" si="156"/>
        <v>5</v>
      </c>
      <c r="AC178" s="1">
        <v>2</v>
      </c>
      <c r="AD178" s="15">
        <f t="shared" si="172"/>
        <v>4.0019999999999998</v>
      </c>
      <c r="AF178" s="15">
        <v>6.6</v>
      </c>
      <c r="AJ178" s="15">
        <v>22</v>
      </c>
      <c r="AK178" s="15">
        <v>44</v>
      </c>
      <c r="AL178" s="15">
        <v>28</v>
      </c>
      <c r="AM178" s="1">
        <v>2</v>
      </c>
      <c r="AN178" s="15">
        <v>1.36</v>
      </c>
      <c r="AP178" s="15" t="s">
        <v>875</v>
      </c>
      <c r="AQ178" s="1">
        <v>1</v>
      </c>
      <c r="AR178" s="1">
        <v>3</v>
      </c>
      <c r="BP178" s="16"/>
      <c r="BQ178" s="16"/>
      <c r="BR178" s="16"/>
      <c r="BU178" s="16"/>
      <c r="CC178" s="15" t="s">
        <v>876</v>
      </c>
      <c r="CE178" s="15">
        <v>2</v>
      </c>
      <c r="CF178" s="15">
        <f t="shared" si="178"/>
        <v>45000</v>
      </c>
      <c r="CG178" s="15" t="s">
        <v>766</v>
      </c>
      <c r="CH178" s="15">
        <v>8.6</v>
      </c>
      <c r="CI178" s="15">
        <v>500</v>
      </c>
      <c r="CK178" s="15">
        <v>502</v>
      </c>
      <c r="CN178" s="15">
        <v>0.15</v>
      </c>
      <c r="CR178" s="15">
        <v>0.24</v>
      </c>
      <c r="CY178" s="25">
        <f t="shared" si="179"/>
        <v>45000</v>
      </c>
      <c r="CZ178" s="25">
        <f t="shared" si="180"/>
        <v>57.692307692307686</v>
      </c>
      <c r="DA178" s="25">
        <f t="shared" si="181"/>
        <v>135000</v>
      </c>
      <c r="EW178" s="46">
        <f>AX178+BT178+CF178+DE178+DY178</f>
        <v>45000</v>
      </c>
      <c r="EX178" s="46">
        <f>BA178+BZ178+CZ178+DT178+ET178</f>
        <v>57.692307692307686</v>
      </c>
      <c r="EY178" s="46">
        <f>BB178+CA178+DA178+DU178+EU178</f>
        <v>135000</v>
      </c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>
        <f t="shared" si="157"/>
        <v>4.74</v>
      </c>
      <c r="FL178" s="16">
        <f t="shared" si="158"/>
        <v>6.19</v>
      </c>
      <c r="FM178" s="15">
        <v>4.74</v>
      </c>
      <c r="FN178" s="15">
        <v>0.11</v>
      </c>
      <c r="FO178" s="15">
        <f>FN178*SQRT(AR178)</f>
        <v>0.1905255888325765</v>
      </c>
      <c r="FP178" s="15">
        <v>6.19</v>
      </c>
      <c r="FQ178" s="15">
        <v>0.33</v>
      </c>
      <c r="FR178" s="15">
        <f>FQ178*SQRT(AR178)</f>
        <v>0.57157676649772948</v>
      </c>
      <c r="FS178" s="15">
        <f t="shared" si="134"/>
        <v>1.3059071729957805</v>
      </c>
      <c r="FT178" s="15">
        <f t="shared" si="135"/>
        <v>1.4500000000000002</v>
      </c>
      <c r="FU178" s="15">
        <f t="shared" si="136"/>
        <v>0.26689795098951974</v>
      </c>
      <c r="FV178" s="15">
        <f>((FR178*FR178)/(AR178*FP178*FP178)+(FO178*FO178)/(AR178*FM178*FM178))</f>
        <v>3.3807005903061676E-3</v>
      </c>
      <c r="HE178" s="15">
        <v>12.04</v>
      </c>
      <c r="HF178" s="15">
        <v>2.7</v>
      </c>
      <c r="HG178" s="15">
        <f>HF178*SQRT(AR178)</f>
        <v>4.676537180435969</v>
      </c>
      <c r="HH178" s="15">
        <v>20.48</v>
      </c>
      <c r="HI178" s="15">
        <v>2.1</v>
      </c>
      <c r="HJ178" s="15">
        <f>HI178*SQRT(AR178)</f>
        <v>3.6373066958946421</v>
      </c>
      <c r="HK178" s="15">
        <f t="shared" si="173"/>
        <v>1.700996677740864</v>
      </c>
      <c r="HL178" s="15">
        <f t="shared" si="174"/>
        <v>8.4400000000000013</v>
      </c>
      <c r="HM178" s="15">
        <f t="shared" si="175"/>
        <v>0.53121436029063229</v>
      </c>
      <c r="HN178" s="15">
        <f>((HJ178*HJ178)/(AR178*HH178*HH178)+(HG178*HG178)/(AR178*HE178*HE178))</f>
        <v>6.0803439369504407E-2</v>
      </c>
      <c r="HP178" s="15" t="s">
        <v>809</v>
      </c>
      <c r="HV178" s="15">
        <f t="shared" si="176"/>
        <v>2541.3469606909771</v>
      </c>
      <c r="HW178" s="15">
        <f t="shared" si="177"/>
        <v>0.53121436029063229</v>
      </c>
      <c r="HX178" s="15">
        <f t="shared" si="182"/>
        <v>135000</v>
      </c>
      <c r="HY178" s="15">
        <f t="shared" si="183"/>
        <v>45000</v>
      </c>
      <c r="HZ178" s="15">
        <f t="shared" si="183"/>
        <v>57.692307692307686</v>
      </c>
      <c r="IA178" s="15">
        <f t="shared" si="183"/>
        <v>135000</v>
      </c>
    </row>
    <row r="179" spans="1:235" s="15" customFormat="1" x14ac:dyDescent="0.25">
      <c r="A179" s="31">
        <v>177</v>
      </c>
      <c r="B179" s="1">
        <v>30</v>
      </c>
      <c r="C179" s="1">
        <v>31</v>
      </c>
      <c r="D179" s="15" t="s">
        <v>144</v>
      </c>
      <c r="E179" s="1">
        <v>6</v>
      </c>
      <c r="F179" s="15" t="s">
        <v>872</v>
      </c>
      <c r="G179" s="15" t="s">
        <v>871</v>
      </c>
      <c r="H179" s="15" t="s">
        <v>880</v>
      </c>
      <c r="I179" s="1">
        <v>2018</v>
      </c>
      <c r="J179" s="15" t="s">
        <v>873</v>
      </c>
      <c r="K179" s="1">
        <v>2016</v>
      </c>
      <c r="L179" s="15" t="s">
        <v>623</v>
      </c>
      <c r="M179" s="15" t="s">
        <v>73</v>
      </c>
      <c r="N179" s="15" t="s">
        <v>23</v>
      </c>
      <c r="O179" s="31">
        <v>2</v>
      </c>
      <c r="P179" s="15">
        <v>29.09</v>
      </c>
      <c r="Q179" s="15">
        <v>119.08</v>
      </c>
      <c r="U179" s="15" t="s">
        <v>807</v>
      </c>
      <c r="V179" s="31">
        <v>2</v>
      </c>
      <c r="W179" s="16"/>
      <c r="X179" s="15" t="s">
        <v>729</v>
      </c>
      <c r="Y179" s="61">
        <v>11</v>
      </c>
      <c r="Z179" s="15">
        <v>5</v>
      </c>
      <c r="AA179" s="15" t="s">
        <v>574</v>
      </c>
      <c r="AB179" s="15">
        <f t="shared" si="156"/>
        <v>5</v>
      </c>
      <c r="AC179" s="1">
        <v>2</v>
      </c>
      <c r="AD179" s="15">
        <f t="shared" si="172"/>
        <v>4.0019999999999998</v>
      </c>
      <c r="AF179" s="15">
        <v>6.6</v>
      </c>
      <c r="AJ179" s="15">
        <v>22</v>
      </c>
      <c r="AK179" s="15">
        <v>44</v>
      </c>
      <c r="AL179" s="15">
        <v>28</v>
      </c>
      <c r="AM179" s="1">
        <v>2</v>
      </c>
      <c r="AN179" s="15">
        <v>1.36</v>
      </c>
      <c r="AP179" s="15" t="s">
        <v>875</v>
      </c>
      <c r="AQ179" s="1">
        <v>1</v>
      </c>
      <c r="AR179" s="1">
        <v>3</v>
      </c>
      <c r="BP179" s="16"/>
      <c r="BQ179" s="16"/>
      <c r="BR179" s="16"/>
      <c r="BU179" s="16"/>
      <c r="CC179" s="15" t="s">
        <v>876</v>
      </c>
      <c r="CE179" s="15">
        <v>4</v>
      </c>
      <c r="CF179" s="15">
        <f t="shared" si="178"/>
        <v>90000</v>
      </c>
      <c r="CG179" s="15" t="s">
        <v>766</v>
      </c>
      <c r="CH179" s="15">
        <v>8.6</v>
      </c>
      <c r="CI179" s="15">
        <v>500</v>
      </c>
      <c r="CK179" s="15">
        <v>502</v>
      </c>
      <c r="CN179" s="15">
        <v>0.76</v>
      </c>
      <c r="CR179" s="15">
        <v>0.85</v>
      </c>
      <c r="CY179" s="25">
        <f t="shared" si="179"/>
        <v>90000</v>
      </c>
      <c r="CZ179" s="25">
        <f t="shared" si="180"/>
        <v>115.38461538461537</v>
      </c>
      <c r="DA179" s="25">
        <f t="shared" si="181"/>
        <v>270000</v>
      </c>
      <c r="EW179" s="46">
        <f>AX179+BT179+CF179+DE179+DY179</f>
        <v>90000</v>
      </c>
      <c r="EX179" s="46">
        <f>BA179+BZ179+CZ179+DT179+ET179</f>
        <v>115.38461538461537</v>
      </c>
      <c r="EY179" s="46">
        <f>BB179+CA179+DA179+DU179+EU179</f>
        <v>270000</v>
      </c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>
        <f t="shared" si="157"/>
        <v>4.74</v>
      </c>
      <c r="FL179" s="16">
        <f t="shared" si="158"/>
        <v>6.48</v>
      </c>
      <c r="FM179" s="15">
        <v>4.74</v>
      </c>
      <c r="FN179" s="15">
        <v>0.11</v>
      </c>
      <c r="FO179" s="15">
        <f>FN179*SQRT(AR179)</f>
        <v>0.1905255888325765</v>
      </c>
      <c r="FP179" s="15">
        <v>6.48</v>
      </c>
      <c r="FQ179" s="15">
        <v>0.55000000000000004</v>
      </c>
      <c r="FR179" s="15">
        <f>FQ179*SQRT(AR179)</f>
        <v>0.95262794416288255</v>
      </c>
      <c r="FS179" s="15">
        <f t="shared" si="134"/>
        <v>1.3670886075949367</v>
      </c>
      <c r="FT179" s="15">
        <f t="shared" si="135"/>
        <v>1.7400000000000002</v>
      </c>
      <c r="FU179" s="15">
        <f t="shared" si="136"/>
        <v>0.3126833746571982</v>
      </c>
      <c r="FV179" s="15">
        <f>((FR179*FR179)/(AR179*FP179*FP179)+(FO179*FO179)/(AR179*FM179*FM179))</f>
        <v>7.7425808817799292E-3</v>
      </c>
      <c r="HE179" s="15">
        <v>12.04</v>
      </c>
      <c r="HF179" s="15">
        <v>2.7</v>
      </c>
      <c r="HG179" s="15">
        <f>HF179*SQRT(AR179)</f>
        <v>4.676537180435969</v>
      </c>
      <c r="HH179" s="15">
        <v>24.5</v>
      </c>
      <c r="HI179" s="15">
        <v>1.24</v>
      </c>
      <c r="HJ179" s="15">
        <f>HI179*SQRT(AR179)</f>
        <v>2.1477430013854075</v>
      </c>
      <c r="HK179" s="15">
        <f t="shared" si="173"/>
        <v>2.0348837209302326</v>
      </c>
      <c r="HL179" s="15">
        <f t="shared" si="174"/>
        <v>12.46</v>
      </c>
      <c r="HM179" s="15">
        <f t="shared" si="175"/>
        <v>0.71043867767000668</v>
      </c>
      <c r="HN179" s="15">
        <f>((HJ179*HJ179)/(AR179*HH179*HH179)+(HG179*HG179)/(AR179*HE179*HE179))</f>
        <v>5.2850779364736498E-2</v>
      </c>
      <c r="HP179" s="15" t="s">
        <v>809</v>
      </c>
      <c r="HV179" s="15">
        <f t="shared" si="176"/>
        <v>3800.4687594643169</v>
      </c>
      <c r="HW179" s="15">
        <f t="shared" si="177"/>
        <v>0.71043867767000668</v>
      </c>
      <c r="HX179" s="15">
        <f t="shared" si="182"/>
        <v>270000</v>
      </c>
      <c r="HY179" s="15">
        <f t="shared" si="183"/>
        <v>90000</v>
      </c>
      <c r="HZ179" s="15">
        <f t="shared" si="183"/>
        <v>115.38461538461537</v>
      </c>
      <c r="IA179" s="15">
        <f t="shared" si="183"/>
        <v>270000</v>
      </c>
    </row>
    <row r="180" spans="1:235" s="15" customFormat="1" x14ac:dyDescent="0.25">
      <c r="A180" s="31">
        <v>178</v>
      </c>
      <c r="B180" s="1">
        <v>31</v>
      </c>
      <c r="C180" s="1">
        <v>32</v>
      </c>
      <c r="D180" s="15" t="s">
        <v>145</v>
      </c>
      <c r="E180" s="1">
        <v>1</v>
      </c>
      <c r="F180" s="15" t="s">
        <v>761</v>
      </c>
      <c r="G180" s="63" t="s">
        <v>878</v>
      </c>
      <c r="H180" s="15" t="s">
        <v>881</v>
      </c>
      <c r="I180" s="1">
        <v>2001</v>
      </c>
      <c r="J180" s="15" t="s">
        <v>882</v>
      </c>
      <c r="K180" s="1">
        <v>1999</v>
      </c>
      <c r="L180" s="15" t="s">
        <v>883</v>
      </c>
      <c r="M180" s="15" t="s">
        <v>884</v>
      </c>
      <c r="N180" s="15" t="s">
        <v>478</v>
      </c>
      <c r="O180" s="31">
        <v>3</v>
      </c>
      <c r="P180" s="15">
        <v>56.61</v>
      </c>
      <c r="Q180" s="15">
        <v>-114.46</v>
      </c>
      <c r="U180" s="15" t="s">
        <v>807</v>
      </c>
      <c r="V180" s="31">
        <v>2</v>
      </c>
      <c r="W180" s="16"/>
      <c r="X180" s="15" t="s">
        <v>885</v>
      </c>
      <c r="Y180" s="1">
        <v>5</v>
      </c>
      <c r="Z180" s="15">
        <v>4.8</v>
      </c>
      <c r="AA180" s="15" t="s">
        <v>574</v>
      </c>
      <c r="AB180" s="15">
        <f t="shared" si="156"/>
        <v>4.8</v>
      </c>
      <c r="AC180" s="1">
        <v>2</v>
      </c>
      <c r="AD180" s="15">
        <f t="shared" ref="AD180:AD195" si="184">28*1.74</f>
        <v>48.72</v>
      </c>
      <c r="AJ180" s="15">
        <v>20</v>
      </c>
      <c r="AK180" s="15">
        <v>58</v>
      </c>
      <c r="AL180" s="15">
        <v>22</v>
      </c>
      <c r="AM180" s="1">
        <v>2</v>
      </c>
      <c r="AQ180" s="1"/>
      <c r="AR180" s="1">
        <v>3</v>
      </c>
      <c r="AT180" s="15" t="s">
        <v>886</v>
      </c>
      <c r="AW180" s="15">
        <v>0.75</v>
      </c>
      <c r="AX180" s="15">
        <f>AW180*2250</f>
        <v>1687.5</v>
      </c>
      <c r="AY180" s="15" t="s">
        <v>766</v>
      </c>
      <c r="AZ180" s="15">
        <f>AX180</f>
        <v>1687.5</v>
      </c>
      <c r="BA180" s="15">
        <f>AZ180/2.93/1000</f>
        <v>0.57593856655290099</v>
      </c>
      <c r="BB180" s="15">
        <f>AZ180*0.6</f>
        <v>1012.5</v>
      </c>
      <c r="BP180" s="16"/>
      <c r="BQ180" s="16"/>
      <c r="BR180" s="16"/>
      <c r="BU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>
        <f t="shared" si="157"/>
        <v>5.38</v>
      </c>
      <c r="FL180" s="16">
        <f t="shared" si="158"/>
        <v>5.6</v>
      </c>
      <c r="FM180" s="15">
        <v>5.38</v>
      </c>
      <c r="FN180" s="15">
        <f t="shared" ref="FN180:FN195" si="185">FM180*0.05</f>
        <v>0.26900000000000002</v>
      </c>
      <c r="FO180" s="15">
        <f>FN180*SQRT(AR180)</f>
        <v>0.46592166723602801</v>
      </c>
      <c r="FP180" s="15">
        <v>5.6</v>
      </c>
      <c r="FQ180" s="15">
        <f t="shared" ref="FQ180:FQ195" si="186">FP180*0.05</f>
        <v>0.27999999999999997</v>
      </c>
      <c r="FR180" s="15">
        <f>FQ180*SQRT(AR180)</f>
        <v>0.48497422611928559</v>
      </c>
      <c r="FS180" s="15">
        <f t="shared" si="134"/>
        <v>1.0408921933085502</v>
      </c>
      <c r="FT180" s="15">
        <f t="shared" si="135"/>
        <v>0.21999999999999975</v>
      </c>
      <c r="FU180" s="15">
        <f t="shared" si="136"/>
        <v>4.007822356741042E-2</v>
      </c>
      <c r="FV180" s="15">
        <f>((FR180*FR180)/(AR180*FP180*FP180)+(FO180*FO180)/(AR180*FM180*FM180))</f>
        <v>4.9999999999999992E-3</v>
      </c>
      <c r="HE180" s="15">
        <v>3.7</v>
      </c>
      <c r="HF180" s="15">
        <f t="shared" ref="HF180:HF195" si="187">HE180*0.05</f>
        <v>0.18500000000000003</v>
      </c>
      <c r="HG180" s="15">
        <f>HF180*SQRT(AR180)</f>
        <v>0.32042939940024234</v>
      </c>
      <c r="HH180" s="15">
        <v>11.88</v>
      </c>
      <c r="HI180" s="15">
        <f t="shared" ref="HI180:HI195" si="188">HH180*0.05</f>
        <v>0.59400000000000008</v>
      </c>
      <c r="HJ180" s="15">
        <f>HI180*SQRT(AR180)</f>
        <v>1.0288381796959132</v>
      </c>
      <c r="HK180" s="15">
        <f t="shared" si="173"/>
        <v>3.2108108108108109</v>
      </c>
      <c r="HL180" s="15">
        <f t="shared" si="174"/>
        <v>8.18</v>
      </c>
      <c r="HM180" s="15">
        <f t="shared" si="175"/>
        <v>1.1665234942843199</v>
      </c>
      <c r="HN180" s="15">
        <f>((HJ180*HJ180)/(AR180*HH180*HH180)+(HG180*HG180)/(AR180*HE180*HE180))</f>
        <v>5.000000000000001E-3</v>
      </c>
      <c r="HP180" s="15" t="s">
        <v>809</v>
      </c>
      <c r="HV180" s="15">
        <f t="shared" si="176"/>
        <v>8.6796365864982796</v>
      </c>
      <c r="HW180" s="15">
        <f t="shared" si="177"/>
        <v>1.1665234942843199</v>
      </c>
      <c r="HX180" s="15">
        <f>BB180</f>
        <v>1012.5</v>
      </c>
      <c r="HY180" s="15">
        <f>AZ180</f>
        <v>1687.5</v>
      </c>
      <c r="HZ180" s="15">
        <f>BA180</f>
        <v>0.57593856655290099</v>
      </c>
      <c r="IA180" s="15">
        <f>BB180</f>
        <v>1012.5</v>
      </c>
    </row>
    <row r="181" spans="1:235" s="15" customFormat="1" x14ac:dyDescent="0.25">
      <c r="A181" s="31">
        <v>179</v>
      </c>
      <c r="B181" s="1">
        <v>31</v>
      </c>
      <c r="C181" s="1">
        <v>32</v>
      </c>
      <c r="D181" s="15" t="s">
        <v>146</v>
      </c>
      <c r="E181" s="1">
        <v>1</v>
      </c>
      <c r="F181" s="15" t="s">
        <v>761</v>
      </c>
      <c r="G181" s="63" t="s">
        <v>878</v>
      </c>
      <c r="H181" s="15" t="s">
        <v>881</v>
      </c>
      <c r="I181" s="1">
        <v>2001</v>
      </c>
      <c r="J181" s="15" t="s">
        <v>882</v>
      </c>
      <c r="K181" s="1">
        <v>1999</v>
      </c>
      <c r="L181" s="15" t="s">
        <v>883</v>
      </c>
      <c r="M181" s="15" t="s">
        <v>884</v>
      </c>
      <c r="N181" s="15" t="s">
        <v>478</v>
      </c>
      <c r="O181" s="31">
        <v>3</v>
      </c>
      <c r="P181" s="15">
        <v>56.61</v>
      </c>
      <c r="Q181" s="15">
        <v>-114.46</v>
      </c>
      <c r="U181" s="15" t="s">
        <v>807</v>
      </c>
      <c r="V181" s="31">
        <v>2</v>
      </c>
      <c r="W181" s="16"/>
      <c r="X181" s="15" t="s">
        <v>885</v>
      </c>
      <c r="Y181" s="1">
        <v>5</v>
      </c>
      <c r="Z181" s="15">
        <v>4.8</v>
      </c>
      <c r="AA181" s="15" t="s">
        <v>574</v>
      </c>
      <c r="AB181" s="15">
        <f t="shared" si="156"/>
        <v>4.8</v>
      </c>
      <c r="AC181" s="1">
        <v>2</v>
      </c>
      <c r="AD181" s="15">
        <f t="shared" si="184"/>
        <v>48.72</v>
      </c>
      <c r="AJ181" s="15">
        <v>20</v>
      </c>
      <c r="AK181" s="15">
        <v>58</v>
      </c>
      <c r="AL181" s="15">
        <v>22</v>
      </c>
      <c r="AM181" s="1">
        <v>2</v>
      </c>
      <c r="AQ181" s="1"/>
      <c r="AR181" s="1">
        <v>3</v>
      </c>
      <c r="AT181" s="15" t="s">
        <v>886</v>
      </c>
      <c r="AW181" s="15">
        <v>1.5</v>
      </c>
      <c r="AX181" s="15">
        <f>AW181*2250</f>
        <v>3375</v>
      </c>
      <c r="AY181" s="15" t="s">
        <v>766</v>
      </c>
      <c r="AZ181" s="15">
        <f>AX181</f>
        <v>3375</v>
      </c>
      <c r="BA181" s="15">
        <f>AZ181/2.93/1000</f>
        <v>1.151877133105802</v>
      </c>
      <c r="BB181" s="15">
        <f>AZ181*0.6</f>
        <v>2025</v>
      </c>
      <c r="BP181" s="16"/>
      <c r="BQ181" s="16"/>
      <c r="BR181" s="16"/>
      <c r="BU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>
        <f t="shared" si="157"/>
        <v>5.38</v>
      </c>
      <c r="FL181" s="16">
        <f t="shared" si="158"/>
        <v>6.06</v>
      </c>
      <c r="FM181" s="15">
        <v>5.38</v>
      </c>
      <c r="FN181" s="15">
        <f t="shared" si="185"/>
        <v>0.26900000000000002</v>
      </c>
      <c r="FO181" s="15">
        <f>FN181*SQRT(AR181)</f>
        <v>0.46592166723602801</v>
      </c>
      <c r="FP181" s="15">
        <v>6.06</v>
      </c>
      <c r="FQ181" s="15">
        <f t="shared" si="186"/>
        <v>0.30299999999999999</v>
      </c>
      <c r="FR181" s="15">
        <f>FQ181*SQRT(AR181)</f>
        <v>0.52481139469336979</v>
      </c>
      <c r="FS181" s="15">
        <f t="shared" ref="FS181:FS187" si="189">FP181/FM180</f>
        <v>1.1263940520446096</v>
      </c>
      <c r="FT181" s="15">
        <f t="shared" ref="FT181:FT187" si="190">FP181-FM180</f>
        <v>0.67999999999999972</v>
      </c>
      <c r="FU181" s="15">
        <f t="shared" si="136"/>
        <v>0.11902142590752995</v>
      </c>
      <c r="FV181" s="15">
        <f>((FR181*FR181)/(AR181*FP181*FP181)+(FO181*FO181)/(AR181*FM181*FM181))</f>
        <v>5.0000000000000001E-3</v>
      </c>
      <c r="HE181" s="15">
        <v>3.7</v>
      </c>
      <c r="HF181" s="15">
        <f t="shared" si="187"/>
        <v>0.18500000000000003</v>
      </c>
      <c r="HG181" s="15">
        <f>HF181*SQRT(AR181)</f>
        <v>0.32042939940024234</v>
      </c>
      <c r="HH181" s="15">
        <v>9.82</v>
      </c>
      <c r="HI181" s="15">
        <f t="shared" si="188"/>
        <v>0.49100000000000005</v>
      </c>
      <c r="HJ181" s="15">
        <f>HI181*SQRT(AR181)</f>
        <v>0.85043694651631874</v>
      </c>
      <c r="HK181" s="15">
        <f t="shared" si="173"/>
        <v>2.654054054054054</v>
      </c>
      <c r="HL181" s="15">
        <f t="shared" si="174"/>
        <v>6.12</v>
      </c>
      <c r="HM181" s="15">
        <f t="shared" si="175"/>
        <v>0.97608830271619551</v>
      </c>
      <c r="HN181" s="15">
        <f>((HJ181*HJ181)/(AR181*HH181*HH181)+(HG181*HG181)/(AR181*HE181*HE181))</f>
        <v>5.0000000000000001E-3</v>
      </c>
      <c r="HP181" s="15" t="s">
        <v>809</v>
      </c>
      <c r="HV181" s="15">
        <f t="shared" si="176"/>
        <v>20.746073837428035</v>
      </c>
      <c r="HW181" s="15">
        <f t="shared" si="177"/>
        <v>0.97608830271619551</v>
      </c>
      <c r="HX181" s="15">
        <f>BB181</f>
        <v>2025</v>
      </c>
      <c r="HY181" s="15">
        <f>AZ181</f>
        <v>3375</v>
      </c>
      <c r="HZ181" s="15">
        <f>BA181</f>
        <v>1.151877133105802</v>
      </c>
      <c r="IA181" s="15">
        <f>BB181</f>
        <v>2025</v>
      </c>
    </row>
    <row r="182" spans="1:235" s="15" customFormat="1" x14ac:dyDescent="0.25">
      <c r="A182" s="31">
        <v>180</v>
      </c>
      <c r="B182" s="1">
        <v>31</v>
      </c>
      <c r="C182" s="1">
        <v>32</v>
      </c>
      <c r="D182" s="15" t="s">
        <v>147</v>
      </c>
      <c r="E182" s="1">
        <v>1</v>
      </c>
      <c r="F182" s="15" t="s">
        <v>761</v>
      </c>
      <c r="G182" s="63" t="s">
        <v>878</v>
      </c>
      <c r="H182" s="15" t="s">
        <v>881</v>
      </c>
      <c r="I182" s="1">
        <v>2001</v>
      </c>
      <c r="J182" s="15" t="s">
        <v>882</v>
      </c>
      <c r="K182" s="1">
        <v>1999</v>
      </c>
      <c r="L182" s="15" t="s">
        <v>883</v>
      </c>
      <c r="M182" s="15" t="s">
        <v>884</v>
      </c>
      <c r="N182" s="15" t="s">
        <v>478</v>
      </c>
      <c r="O182" s="31">
        <v>3</v>
      </c>
      <c r="P182" s="15">
        <v>56.61</v>
      </c>
      <c r="Q182" s="15">
        <v>-114.46</v>
      </c>
      <c r="U182" s="15" t="s">
        <v>807</v>
      </c>
      <c r="V182" s="31">
        <v>2</v>
      </c>
      <c r="W182" s="16"/>
      <c r="X182" s="15" t="s">
        <v>885</v>
      </c>
      <c r="Y182" s="1">
        <v>5</v>
      </c>
      <c r="Z182" s="15">
        <v>4.8</v>
      </c>
      <c r="AA182" s="15" t="s">
        <v>574</v>
      </c>
      <c r="AB182" s="15">
        <f t="shared" si="156"/>
        <v>4.8</v>
      </c>
      <c r="AC182" s="1">
        <v>2</v>
      </c>
      <c r="AD182" s="15">
        <f t="shared" si="184"/>
        <v>48.72</v>
      </c>
      <c r="AJ182" s="15">
        <v>20</v>
      </c>
      <c r="AK182" s="15">
        <v>58</v>
      </c>
      <c r="AL182" s="15">
        <v>22</v>
      </c>
      <c r="AM182" s="1">
        <v>2</v>
      </c>
      <c r="AQ182" s="1"/>
      <c r="AR182" s="1">
        <v>3</v>
      </c>
      <c r="AT182" s="15" t="s">
        <v>886</v>
      </c>
      <c r="AW182" s="15">
        <v>3</v>
      </c>
      <c r="AX182" s="15">
        <f>AW182*2250</f>
        <v>6750</v>
      </c>
      <c r="AY182" s="15" t="s">
        <v>766</v>
      </c>
      <c r="AZ182" s="15">
        <f>AX182</f>
        <v>6750</v>
      </c>
      <c r="BA182" s="15">
        <f>AZ182/2.93/1000</f>
        <v>2.303754266211604</v>
      </c>
      <c r="BB182" s="15">
        <f>AZ182*0.6</f>
        <v>4050</v>
      </c>
      <c r="BP182" s="16"/>
      <c r="BQ182" s="16"/>
      <c r="BR182" s="16"/>
      <c r="BU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>
        <f t="shared" si="157"/>
        <v>5.38</v>
      </c>
      <c r="FL182" s="16">
        <f t="shared" si="158"/>
        <v>6.77</v>
      </c>
      <c r="FM182" s="15">
        <v>5.38</v>
      </c>
      <c r="FN182" s="15">
        <f t="shared" si="185"/>
        <v>0.26900000000000002</v>
      </c>
      <c r="FO182" s="15">
        <f>FN182*SQRT(AR182)</f>
        <v>0.46592166723602801</v>
      </c>
      <c r="FP182" s="15">
        <v>6.77</v>
      </c>
      <c r="FQ182" s="15">
        <f t="shared" si="186"/>
        <v>0.33850000000000002</v>
      </c>
      <c r="FR182" s="15">
        <f>FQ182*SQRT(AR182)</f>
        <v>0.58629919836206501</v>
      </c>
      <c r="FS182" s="15">
        <f t="shared" si="189"/>
        <v>1.258364312267658</v>
      </c>
      <c r="FT182" s="15">
        <f t="shared" si="190"/>
        <v>1.3899999999999997</v>
      </c>
      <c r="FU182" s="15">
        <f t="shared" si="136"/>
        <v>0.22981271275049053</v>
      </c>
      <c r="FV182" s="15">
        <f>((FR182*FR182)/(AR182*FP182*FP182)+(FO182*FO182)/(AR182*FM182*FM182))</f>
        <v>5.000000000000001E-3</v>
      </c>
      <c r="HE182" s="15">
        <v>3.7</v>
      </c>
      <c r="HF182" s="15">
        <f t="shared" si="187"/>
        <v>0.18500000000000003</v>
      </c>
      <c r="HG182" s="15">
        <f>HF182*SQRT(AR182)</f>
        <v>0.32042939940024234</v>
      </c>
      <c r="HH182" s="15">
        <v>13.08</v>
      </c>
      <c r="HI182" s="15">
        <f t="shared" si="188"/>
        <v>0.65400000000000003</v>
      </c>
      <c r="HJ182" s="15">
        <f>HI182*SQRT(AR182)</f>
        <v>1.1327612281500457</v>
      </c>
      <c r="HK182" s="15">
        <f t="shared" si="173"/>
        <v>3.535135135135135</v>
      </c>
      <c r="HL182" s="15">
        <f t="shared" si="174"/>
        <v>9.379999999999999</v>
      </c>
      <c r="HM182" s="15">
        <f t="shared" si="175"/>
        <v>1.2627515263788736</v>
      </c>
      <c r="HN182" s="15">
        <f>((HJ182*HJ182)/(AR182*HH182*HH182)+(HG182*HG182)/(AR182*HE182*HE182))</f>
        <v>4.9999999999999992E-3</v>
      </c>
      <c r="HP182" s="15" t="s">
        <v>809</v>
      </c>
      <c r="HV182" s="15">
        <f t="shared" si="176"/>
        <v>32.072818091251676</v>
      </c>
      <c r="HW182" s="15">
        <f t="shared" si="177"/>
        <v>1.2627515263788736</v>
      </c>
      <c r="HX182" s="15">
        <f>BB182</f>
        <v>4050</v>
      </c>
      <c r="HY182" s="15">
        <f>AZ182</f>
        <v>6750</v>
      </c>
      <c r="HZ182" s="15">
        <f>BA182</f>
        <v>2.303754266211604</v>
      </c>
      <c r="IA182" s="15">
        <f>BB182</f>
        <v>4050</v>
      </c>
    </row>
    <row r="183" spans="1:235" s="15" customFormat="1" x14ac:dyDescent="0.25">
      <c r="A183" s="31">
        <v>181</v>
      </c>
      <c r="B183" s="1">
        <v>31</v>
      </c>
      <c r="C183" s="1">
        <v>32</v>
      </c>
      <c r="D183" s="15" t="s">
        <v>148</v>
      </c>
      <c r="E183" s="1">
        <v>1</v>
      </c>
      <c r="F183" s="15" t="s">
        <v>761</v>
      </c>
      <c r="G183" s="63" t="s">
        <v>878</v>
      </c>
      <c r="H183" s="15" t="s">
        <v>881</v>
      </c>
      <c r="I183" s="1">
        <v>2001</v>
      </c>
      <c r="J183" s="15" t="s">
        <v>882</v>
      </c>
      <c r="K183" s="1">
        <v>1999</v>
      </c>
      <c r="L183" s="15" t="s">
        <v>883</v>
      </c>
      <c r="M183" s="15" t="s">
        <v>884</v>
      </c>
      <c r="N183" s="15" t="s">
        <v>478</v>
      </c>
      <c r="O183" s="31">
        <v>3</v>
      </c>
      <c r="P183" s="15">
        <v>56.61</v>
      </c>
      <c r="Q183" s="15">
        <v>-114.46</v>
      </c>
      <c r="U183" s="15" t="s">
        <v>807</v>
      </c>
      <c r="V183" s="31">
        <v>2</v>
      </c>
      <c r="W183" s="16"/>
      <c r="X183" s="15" t="s">
        <v>885</v>
      </c>
      <c r="Y183" s="1">
        <v>5</v>
      </c>
      <c r="Z183" s="15">
        <v>4.8</v>
      </c>
      <c r="AA183" s="15" t="s">
        <v>574</v>
      </c>
      <c r="AB183" s="15">
        <f t="shared" si="156"/>
        <v>4.8</v>
      </c>
      <c r="AC183" s="1">
        <v>2</v>
      </c>
      <c r="AD183" s="15">
        <f t="shared" si="184"/>
        <v>48.72</v>
      </c>
      <c r="AJ183" s="15">
        <v>20</v>
      </c>
      <c r="AK183" s="15">
        <v>58</v>
      </c>
      <c r="AL183" s="15">
        <v>22</v>
      </c>
      <c r="AM183" s="1">
        <v>2</v>
      </c>
      <c r="AQ183" s="1"/>
      <c r="AR183" s="1">
        <v>3</v>
      </c>
      <c r="AT183" s="15" t="s">
        <v>886</v>
      </c>
      <c r="AW183" s="15">
        <v>4</v>
      </c>
      <c r="AX183" s="15">
        <f>AW183*2250</f>
        <v>9000</v>
      </c>
      <c r="AY183" s="15" t="s">
        <v>766</v>
      </c>
      <c r="AZ183" s="15">
        <f>AX183</f>
        <v>9000</v>
      </c>
      <c r="BA183" s="15">
        <f>AZ183/2.93/1000</f>
        <v>3.071672354948805</v>
      </c>
      <c r="BB183" s="15">
        <f>AZ183*0.6</f>
        <v>5400</v>
      </c>
      <c r="BP183" s="16"/>
      <c r="BQ183" s="16"/>
      <c r="BR183" s="16"/>
      <c r="BU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>
        <f t="shared" si="157"/>
        <v>5.38</v>
      </c>
      <c r="FL183" s="16">
        <f t="shared" si="158"/>
        <v>7.04</v>
      </c>
      <c r="FM183" s="15">
        <v>5.38</v>
      </c>
      <c r="FN183" s="15">
        <f t="shared" si="185"/>
        <v>0.26900000000000002</v>
      </c>
      <c r="FO183" s="15">
        <f>FN183*SQRT(AR183)</f>
        <v>0.46592166723602801</v>
      </c>
      <c r="FP183" s="15">
        <v>7.04</v>
      </c>
      <c r="FQ183" s="15">
        <f t="shared" si="186"/>
        <v>0.35200000000000004</v>
      </c>
      <c r="FR183" s="15">
        <f>FQ183*SQRT(AR183)</f>
        <v>0.60968188426424486</v>
      </c>
      <c r="FS183" s="15">
        <f t="shared" si="189"/>
        <v>1.3085501858736059</v>
      </c>
      <c r="FT183" s="15">
        <f t="shared" si="190"/>
        <v>1.6600000000000001</v>
      </c>
      <c r="FU183" s="15">
        <f t="shared" si="136"/>
        <v>0.26891979599625793</v>
      </c>
      <c r="FV183" s="15">
        <f>((FR183*FR183)/(AR183*FP183*FP183)+(FO183*FO183)/(AR183*FM183*FM183))</f>
        <v>5.000000000000001E-3</v>
      </c>
      <c r="HE183" s="15">
        <v>3.7</v>
      </c>
      <c r="HF183" s="15">
        <f t="shared" si="187"/>
        <v>0.18500000000000003</v>
      </c>
      <c r="HG183" s="15">
        <f>HF183*SQRT(AR183)</f>
        <v>0.32042939940024234</v>
      </c>
      <c r="HH183" s="15">
        <v>10.33</v>
      </c>
      <c r="HI183" s="15">
        <f t="shared" si="188"/>
        <v>0.51650000000000007</v>
      </c>
      <c r="HJ183" s="15">
        <f>HI183*SQRT(AR183)</f>
        <v>0.89460424210932521</v>
      </c>
      <c r="HK183" s="15">
        <f t="shared" si="173"/>
        <v>2.7918918918918916</v>
      </c>
      <c r="HL183" s="15">
        <f t="shared" si="174"/>
        <v>6.63</v>
      </c>
      <c r="HM183" s="15">
        <f t="shared" si="175"/>
        <v>1.0267194634813683</v>
      </c>
      <c r="HN183" s="15">
        <f>((HJ183*HJ183)/(AR183*HH183*HH183)+(HG183*HG183)/(AR183*HE183*HE183))</f>
        <v>5.000000000000001E-3</v>
      </c>
      <c r="HP183" s="15" t="s">
        <v>809</v>
      </c>
      <c r="HV183" s="15">
        <f t="shared" si="176"/>
        <v>52.594697890403758</v>
      </c>
      <c r="HW183" s="15">
        <f t="shared" si="177"/>
        <v>1.0267194634813683</v>
      </c>
      <c r="HX183" s="15">
        <f>BB183</f>
        <v>5400</v>
      </c>
      <c r="HY183" s="15">
        <f>AZ183</f>
        <v>9000</v>
      </c>
      <c r="HZ183" s="15">
        <f>BA183</f>
        <v>3.071672354948805</v>
      </c>
      <c r="IA183" s="15">
        <f>BB183</f>
        <v>5400</v>
      </c>
    </row>
    <row r="184" spans="1:235" s="15" customFormat="1" x14ac:dyDescent="0.25">
      <c r="A184" s="31">
        <v>182</v>
      </c>
      <c r="B184" s="1">
        <v>31</v>
      </c>
      <c r="C184" s="1">
        <v>32</v>
      </c>
      <c r="D184" s="15" t="s">
        <v>149</v>
      </c>
      <c r="E184" s="1">
        <v>4</v>
      </c>
      <c r="F184" s="15" t="s">
        <v>879</v>
      </c>
      <c r="G184" s="63" t="s">
        <v>878</v>
      </c>
      <c r="H184" s="15" t="s">
        <v>881</v>
      </c>
      <c r="I184" s="1">
        <v>2001</v>
      </c>
      <c r="J184" s="15" t="s">
        <v>882</v>
      </c>
      <c r="K184" s="1">
        <v>1999</v>
      </c>
      <c r="L184" s="15" t="s">
        <v>883</v>
      </c>
      <c r="M184" s="15" t="s">
        <v>884</v>
      </c>
      <c r="N184" s="15" t="s">
        <v>478</v>
      </c>
      <c r="O184" s="31">
        <v>3</v>
      </c>
      <c r="P184" s="15">
        <v>56.61</v>
      </c>
      <c r="Q184" s="15">
        <v>-114.46</v>
      </c>
      <c r="U184" s="15" t="s">
        <v>807</v>
      </c>
      <c r="V184" s="31">
        <v>2</v>
      </c>
      <c r="W184" s="16"/>
      <c r="X184" s="15" t="s">
        <v>885</v>
      </c>
      <c r="Y184" s="1">
        <v>5</v>
      </c>
      <c r="Z184" s="15">
        <v>4.8</v>
      </c>
      <c r="AA184" s="15" t="s">
        <v>574</v>
      </c>
      <c r="AB184" s="15">
        <f t="shared" si="156"/>
        <v>4.8</v>
      </c>
      <c r="AC184" s="1">
        <v>2</v>
      </c>
      <c r="AD184" s="15">
        <f t="shared" si="184"/>
        <v>48.72</v>
      </c>
      <c r="AJ184" s="15">
        <v>20</v>
      </c>
      <c r="AK184" s="15">
        <v>58</v>
      </c>
      <c r="AL184" s="15">
        <v>22</v>
      </c>
      <c r="AM184" s="1">
        <v>2</v>
      </c>
      <c r="AQ184" s="1"/>
      <c r="AR184" s="1">
        <v>3</v>
      </c>
      <c r="BG184" s="15" t="s">
        <v>888</v>
      </c>
      <c r="BP184" s="16">
        <v>22.8</v>
      </c>
      <c r="BQ184" s="16">
        <v>7</v>
      </c>
      <c r="BR184" s="16">
        <v>22.2</v>
      </c>
      <c r="BS184" s="15">
        <v>10</v>
      </c>
      <c r="BT184" s="15">
        <f>BS184*2250</f>
        <v>22500</v>
      </c>
      <c r="BU184" s="15" t="s">
        <v>766</v>
      </c>
      <c r="BY184" s="15">
        <f>BT184</f>
        <v>22500</v>
      </c>
      <c r="BZ184" s="15">
        <f>BY184/1.1/1000</f>
        <v>20.454545454545453</v>
      </c>
      <c r="CA184" s="15">
        <f>BY184*2</f>
        <v>45000</v>
      </c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>
        <f t="shared" si="157"/>
        <v>5.38</v>
      </c>
      <c r="FL184" s="16">
        <f t="shared" si="158"/>
        <v>5.73</v>
      </c>
      <c r="FM184" s="15">
        <v>5.38</v>
      </c>
      <c r="FN184" s="15">
        <f t="shared" si="185"/>
        <v>0.26900000000000002</v>
      </c>
      <c r="FO184" s="15">
        <f>FN184*SQRT(AR184)</f>
        <v>0.46592166723602801</v>
      </c>
      <c r="FP184" s="15">
        <v>5.73</v>
      </c>
      <c r="FQ184" s="15">
        <f t="shared" si="186"/>
        <v>0.28650000000000003</v>
      </c>
      <c r="FR184" s="15">
        <f>FQ184*SQRT(AR184)</f>
        <v>0.49623255636848335</v>
      </c>
      <c r="FS184" s="15">
        <f t="shared" si="189"/>
        <v>1.0650557620817844</v>
      </c>
      <c r="FT184" s="15">
        <f t="shared" si="190"/>
        <v>0.35000000000000053</v>
      </c>
      <c r="FU184" s="15">
        <f t="shared" si="136"/>
        <v>6.302715655295521E-2</v>
      </c>
      <c r="FV184" s="15">
        <f>((FR184*FR184)/(AR184*FP184*FP184)+(FO184*FO184)/(AR184*FM184*FM184))</f>
        <v>4.9999999999999992E-3</v>
      </c>
      <c r="HE184" s="15">
        <v>3.7</v>
      </c>
      <c r="HF184" s="15">
        <f t="shared" si="187"/>
        <v>0.18500000000000003</v>
      </c>
      <c r="HG184" s="15">
        <f>HF184*SQRT(AR184)</f>
        <v>0.32042939940024234</v>
      </c>
      <c r="HH184" s="15">
        <v>9.4700000000000006</v>
      </c>
      <c r="HI184" s="15">
        <f t="shared" si="188"/>
        <v>0.47350000000000003</v>
      </c>
      <c r="HJ184" s="15">
        <f>HI184*SQRT(AR184)</f>
        <v>0.82012605738386346</v>
      </c>
      <c r="HK184" s="15">
        <f t="shared" si="173"/>
        <v>2.5594594594594593</v>
      </c>
      <c r="HL184" s="15">
        <f t="shared" si="174"/>
        <v>5.7700000000000005</v>
      </c>
      <c r="HM184" s="15">
        <f t="shared" si="175"/>
        <v>0.93979608754780797</v>
      </c>
      <c r="HN184" s="15">
        <f>((HJ184*HJ184)/(AR184*HH184*HH184)+(HG184*HG184)/(AR184*HE184*HE184))</f>
        <v>5.000000000000001E-3</v>
      </c>
      <c r="HP184" s="15" t="s">
        <v>809</v>
      </c>
      <c r="HV184" s="15">
        <f t="shared" si="176"/>
        <v>478.82727536584707</v>
      </c>
      <c r="HW184" s="15">
        <f t="shared" si="177"/>
        <v>0.93979608754780797</v>
      </c>
      <c r="HX184" s="15">
        <f>CA184</f>
        <v>45000</v>
      </c>
      <c r="HY184" s="15">
        <f>BY184</f>
        <v>22500</v>
      </c>
      <c r="HZ184" s="15">
        <f>BZ184</f>
        <v>20.454545454545453</v>
      </c>
      <c r="IA184" s="15">
        <f>CA184</f>
        <v>45000</v>
      </c>
    </row>
    <row r="185" spans="1:235" s="15" customFormat="1" x14ac:dyDescent="0.25">
      <c r="A185" s="31">
        <v>183</v>
      </c>
      <c r="B185" s="1">
        <v>31</v>
      </c>
      <c r="C185" s="1">
        <v>32</v>
      </c>
      <c r="D185" s="15" t="s">
        <v>150</v>
      </c>
      <c r="E185" s="1">
        <v>4</v>
      </c>
      <c r="F185" s="15" t="s">
        <v>879</v>
      </c>
      <c r="G185" s="63" t="s">
        <v>878</v>
      </c>
      <c r="H185" s="15" t="s">
        <v>881</v>
      </c>
      <c r="I185" s="1">
        <v>2001</v>
      </c>
      <c r="J185" s="15" t="s">
        <v>882</v>
      </c>
      <c r="K185" s="1">
        <v>1999</v>
      </c>
      <c r="L185" s="15" t="s">
        <v>883</v>
      </c>
      <c r="M185" s="15" t="s">
        <v>884</v>
      </c>
      <c r="N185" s="15" t="s">
        <v>478</v>
      </c>
      <c r="O185" s="31">
        <v>3</v>
      </c>
      <c r="P185" s="15">
        <v>56.61</v>
      </c>
      <c r="Q185" s="15">
        <v>-114.46</v>
      </c>
      <c r="U185" s="15" t="s">
        <v>807</v>
      </c>
      <c r="V185" s="31">
        <v>2</v>
      </c>
      <c r="W185" s="16"/>
      <c r="X185" s="15" t="s">
        <v>885</v>
      </c>
      <c r="Y185" s="1">
        <v>5</v>
      </c>
      <c r="Z185" s="15">
        <v>4.8</v>
      </c>
      <c r="AA185" s="15" t="s">
        <v>574</v>
      </c>
      <c r="AB185" s="15">
        <f t="shared" si="156"/>
        <v>4.8</v>
      </c>
      <c r="AC185" s="1">
        <v>2</v>
      </c>
      <c r="AD185" s="15">
        <f t="shared" si="184"/>
        <v>48.72</v>
      </c>
      <c r="AJ185" s="15">
        <v>20</v>
      </c>
      <c r="AK185" s="15">
        <v>58</v>
      </c>
      <c r="AL185" s="15">
        <v>22</v>
      </c>
      <c r="AM185" s="1">
        <v>2</v>
      </c>
      <c r="AQ185" s="1"/>
      <c r="AR185" s="1">
        <v>3</v>
      </c>
      <c r="BG185" s="15" t="s">
        <v>888</v>
      </c>
      <c r="BP185" s="16">
        <v>22.8</v>
      </c>
      <c r="BQ185" s="16">
        <v>7</v>
      </c>
      <c r="BR185" s="16">
        <v>22.2</v>
      </c>
      <c r="BS185" s="15">
        <v>20</v>
      </c>
      <c r="BT185" s="15">
        <f>BS185*2250</f>
        <v>45000</v>
      </c>
      <c r="BU185" s="15" t="s">
        <v>766</v>
      </c>
      <c r="BY185" s="15">
        <f>BT185</f>
        <v>45000</v>
      </c>
      <c r="BZ185" s="15">
        <f>BY185/1.1/1000</f>
        <v>40.909090909090907</v>
      </c>
      <c r="CA185" s="15">
        <f>BY185*2</f>
        <v>90000</v>
      </c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>
        <f t="shared" si="157"/>
        <v>5.38</v>
      </c>
      <c r="FL185" s="16">
        <f t="shared" si="158"/>
        <v>6.19</v>
      </c>
      <c r="FM185" s="15">
        <v>5.38</v>
      </c>
      <c r="FN185" s="15">
        <f t="shared" si="185"/>
        <v>0.26900000000000002</v>
      </c>
      <c r="FO185" s="15">
        <f>FN185*SQRT(AR185)</f>
        <v>0.46592166723602801</v>
      </c>
      <c r="FP185" s="15">
        <v>6.19</v>
      </c>
      <c r="FQ185" s="15">
        <f t="shared" si="186"/>
        <v>0.30950000000000005</v>
      </c>
      <c r="FR185" s="15">
        <f>FQ185*SQRT(AR185)</f>
        <v>0.53606972494256755</v>
      </c>
      <c r="FS185" s="15">
        <f t="shared" si="189"/>
        <v>1.1505576208178439</v>
      </c>
      <c r="FT185" s="15">
        <f t="shared" si="190"/>
        <v>0.8100000000000005</v>
      </c>
      <c r="FU185" s="15">
        <f t="shared" si="136"/>
        <v>0.14024671252281173</v>
      </c>
      <c r="FV185" s="15">
        <f>((FR185*FR185)/(AR185*FP185*FP185)+(FO185*FO185)/(AR185*FM185*FM185))</f>
        <v>5.0000000000000001E-3</v>
      </c>
      <c r="HE185" s="15">
        <v>3.7</v>
      </c>
      <c r="HF185" s="15">
        <f t="shared" si="187"/>
        <v>0.18500000000000003</v>
      </c>
      <c r="HG185" s="15">
        <f>HF185*SQRT(AR185)</f>
        <v>0.32042939940024234</v>
      </c>
      <c r="HH185" s="15">
        <v>13.03</v>
      </c>
      <c r="HI185" s="15">
        <f t="shared" si="188"/>
        <v>0.65149999999999997</v>
      </c>
      <c r="HJ185" s="15">
        <f>HI185*SQRT(AR185)</f>
        <v>1.1284311011311234</v>
      </c>
      <c r="HK185" s="15">
        <f t="shared" si="173"/>
        <v>3.5216216216216214</v>
      </c>
      <c r="HL185" s="15">
        <f t="shared" si="174"/>
        <v>9.3299999999999983</v>
      </c>
      <c r="HM185" s="15">
        <f t="shared" si="175"/>
        <v>1.2589215714865749</v>
      </c>
      <c r="HN185" s="15">
        <f>((HJ185*HJ185)/(AR185*HH185*HH185)+(HG185*HG185)/(AR185*HE185*HE185))</f>
        <v>5.000000000000001E-3</v>
      </c>
      <c r="HP185" s="15" t="s">
        <v>809</v>
      </c>
      <c r="HV185" s="15">
        <f t="shared" si="176"/>
        <v>714.89759202175799</v>
      </c>
      <c r="HW185" s="15">
        <f t="shared" si="177"/>
        <v>1.2589215714865749</v>
      </c>
      <c r="HX185" s="15">
        <f>CA185</f>
        <v>90000</v>
      </c>
      <c r="HY185" s="15">
        <f>BY185</f>
        <v>45000</v>
      </c>
      <c r="HZ185" s="15">
        <f>BZ185</f>
        <v>40.909090909090907</v>
      </c>
      <c r="IA185" s="15">
        <f>CA185</f>
        <v>90000</v>
      </c>
    </row>
    <row r="186" spans="1:235" s="15" customFormat="1" x14ac:dyDescent="0.25">
      <c r="A186" s="31">
        <v>184</v>
      </c>
      <c r="B186" s="1">
        <v>31</v>
      </c>
      <c r="C186" s="1">
        <v>32</v>
      </c>
      <c r="D186" s="15" t="s">
        <v>151</v>
      </c>
      <c r="E186" s="1">
        <v>4</v>
      </c>
      <c r="F186" s="15" t="s">
        <v>879</v>
      </c>
      <c r="G186" s="63" t="s">
        <v>878</v>
      </c>
      <c r="H186" s="15" t="s">
        <v>881</v>
      </c>
      <c r="I186" s="1">
        <v>2001</v>
      </c>
      <c r="J186" s="15" t="s">
        <v>882</v>
      </c>
      <c r="K186" s="1">
        <v>1999</v>
      </c>
      <c r="L186" s="15" t="s">
        <v>883</v>
      </c>
      <c r="M186" s="15" t="s">
        <v>884</v>
      </c>
      <c r="N186" s="15" t="s">
        <v>478</v>
      </c>
      <c r="O186" s="31">
        <v>3</v>
      </c>
      <c r="P186" s="15">
        <v>56.61</v>
      </c>
      <c r="Q186" s="15">
        <v>-114.46</v>
      </c>
      <c r="U186" s="15" t="s">
        <v>807</v>
      </c>
      <c r="V186" s="31">
        <v>2</v>
      </c>
      <c r="W186" s="16"/>
      <c r="X186" s="15" t="s">
        <v>885</v>
      </c>
      <c r="Y186" s="1">
        <v>5</v>
      </c>
      <c r="Z186" s="15">
        <v>4.8</v>
      </c>
      <c r="AA186" s="15" t="s">
        <v>574</v>
      </c>
      <c r="AB186" s="15">
        <f t="shared" si="156"/>
        <v>4.8</v>
      </c>
      <c r="AC186" s="1">
        <v>2</v>
      </c>
      <c r="AD186" s="15">
        <f t="shared" si="184"/>
        <v>48.72</v>
      </c>
      <c r="AJ186" s="15">
        <v>20</v>
      </c>
      <c r="AK186" s="15">
        <v>58</v>
      </c>
      <c r="AL186" s="15">
        <v>22</v>
      </c>
      <c r="AM186" s="1">
        <v>2</v>
      </c>
      <c r="AQ186" s="1"/>
      <c r="AR186" s="1">
        <v>3</v>
      </c>
      <c r="BG186" s="15" t="s">
        <v>888</v>
      </c>
      <c r="BP186" s="16">
        <v>22.8</v>
      </c>
      <c r="BQ186" s="16">
        <v>7</v>
      </c>
      <c r="BR186" s="16">
        <v>22.2</v>
      </c>
      <c r="BS186" s="15">
        <v>30</v>
      </c>
      <c r="BT186" s="15">
        <f>BS186*2250</f>
        <v>67500</v>
      </c>
      <c r="BU186" s="15" t="s">
        <v>766</v>
      </c>
      <c r="BY186" s="15">
        <f>BT186</f>
        <v>67500</v>
      </c>
      <c r="BZ186" s="15">
        <f>BY186/1.1/1000</f>
        <v>61.36363636363636</v>
      </c>
      <c r="CA186" s="15">
        <f>BY186*2</f>
        <v>135000</v>
      </c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>
        <f t="shared" si="157"/>
        <v>5.38</v>
      </c>
      <c r="FL186" s="16">
        <f t="shared" si="158"/>
        <v>6.53</v>
      </c>
      <c r="FM186" s="15">
        <v>5.38</v>
      </c>
      <c r="FN186" s="15">
        <f t="shared" si="185"/>
        <v>0.26900000000000002</v>
      </c>
      <c r="FO186" s="15">
        <f>FN186*SQRT(AR186)</f>
        <v>0.46592166723602801</v>
      </c>
      <c r="FP186" s="15">
        <v>6.53</v>
      </c>
      <c r="FQ186" s="15">
        <f t="shared" si="186"/>
        <v>0.32650000000000001</v>
      </c>
      <c r="FR186" s="15">
        <f>FQ186*SQRT(AR186)</f>
        <v>0.56551458867123838</v>
      </c>
      <c r="FS186" s="15">
        <f t="shared" si="189"/>
        <v>1.2137546468401488</v>
      </c>
      <c r="FT186" s="15">
        <f t="shared" si="190"/>
        <v>1.1500000000000004</v>
      </c>
      <c r="FU186" s="15">
        <f t="shared" si="136"/>
        <v>0.19371856911464658</v>
      </c>
      <c r="FV186" s="15">
        <f>((FR186*FR186)/(AR186*FP186*FP186)+(FO186*FO186)/(AR186*FM186*FM186))</f>
        <v>4.9999999999999992E-3</v>
      </c>
      <c r="HE186" s="15">
        <v>3.7</v>
      </c>
      <c r="HF186" s="15">
        <f t="shared" si="187"/>
        <v>0.18500000000000003</v>
      </c>
      <c r="HG186" s="15">
        <f>HF186*SQRT(AR186)</f>
        <v>0.32042939940024234</v>
      </c>
      <c r="HH186" s="15">
        <v>19.8</v>
      </c>
      <c r="HI186" s="15">
        <f t="shared" si="188"/>
        <v>0.9900000000000001</v>
      </c>
      <c r="HJ186" s="15">
        <f>HI186*SQRT(AR186)</f>
        <v>1.7147302994931886</v>
      </c>
      <c r="HK186" s="15">
        <f t="shared" si="173"/>
        <v>5.3513513513513509</v>
      </c>
      <c r="HL186" s="15">
        <f t="shared" si="174"/>
        <v>16.100000000000001</v>
      </c>
      <c r="HM186" s="15">
        <f t="shared" si="175"/>
        <v>1.6773491180503108</v>
      </c>
      <c r="HN186" s="15">
        <f>((HJ186*HJ186)/(AR186*HH186*HH186)+(HG186*HG186)/(AR186*HE186*HE186))</f>
        <v>5.000000000000001E-3</v>
      </c>
      <c r="HP186" s="15" t="s">
        <v>809</v>
      </c>
      <c r="HV186" s="15">
        <f t="shared" si="176"/>
        <v>804.84139257138702</v>
      </c>
      <c r="HW186" s="15">
        <f t="shared" si="177"/>
        <v>1.6773491180503108</v>
      </c>
      <c r="HX186" s="15">
        <f>CA186</f>
        <v>135000</v>
      </c>
      <c r="HY186" s="15">
        <f>BY186</f>
        <v>67500</v>
      </c>
      <c r="HZ186" s="15">
        <f>BZ186</f>
        <v>61.36363636363636</v>
      </c>
      <c r="IA186" s="15">
        <f>CA186</f>
        <v>135000</v>
      </c>
    </row>
    <row r="187" spans="1:235" s="15" customFormat="1" x14ac:dyDescent="0.25">
      <c r="A187" s="31">
        <v>185</v>
      </c>
      <c r="B187" s="1">
        <v>31</v>
      </c>
      <c r="C187" s="1">
        <v>32</v>
      </c>
      <c r="D187" s="15" t="s">
        <v>152</v>
      </c>
      <c r="E187" s="1">
        <v>4</v>
      </c>
      <c r="F187" s="15" t="s">
        <v>879</v>
      </c>
      <c r="G187" s="63" t="s">
        <v>878</v>
      </c>
      <c r="H187" s="15" t="s">
        <v>881</v>
      </c>
      <c r="I187" s="1">
        <v>2001</v>
      </c>
      <c r="J187" s="15" t="s">
        <v>882</v>
      </c>
      <c r="K187" s="1">
        <v>1999</v>
      </c>
      <c r="L187" s="15" t="s">
        <v>883</v>
      </c>
      <c r="M187" s="15" t="s">
        <v>884</v>
      </c>
      <c r="N187" s="15" t="s">
        <v>478</v>
      </c>
      <c r="O187" s="31">
        <v>3</v>
      </c>
      <c r="P187" s="15">
        <v>56.61</v>
      </c>
      <c r="Q187" s="15">
        <v>-114.46</v>
      </c>
      <c r="U187" s="15" t="s">
        <v>807</v>
      </c>
      <c r="V187" s="31">
        <v>2</v>
      </c>
      <c r="W187" s="16"/>
      <c r="X187" s="15" t="s">
        <v>885</v>
      </c>
      <c r="Y187" s="1">
        <v>5</v>
      </c>
      <c r="Z187" s="15">
        <v>4.8</v>
      </c>
      <c r="AA187" s="15" t="s">
        <v>574</v>
      </c>
      <c r="AB187" s="15">
        <f t="shared" si="156"/>
        <v>4.8</v>
      </c>
      <c r="AC187" s="1">
        <v>2</v>
      </c>
      <c r="AD187" s="15">
        <f t="shared" si="184"/>
        <v>48.72</v>
      </c>
      <c r="AJ187" s="15">
        <v>20</v>
      </c>
      <c r="AK187" s="15">
        <v>58</v>
      </c>
      <c r="AL187" s="15">
        <v>22</v>
      </c>
      <c r="AM187" s="1">
        <v>2</v>
      </c>
      <c r="AQ187" s="1"/>
      <c r="AR187" s="1">
        <v>3</v>
      </c>
      <c r="BG187" s="15" t="s">
        <v>888</v>
      </c>
      <c r="BP187" s="16">
        <v>22.8</v>
      </c>
      <c r="BQ187" s="16">
        <v>7</v>
      </c>
      <c r="BR187" s="16">
        <v>22.2</v>
      </c>
      <c r="BS187" s="15">
        <v>40</v>
      </c>
      <c r="BT187" s="15">
        <f>BS187*2250</f>
        <v>90000</v>
      </c>
      <c r="BU187" s="15" t="s">
        <v>766</v>
      </c>
      <c r="BY187" s="15">
        <f>BT187</f>
        <v>90000</v>
      </c>
      <c r="BZ187" s="15">
        <f>BY187/1.1/1000</f>
        <v>81.818181818181813</v>
      </c>
      <c r="CA187" s="15">
        <f>BY187*2</f>
        <v>180000</v>
      </c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>
        <f t="shared" si="157"/>
        <v>5.38</v>
      </c>
      <c r="FL187" s="16">
        <f t="shared" si="158"/>
        <v>6.76</v>
      </c>
      <c r="FM187" s="15">
        <v>5.38</v>
      </c>
      <c r="FN187" s="15">
        <f t="shared" si="185"/>
        <v>0.26900000000000002</v>
      </c>
      <c r="FO187" s="15">
        <f>FN187*SQRT(AR187)</f>
        <v>0.46592166723602801</v>
      </c>
      <c r="FP187" s="15">
        <v>6.76</v>
      </c>
      <c r="FQ187" s="15">
        <f t="shared" si="186"/>
        <v>0.33800000000000002</v>
      </c>
      <c r="FR187" s="15">
        <f>FQ187*SQRT(AR187)</f>
        <v>0.58543317295828057</v>
      </c>
      <c r="FS187" s="15">
        <f t="shared" si="189"/>
        <v>1.2565055762081785</v>
      </c>
      <c r="FT187" s="15">
        <f t="shared" si="190"/>
        <v>1.38</v>
      </c>
      <c r="FU187" s="15">
        <f t="shared" si="136"/>
        <v>0.22833451588117959</v>
      </c>
      <c r="FV187" s="15">
        <f>((FR187*FR187)/(AR187*FP187*FP187)+(FO187*FO187)/(AR187*FM187*FM187))</f>
        <v>5.0000000000000001E-3</v>
      </c>
      <c r="HE187" s="15">
        <v>3.7</v>
      </c>
      <c r="HF187" s="15">
        <f t="shared" si="187"/>
        <v>0.18500000000000003</v>
      </c>
      <c r="HG187" s="15">
        <f>HF187*SQRT(AR187)</f>
        <v>0.32042939940024234</v>
      </c>
      <c r="HH187" s="15">
        <v>16.64</v>
      </c>
      <c r="HI187" s="15">
        <f t="shared" si="188"/>
        <v>0.83200000000000007</v>
      </c>
      <c r="HJ187" s="15">
        <f>HI187*SQRT(AR187)</f>
        <v>1.441066271897306</v>
      </c>
      <c r="HK187" s="15">
        <f t="shared" si="173"/>
        <v>4.4972972972972975</v>
      </c>
      <c r="HL187" s="15">
        <f t="shared" si="174"/>
        <v>12.940000000000001</v>
      </c>
      <c r="HM187" s="15">
        <f t="shared" si="175"/>
        <v>1.5034766157428838</v>
      </c>
      <c r="HN187" s="15">
        <f>((HJ187*HJ187)/(AR187*HH187*HH187)+(HG187*HG187)/(AR187*HE187*HE187))</f>
        <v>5.000000000000001E-3</v>
      </c>
      <c r="HP187" s="15" t="s">
        <v>809</v>
      </c>
      <c r="HV187" s="15">
        <f t="shared" si="176"/>
        <v>1197.2251388230609</v>
      </c>
      <c r="HW187" s="15">
        <f t="shared" si="177"/>
        <v>1.5034766157428838</v>
      </c>
      <c r="HX187" s="15">
        <f>CA187</f>
        <v>180000</v>
      </c>
      <c r="HY187" s="15">
        <f>BY187</f>
        <v>90000</v>
      </c>
      <c r="HZ187" s="15">
        <f>BZ187</f>
        <v>81.818181818181813</v>
      </c>
      <c r="IA187" s="15">
        <f>CA187</f>
        <v>180000</v>
      </c>
    </row>
    <row r="188" spans="1:235" s="15" customFormat="1" x14ac:dyDescent="0.25">
      <c r="A188" s="31">
        <v>186</v>
      </c>
      <c r="B188" s="1">
        <v>31</v>
      </c>
      <c r="C188" s="1">
        <v>32</v>
      </c>
      <c r="D188" s="15" t="s">
        <v>153</v>
      </c>
      <c r="E188" s="1">
        <v>1</v>
      </c>
      <c r="F188" s="15" t="s">
        <v>761</v>
      </c>
      <c r="G188" s="63" t="s">
        <v>878</v>
      </c>
      <c r="H188" s="15" t="s">
        <v>881</v>
      </c>
      <c r="I188" s="1">
        <v>2001</v>
      </c>
      <c r="J188" s="15" t="s">
        <v>882</v>
      </c>
      <c r="K188" s="1">
        <v>1999</v>
      </c>
      <c r="L188" s="15" t="s">
        <v>883</v>
      </c>
      <c r="M188" s="15" t="s">
        <v>884</v>
      </c>
      <c r="N188" s="15" t="s">
        <v>478</v>
      </c>
      <c r="O188" s="31">
        <v>3</v>
      </c>
      <c r="P188" s="15">
        <v>56.61</v>
      </c>
      <c r="Q188" s="15">
        <v>-114.46</v>
      </c>
      <c r="U188" s="15" t="s">
        <v>807</v>
      </c>
      <c r="V188" s="31">
        <v>2</v>
      </c>
      <c r="W188" s="16"/>
      <c r="X188" s="15" t="s">
        <v>729</v>
      </c>
      <c r="Y188" s="61">
        <v>11</v>
      </c>
      <c r="Z188" s="15">
        <v>4.8</v>
      </c>
      <c r="AA188" s="15" t="s">
        <v>574</v>
      </c>
      <c r="AB188" s="15">
        <f t="shared" si="156"/>
        <v>4.8</v>
      </c>
      <c r="AC188" s="1">
        <v>2</v>
      </c>
      <c r="AD188" s="15">
        <f t="shared" si="184"/>
        <v>48.72</v>
      </c>
      <c r="AJ188" s="15">
        <v>20</v>
      </c>
      <c r="AK188" s="15">
        <v>58</v>
      </c>
      <c r="AL188" s="15">
        <v>22</v>
      </c>
      <c r="AM188" s="1">
        <v>2</v>
      </c>
      <c r="AQ188" s="1"/>
      <c r="AR188" s="1">
        <v>3</v>
      </c>
      <c r="AT188" s="15" t="s">
        <v>886</v>
      </c>
      <c r="AW188" s="15">
        <v>0.75</v>
      </c>
      <c r="AX188" s="15">
        <f>AW188*2250</f>
        <v>1687.5</v>
      </c>
      <c r="AY188" s="15" t="s">
        <v>766</v>
      </c>
      <c r="AZ188" s="15">
        <f>AX188</f>
        <v>1687.5</v>
      </c>
      <c r="BA188" s="15">
        <f>AZ188/2.93/1000</f>
        <v>0.57593856655290099</v>
      </c>
      <c r="BB188" s="15">
        <f>AZ188*0.6</f>
        <v>1012.5</v>
      </c>
      <c r="BP188" s="16"/>
      <c r="BQ188" s="16"/>
      <c r="BR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>
        <f t="shared" si="157"/>
        <v>5.13</v>
      </c>
      <c r="FL188" s="16">
        <f t="shared" si="158"/>
        <v>5.58</v>
      </c>
      <c r="FM188" s="15">
        <v>5.13</v>
      </c>
      <c r="FN188" s="15">
        <f t="shared" si="185"/>
        <v>0.25650000000000001</v>
      </c>
      <c r="FO188" s="15">
        <f>FN188*SQRT(AR188)</f>
        <v>0.444271032141417</v>
      </c>
      <c r="FP188" s="15">
        <v>5.58</v>
      </c>
      <c r="FQ188" s="15">
        <f t="shared" si="186"/>
        <v>0.27900000000000003</v>
      </c>
      <c r="FR188" s="15">
        <f>FQ188*SQRT(AR188)</f>
        <v>0.48324217531171676</v>
      </c>
      <c r="FS188" s="15">
        <f t="shared" ref="FS188:FS251" si="191">FP188/FM188</f>
        <v>1.0877192982456141</v>
      </c>
      <c r="FT188" s="15">
        <f t="shared" ref="FT188:FT251" si="192">FP188-FM188</f>
        <v>0.45000000000000018</v>
      </c>
      <c r="FU188" s="15">
        <f t="shared" si="136"/>
        <v>8.4083117210541403E-2</v>
      </c>
      <c r="FV188" s="15">
        <f>((FR188*FR188)/(AR188*FP188*FP188)+(FO188*FO188)/(AR188*FM188*FM188))</f>
        <v>4.9999999999999992E-3</v>
      </c>
      <c r="HE188" s="15">
        <v>3.35</v>
      </c>
      <c r="HF188" s="15">
        <f t="shared" si="187"/>
        <v>0.16750000000000001</v>
      </c>
      <c r="HG188" s="15">
        <f>HF188*SQRT(AR188)</f>
        <v>0.29011851026778696</v>
      </c>
      <c r="HH188" s="15">
        <v>4.4400000000000004</v>
      </c>
      <c r="HI188" s="15">
        <f t="shared" si="188"/>
        <v>0.22200000000000003</v>
      </c>
      <c r="HJ188" s="15">
        <f>HI188*SQRT(AR188)</f>
        <v>0.38451527928029078</v>
      </c>
      <c r="HK188" s="15">
        <f t="shared" si="173"/>
        <v>1.3253731343283583</v>
      </c>
      <c r="HL188" s="15">
        <f t="shared" si="174"/>
        <v>1.0900000000000003</v>
      </c>
      <c r="HM188" s="15">
        <f t="shared" si="175"/>
        <v>0.28169403060715847</v>
      </c>
      <c r="HN188" s="15">
        <f>((HJ188*HJ188)/(AR188*HH188*HH188)+(HG188*HG188)/(AR188*HE188*HE188))</f>
        <v>4.9999999999999992E-3</v>
      </c>
      <c r="HP188" s="15" t="s">
        <v>809</v>
      </c>
      <c r="HV188" s="15">
        <f t="shared" si="176"/>
        <v>35.943253671995635</v>
      </c>
      <c r="HW188" s="15">
        <f t="shared" si="177"/>
        <v>0.28169403060715847</v>
      </c>
      <c r="HX188" s="15">
        <f>BB188</f>
        <v>1012.5</v>
      </c>
      <c r="HY188" s="15">
        <f>AZ188</f>
        <v>1687.5</v>
      </c>
      <c r="HZ188" s="15">
        <f>BA188</f>
        <v>0.57593856655290099</v>
      </c>
      <c r="IA188" s="15">
        <f>BB188</f>
        <v>1012.5</v>
      </c>
    </row>
    <row r="189" spans="1:235" s="15" customFormat="1" x14ac:dyDescent="0.25">
      <c r="A189" s="31">
        <v>187</v>
      </c>
      <c r="B189" s="1">
        <v>31</v>
      </c>
      <c r="C189" s="1">
        <v>32</v>
      </c>
      <c r="D189" s="15" t="s">
        <v>154</v>
      </c>
      <c r="E189" s="1">
        <v>1</v>
      </c>
      <c r="F189" s="15" t="s">
        <v>761</v>
      </c>
      <c r="G189" s="63" t="s">
        <v>878</v>
      </c>
      <c r="H189" s="15" t="s">
        <v>881</v>
      </c>
      <c r="I189" s="1">
        <v>2001</v>
      </c>
      <c r="J189" s="15" t="s">
        <v>882</v>
      </c>
      <c r="K189" s="1">
        <v>1999</v>
      </c>
      <c r="L189" s="15" t="s">
        <v>883</v>
      </c>
      <c r="M189" s="15" t="s">
        <v>884</v>
      </c>
      <c r="N189" s="15" t="s">
        <v>478</v>
      </c>
      <c r="O189" s="31">
        <v>3</v>
      </c>
      <c r="P189" s="15">
        <v>56.61</v>
      </c>
      <c r="Q189" s="15">
        <v>-114.46</v>
      </c>
      <c r="U189" s="15" t="s">
        <v>807</v>
      </c>
      <c r="V189" s="31">
        <v>2</v>
      </c>
      <c r="W189" s="16"/>
      <c r="X189" s="15" t="s">
        <v>729</v>
      </c>
      <c r="Y189" s="61">
        <v>11</v>
      </c>
      <c r="Z189" s="15">
        <v>4.8</v>
      </c>
      <c r="AA189" s="15" t="s">
        <v>574</v>
      </c>
      <c r="AB189" s="15">
        <f t="shared" si="156"/>
        <v>4.8</v>
      </c>
      <c r="AC189" s="1">
        <v>2</v>
      </c>
      <c r="AD189" s="15">
        <f t="shared" si="184"/>
        <v>48.72</v>
      </c>
      <c r="AJ189" s="15">
        <v>20</v>
      </c>
      <c r="AK189" s="15">
        <v>58</v>
      </c>
      <c r="AL189" s="15">
        <v>22</v>
      </c>
      <c r="AM189" s="1">
        <v>2</v>
      </c>
      <c r="AQ189" s="1"/>
      <c r="AR189" s="1">
        <v>3</v>
      </c>
      <c r="AT189" s="15" t="s">
        <v>886</v>
      </c>
      <c r="AW189" s="15">
        <v>1.5</v>
      </c>
      <c r="AX189" s="15">
        <f>AW189*2250</f>
        <v>3375</v>
      </c>
      <c r="AY189" s="15" t="s">
        <v>766</v>
      </c>
      <c r="AZ189" s="15">
        <f>AX189</f>
        <v>3375</v>
      </c>
      <c r="BA189" s="15">
        <f>AZ189/2.93/1000</f>
        <v>1.151877133105802</v>
      </c>
      <c r="BB189" s="15">
        <f>AZ189*0.6</f>
        <v>2025</v>
      </c>
      <c r="BP189" s="16"/>
      <c r="BQ189" s="16"/>
      <c r="BR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>
        <f t="shared" si="157"/>
        <v>5.13</v>
      </c>
      <c r="FL189" s="16">
        <f t="shared" si="158"/>
        <v>5.9</v>
      </c>
      <c r="FM189" s="15">
        <v>5.13</v>
      </c>
      <c r="FN189" s="15">
        <f t="shared" si="185"/>
        <v>0.25650000000000001</v>
      </c>
      <c r="FO189" s="15">
        <f>FN189*SQRT(AR189)</f>
        <v>0.444271032141417</v>
      </c>
      <c r="FP189" s="15">
        <v>5.9</v>
      </c>
      <c r="FQ189" s="15">
        <f t="shared" si="186"/>
        <v>0.29500000000000004</v>
      </c>
      <c r="FR189" s="15">
        <f>FQ189*SQRT(AR189)</f>
        <v>0.51095498823281882</v>
      </c>
      <c r="FS189" s="15">
        <f t="shared" si="191"/>
        <v>1.1500974658869396</v>
      </c>
      <c r="FT189" s="15">
        <f t="shared" si="192"/>
        <v>0.77000000000000046</v>
      </c>
      <c r="FU189" s="15">
        <f t="shared" si="136"/>
        <v>0.13984669172899555</v>
      </c>
      <c r="FV189" s="15">
        <f>((FR189*FR189)/(AR189*FP189*FP189)+(FO189*FO189)/(AR189*FM189*FM189))</f>
        <v>4.9999999999999992E-3</v>
      </c>
      <c r="HE189" s="15">
        <v>3.35</v>
      </c>
      <c r="HF189" s="15">
        <f t="shared" si="187"/>
        <v>0.16750000000000001</v>
      </c>
      <c r="HG189" s="15">
        <f>HF189*SQRT(AR189)</f>
        <v>0.29011851026778696</v>
      </c>
      <c r="HH189" s="15">
        <v>4.43</v>
      </c>
      <c r="HI189" s="15">
        <f t="shared" si="188"/>
        <v>0.2215</v>
      </c>
      <c r="HJ189" s="15">
        <f>HI189*SQRT(AR189)</f>
        <v>0.38364925387650628</v>
      </c>
      <c r="HK189" s="15">
        <f t="shared" si="173"/>
        <v>1.3223880597014923</v>
      </c>
      <c r="HL189" s="15">
        <f t="shared" si="174"/>
        <v>1.0799999999999996</v>
      </c>
      <c r="HM189" s="15">
        <f t="shared" si="175"/>
        <v>0.27943923822006922</v>
      </c>
      <c r="HN189" s="15">
        <f>((HJ189*HJ189)/(AR189*HH189*HH189)+(HG189*HG189)/(AR189*HE189*HE189))</f>
        <v>4.9999999999999992E-3</v>
      </c>
      <c r="HP189" s="15" t="s">
        <v>809</v>
      </c>
      <c r="HV189" s="15">
        <f t="shared" si="176"/>
        <v>72.46655884472581</v>
      </c>
      <c r="HW189" s="15">
        <f t="shared" si="177"/>
        <v>0.27943923822006922</v>
      </c>
      <c r="HX189" s="15">
        <f>BB189</f>
        <v>2025</v>
      </c>
      <c r="HY189" s="15">
        <f>AZ189</f>
        <v>3375</v>
      </c>
      <c r="HZ189" s="15">
        <f>BA189</f>
        <v>1.151877133105802</v>
      </c>
      <c r="IA189" s="15">
        <f>BB189</f>
        <v>2025</v>
      </c>
    </row>
    <row r="190" spans="1:235" s="15" customFormat="1" x14ac:dyDescent="0.25">
      <c r="A190" s="31">
        <v>188</v>
      </c>
      <c r="B190" s="1">
        <v>31</v>
      </c>
      <c r="C190" s="1">
        <v>32</v>
      </c>
      <c r="D190" s="15" t="s">
        <v>155</v>
      </c>
      <c r="E190" s="1">
        <v>1</v>
      </c>
      <c r="F190" s="15" t="s">
        <v>761</v>
      </c>
      <c r="G190" s="63" t="s">
        <v>878</v>
      </c>
      <c r="H190" s="15" t="s">
        <v>881</v>
      </c>
      <c r="I190" s="1">
        <v>2001</v>
      </c>
      <c r="J190" s="15" t="s">
        <v>882</v>
      </c>
      <c r="K190" s="1">
        <v>1999</v>
      </c>
      <c r="L190" s="15" t="s">
        <v>883</v>
      </c>
      <c r="M190" s="15" t="s">
        <v>884</v>
      </c>
      <c r="N190" s="15" t="s">
        <v>478</v>
      </c>
      <c r="O190" s="31">
        <v>3</v>
      </c>
      <c r="P190" s="15">
        <v>56.61</v>
      </c>
      <c r="Q190" s="15">
        <v>-114.46</v>
      </c>
      <c r="U190" s="15" t="s">
        <v>807</v>
      </c>
      <c r="V190" s="31">
        <v>2</v>
      </c>
      <c r="W190" s="16"/>
      <c r="X190" s="15" t="s">
        <v>729</v>
      </c>
      <c r="Y190" s="61">
        <v>11</v>
      </c>
      <c r="Z190" s="15">
        <v>4.8</v>
      </c>
      <c r="AA190" s="15" t="s">
        <v>574</v>
      </c>
      <c r="AB190" s="15">
        <f t="shared" si="156"/>
        <v>4.8</v>
      </c>
      <c r="AC190" s="1">
        <v>2</v>
      </c>
      <c r="AD190" s="15">
        <f t="shared" si="184"/>
        <v>48.72</v>
      </c>
      <c r="AJ190" s="15">
        <v>20</v>
      </c>
      <c r="AK190" s="15">
        <v>58</v>
      </c>
      <c r="AL190" s="15">
        <v>22</v>
      </c>
      <c r="AM190" s="1">
        <v>2</v>
      </c>
      <c r="AQ190" s="1"/>
      <c r="AR190" s="1">
        <v>3</v>
      </c>
      <c r="AT190" s="15" t="s">
        <v>886</v>
      </c>
      <c r="AW190" s="15">
        <v>3</v>
      </c>
      <c r="AX190" s="15">
        <f>AW190*2250</f>
        <v>6750</v>
      </c>
      <c r="AY190" s="15" t="s">
        <v>766</v>
      </c>
      <c r="AZ190" s="15">
        <f>AX190</f>
        <v>6750</v>
      </c>
      <c r="BA190" s="15">
        <f>AZ190/2.93/1000</f>
        <v>2.303754266211604</v>
      </c>
      <c r="BB190" s="15">
        <f>AZ190*0.6</f>
        <v>4050</v>
      </c>
      <c r="BP190" s="16"/>
      <c r="BQ190" s="16"/>
      <c r="BR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>
        <f t="shared" si="157"/>
        <v>5.13</v>
      </c>
      <c r="FL190" s="16">
        <f t="shared" si="158"/>
        <v>6.39</v>
      </c>
      <c r="FM190" s="15">
        <v>5.13</v>
      </c>
      <c r="FN190" s="15">
        <f t="shared" si="185"/>
        <v>0.25650000000000001</v>
      </c>
      <c r="FO190" s="15">
        <f>FN190*SQRT(AR190)</f>
        <v>0.444271032141417</v>
      </c>
      <c r="FP190" s="15">
        <v>6.39</v>
      </c>
      <c r="FQ190" s="15">
        <f t="shared" si="186"/>
        <v>0.31950000000000001</v>
      </c>
      <c r="FR190" s="15">
        <f>FQ190*SQRT(AR190)</f>
        <v>0.55339023301825629</v>
      </c>
      <c r="FS190" s="15">
        <f t="shared" si="191"/>
        <v>1.2456140350877192</v>
      </c>
      <c r="FT190" s="15">
        <f t="shared" si="192"/>
        <v>1.2599999999999998</v>
      </c>
      <c r="FU190" s="15">
        <f t="shared" si="136"/>
        <v>0.21962860920676519</v>
      </c>
      <c r="FV190" s="15">
        <f>((FR190*FR190)/(AR190*FP190*FP190)+(FO190*FO190)/(AR190*FM190*FM190))</f>
        <v>5.000000000000001E-3</v>
      </c>
      <c r="HE190" s="15">
        <v>3.35</v>
      </c>
      <c r="HF190" s="15">
        <f t="shared" si="187"/>
        <v>0.16750000000000001</v>
      </c>
      <c r="HG190" s="15">
        <f>HF190*SQRT(AR190)</f>
        <v>0.29011851026778696</v>
      </c>
      <c r="HH190" s="15">
        <v>4.26</v>
      </c>
      <c r="HI190" s="15">
        <f t="shared" si="188"/>
        <v>0.21299999999999999</v>
      </c>
      <c r="HJ190" s="15">
        <f>HI190*SQRT(AR190)</f>
        <v>0.36892682201217081</v>
      </c>
      <c r="HK190" s="15">
        <f t="shared" si="173"/>
        <v>1.2716417910447759</v>
      </c>
      <c r="HL190" s="15">
        <f t="shared" si="174"/>
        <v>0.9099999999999997</v>
      </c>
      <c r="HM190" s="15">
        <f t="shared" si="175"/>
        <v>0.24030881444430396</v>
      </c>
      <c r="HN190" s="15">
        <f>((HJ190*HJ190)/(AR190*HH190*HH190)+(HG190*HG190)/(AR190*HE190*HE190))</f>
        <v>4.9999999999999992E-3</v>
      </c>
      <c r="HP190" s="15" t="s">
        <v>809</v>
      </c>
      <c r="HV190" s="15">
        <f t="shared" si="176"/>
        <v>168.53314387844327</v>
      </c>
      <c r="HW190" s="15">
        <f t="shared" si="177"/>
        <v>0.24030881444430396</v>
      </c>
      <c r="HX190" s="15">
        <f>BB190</f>
        <v>4050</v>
      </c>
      <c r="HY190" s="15">
        <f>AZ190</f>
        <v>6750</v>
      </c>
      <c r="HZ190" s="15">
        <f>BA190</f>
        <v>2.303754266211604</v>
      </c>
      <c r="IA190" s="15">
        <f>BB190</f>
        <v>4050</v>
      </c>
    </row>
    <row r="191" spans="1:235" s="15" customFormat="1" x14ac:dyDescent="0.25">
      <c r="A191" s="31">
        <v>189</v>
      </c>
      <c r="B191" s="1">
        <v>31</v>
      </c>
      <c r="C191" s="1">
        <v>32</v>
      </c>
      <c r="D191" s="15" t="s">
        <v>156</v>
      </c>
      <c r="E191" s="1">
        <v>1</v>
      </c>
      <c r="F191" s="15" t="s">
        <v>761</v>
      </c>
      <c r="G191" s="63" t="s">
        <v>878</v>
      </c>
      <c r="H191" s="15" t="s">
        <v>881</v>
      </c>
      <c r="I191" s="1">
        <v>2001</v>
      </c>
      <c r="J191" s="15" t="s">
        <v>882</v>
      </c>
      <c r="K191" s="1">
        <v>1999</v>
      </c>
      <c r="L191" s="15" t="s">
        <v>883</v>
      </c>
      <c r="M191" s="15" t="s">
        <v>884</v>
      </c>
      <c r="N191" s="15" t="s">
        <v>478</v>
      </c>
      <c r="O191" s="31">
        <v>3</v>
      </c>
      <c r="P191" s="15">
        <v>56.61</v>
      </c>
      <c r="Q191" s="15">
        <v>-114.46</v>
      </c>
      <c r="U191" s="15" t="s">
        <v>807</v>
      </c>
      <c r="V191" s="31">
        <v>2</v>
      </c>
      <c r="W191" s="16"/>
      <c r="X191" s="15" t="s">
        <v>729</v>
      </c>
      <c r="Y191" s="61">
        <v>11</v>
      </c>
      <c r="Z191" s="15">
        <v>4.8</v>
      </c>
      <c r="AA191" s="15" t="s">
        <v>574</v>
      </c>
      <c r="AB191" s="15">
        <f t="shared" si="156"/>
        <v>4.8</v>
      </c>
      <c r="AC191" s="1">
        <v>2</v>
      </c>
      <c r="AD191" s="15">
        <f t="shared" si="184"/>
        <v>48.72</v>
      </c>
      <c r="AJ191" s="15">
        <v>20</v>
      </c>
      <c r="AK191" s="15">
        <v>58</v>
      </c>
      <c r="AL191" s="15">
        <v>22</v>
      </c>
      <c r="AM191" s="1">
        <v>2</v>
      </c>
      <c r="AQ191" s="1"/>
      <c r="AR191" s="1">
        <v>3</v>
      </c>
      <c r="AT191" s="15" t="s">
        <v>886</v>
      </c>
      <c r="AW191" s="15">
        <v>4</v>
      </c>
      <c r="AX191" s="15">
        <f>AW191*2250</f>
        <v>9000</v>
      </c>
      <c r="AY191" s="15" t="s">
        <v>766</v>
      </c>
      <c r="AZ191" s="15">
        <f>AX191</f>
        <v>9000</v>
      </c>
      <c r="BA191" s="15">
        <f>AZ191/2.93/1000</f>
        <v>3.071672354948805</v>
      </c>
      <c r="BB191" s="15">
        <f>AZ191*0.6</f>
        <v>5400</v>
      </c>
      <c r="BP191" s="16"/>
      <c r="BQ191" s="16"/>
      <c r="BR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>
        <f t="shared" si="157"/>
        <v>5.13</v>
      </c>
      <c r="FL191" s="16">
        <f t="shared" si="158"/>
        <v>6.78</v>
      </c>
      <c r="FM191" s="15">
        <v>5.13</v>
      </c>
      <c r="FN191" s="15">
        <f t="shared" si="185"/>
        <v>0.25650000000000001</v>
      </c>
      <c r="FO191" s="15">
        <f>FN191*SQRT(AR191)</f>
        <v>0.444271032141417</v>
      </c>
      <c r="FP191" s="15">
        <v>6.78</v>
      </c>
      <c r="FQ191" s="15">
        <f t="shared" si="186"/>
        <v>0.33900000000000002</v>
      </c>
      <c r="FR191" s="15">
        <f>FQ191*SQRT(AR191)</f>
        <v>0.58716522376584945</v>
      </c>
      <c r="FS191" s="15">
        <f t="shared" si="191"/>
        <v>1.3216374269005848</v>
      </c>
      <c r="FT191" s="15">
        <f t="shared" si="192"/>
        <v>1.6500000000000004</v>
      </c>
      <c r="FU191" s="15">
        <f t="shared" si="136"/>
        <v>0.27887144276962594</v>
      </c>
      <c r="FV191" s="15">
        <f>((FR191*FR191)/(AR191*FP191*FP191)+(FO191*FO191)/(AR191*FM191*FM191))</f>
        <v>5.0000000000000001E-3</v>
      </c>
      <c r="HE191" s="15">
        <v>3.35</v>
      </c>
      <c r="HF191" s="15">
        <f t="shared" si="187"/>
        <v>0.16750000000000001</v>
      </c>
      <c r="HG191" s="15">
        <f>HF191*SQRT(AR191)</f>
        <v>0.29011851026778696</v>
      </c>
      <c r="HH191" s="15">
        <v>4.7300000000000004</v>
      </c>
      <c r="HI191" s="15">
        <f t="shared" si="188"/>
        <v>0.23650000000000004</v>
      </c>
      <c r="HJ191" s="15">
        <f>HI191*SQRT(AR191)</f>
        <v>0.40963001599003951</v>
      </c>
      <c r="HK191" s="15">
        <f t="shared" si="173"/>
        <v>1.4119402985074627</v>
      </c>
      <c r="HL191" s="15">
        <f t="shared" si="174"/>
        <v>1.3800000000000003</v>
      </c>
      <c r="HM191" s="15">
        <f t="shared" si="175"/>
        <v>0.3449648566668666</v>
      </c>
      <c r="HN191" s="15">
        <f>((HJ191*HJ191)/(AR191*HH191*HH191)+(HG191*HG191)/(AR191*HE191*HE191))</f>
        <v>4.9999999999999992E-3</v>
      </c>
      <c r="HP191" s="15" t="s">
        <v>809</v>
      </c>
      <c r="HV191" s="15">
        <f t="shared" si="176"/>
        <v>156.53768480001409</v>
      </c>
      <c r="HW191" s="15">
        <f t="shared" si="177"/>
        <v>0.3449648566668666</v>
      </c>
      <c r="HX191" s="15">
        <f>BB191</f>
        <v>5400</v>
      </c>
      <c r="HY191" s="15">
        <f>AZ191</f>
        <v>9000</v>
      </c>
      <c r="HZ191" s="15">
        <f>BA191</f>
        <v>3.071672354948805</v>
      </c>
      <c r="IA191" s="15">
        <f>BB191</f>
        <v>5400</v>
      </c>
    </row>
    <row r="192" spans="1:235" s="15" customFormat="1" x14ac:dyDescent="0.25">
      <c r="A192" s="31">
        <v>190</v>
      </c>
      <c r="B192" s="1">
        <v>31</v>
      </c>
      <c r="C192" s="1">
        <v>32</v>
      </c>
      <c r="D192" s="15" t="s">
        <v>157</v>
      </c>
      <c r="E192" s="1">
        <v>4</v>
      </c>
      <c r="F192" s="15" t="s">
        <v>879</v>
      </c>
      <c r="G192" s="63" t="s">
        <v>878</v>
      </c>
      <c r="H192" s="15" t="s">
        <v>881</v>
      </c>
      <c r="I192" s="1">
        <v>2001</v>
      </c>
      <c r="J192" s="15" t="s">
        <v>882</v>
      </c>
      <c r="K192" s="1">
        <v>1999</v>
      </c>
      <c r="L192" s="15" t="s">
        <v>883</v>
      </c>
      <c r="M192" s="15" t="s">
        <v>884</v>
      </c>
      <c r="N192" s="15" t="s">
        <v>478</v>
      </c>
      <c r="O192" s="31">
        <v>3</v>
      </c>
      <c r="P192" s="15">
        <v>56.61</v>
      </c>
      <c r="Q192" s="15">
        <v>-114.46</v>
      </c>
      <c r="U192" s="15" t="s">
        <v>807</v>
      </c>
      <c r="V192" s="31">
        <v>2</v>
      </c>
      <c r="W192" s="16"/>
      <c r="X192" s="15" t="s">
        <v>729</v>
      </c>
      <c r="Y192" s="61">
        <v>11</v>
      </c>
      <c r="Z192" s="15">
        <v>4.8</v>
      </c>
      <c r="AA192" s="15" t="s">
        <v>574</v>
      </c>
      <c r="AB192" s="15">
        <f t="shared" si="156"/>
        <v>4.8</v>
      </c>
      <c r="AC192" s="1">
        <v>2</v>
      </c>
      <c r="AD192" s="15">
        <f t="shared" si="184"/>
        <v>48.72</v>
      </c>
      <c r="AJ192" s="15">
        <v>20</v>
      </c>
      <c r="AK192" s="15">
        <v>58</v>
      </c>
      <c r="AL192" s="15">
        <v>22</v>
      </c>
      <c r="AM192" s="1">
        <v>2</v>
      </c>
      <c r="AQ192" s="1"/>
      <c r="AR192" s="1">
        <v>3</v>
      </c>
      <c r="BG192" s="15" t="s">
        <v>888</v>
      </c>
      <c r="BP192" s="16">
        <v>22.8</v>
      </c>
      <c r="BQ192" s="16">
        <v>7</v>
      </c>
      <c r="BR192" s="16">
        <v>22.2</v>
      </c>
      <c r="BS192" s="15">
        <v>10</v>
      </c>
      <c r="BT192" s="15">
        <f>BS192*2250</f>
        <v>22500</v>
      </c>
      <c r="BU192" s="15" t="s">
        <v>766</v>
      </c>
      <c r="BY192" s="15">
        <f>BT192</f>
        <v>22500</v>
      </c>
      <c r="BZ192" s="15">
        <f>BY192/1.1/1000</f>
        <v>20.454545454545453</v>
      </c>
      <c r="CA192" s="15">
        <f>BY192*2</f>
        <v>45000</v>
      </c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>
        <f t="shared" si="157"/>
        <v>5.13</v>
      </c>
      <c r="FL192" s="16">
        <f t="shared" si="158"/>
        <v>5.52</v>
      </c>
      <c r="FM192" s="15">
        <v>5.13</v>
      </c>
      <c r="FN192" s="15">
        <f t="shared" si="185"/>
        <v>0.25650000000000001</v>
      </c>
      <c r="FO192" s="15">
        <f>FN192*SQRT(AR192)</f>
        <v>0.444271032141417</v>
      </c>
      <c r="FP192" s="15">
        <v>5.52</v>
      </c>
      <c r="FQ192" s="15">
        <f t="shared" si="186"/>
        <v>0.27599999999999997</v>
      </c>
      <c r="FR192" s="15">
        <f>FQ192*SQRT(AR192)</f>
        <v>0.47804602288901005</v>
      </c>
      <c r="FS192" s="15">
        <f t="shared" si="191"/>
        <v>1.0760233918128654</v>
      </c>
      <c r="FT192" s="15">
        <f t="shared" si="192"/>
        <v>0.38999999999999968</v>
      </c>
      <c r="FU192" s="15">
        <f t="shared" si="136"/>
        <v>7.3272201106325596E-2</v>
      </c>
      <c r="FV192" s="15">
        <f>((FR192*FR192)/(AR192*FP192*FP192)+(FO192*FO192)/(AR192*FM192*FM192))</f>
        <v>4.9999999999999992E-3</v>
      </c>
      <c r="HE192" s="15">
        <v>3.35</v>
      </c>
      <c r="HF192" s="15">
        <f t="shared" si="187"/>
        <v>0.16750000000000001</v>
      </c>
      <c r="HG192" s="15">
        <f>HF192*SQRT(AR192)</f>
        <v>0.29011851026778696</v>
      </c>
      <c r="HH192" s="15">
        <v>4.6100000000000003</v>
      </c>
      <c r="HI192" s="15">
        <f t="shared" si="188"/>
        <v>0.23050000000000004</v>
      </c>
      <c r="HJ192" s="15">
        <f>HI192*SQRT(AR192)</f>
        <v>0.39923771114462625</v>
      </c>
      <c r="HK192" s="15">
        <f t="shared" si="173"/>
        <v>1.3761194029850747</v>
      </c>
      <c r="HL192" s="15">
        <f t="shared" si="174"/>
        <v>1.2600000000000002</v>
      </c>
      <c r="HM192" s="15">
        <f t="shared" si="175"/>
        <v>0.31926751117158214</v>
      </c>
      <c r="HN192" s="15">
        <f>((HJ192*HJ192)/(AR192*HH192*HH192)+(HG192*HG192)/(AR192*HE192*HE192))</f>
        <v>4.9999999999999992E-3</v>
      </c>
      <c r="HP192" s="15" t="s">
        <v>809</v>
      </c>
      <c r="HV192" s="15">
        <f t="shared" si="176"/>
        <v>1409.4763302056092</v>
      </c>
      <c r="HW192" s="15">
        <f t="shared" si="177"/>
        <v>0.31926751117158214</v>
      </c>
      <c r="HX192" s="15">
        <f>CA192</f>
        <v>45000</v>
      </c>
      <c r="HY192" s="15">
        <f>BY192</f>
        <v>22500</v>
      </c>
      <c r="HZ192" s="15">
        <f>BZ192</f>
        <v>20.454545454545453</v>
      </c>
      <c r="IA192" s="15">
        <f>CA192</f>
        <v>45000</v>
      </c>
    </row>
    <row r="193" spans="1:235" s="15" customFormat="1" x14ac:dyDescent="0.25">
      <c r="A193" s="31">
        <v>191</v>
      </c>
      <c r="B193" s="1">
        <v>31</v>
      </c>
      <c r="C193" s="1">
        <v>32</v>
      </c>
      <c r="D193" s="15" t="s">
        <v>158</v>
      </c>
      <c r="E193" s="1">
        <v>4</v>
      </c>
      <c r="F193" s="15" t="s">
        <v>879</v>
      </c>
      <c r="G193" s="63" t="s">
        <v>878</v>
      </c>
      <c r="H193" s="15" t="s">
        <v>881</v>
      </c>
      <c r="I193" s="1">
        <v>2001</v>
      </c>
      <c r="J193" s="15" t="s">
        <v>882</v>
      </c>
      <c r="K193" s="1">
        <v>1999</v>
      </c>
      <c r="L193" s="15" t="s">
        <v>883</v>
      </c>
      <c r="M193" s="15" t="s">
        <v>884</v>
      </c>
      <c r="N193" s="15" t="s">
        <v>478</v>
      </c>
      <c r="O193" s="31">
        <v>3</v>
      </c>
      <c r="P193" s="15">
        <v>56.61</v>
      </c>
      <c r="Q193" s="15">
        <v>-114.46</v>
      </c>
      <c r="U193" s="15" t="s">
        <v>807</v>
      </c>
      <c r="V193" s="31">
        <v>2</v>
      </c>
      <c r="W193" s="16"/>
      <c r="X193" s="15" t="s">
        <v>729</v>
      </c>
      <c r="Y193" s="61">
        <v>11</v>
      </c>
      <c r="Z193" s="15">
        <v>4.8</v>
      </c>
      <c r="AA193" s="15" t="s">
        <v>574</v>
      </c>
      <c r="AB193" s="15">
        <f t="shared" si="156"/>
        <v>4.8</v>
      </c>
      <c r="AC193" s="1">
        <v>2</v>
      </c>
      <c r="AD193" s="15">
        <f t="shared" si="184"/>
        <v>48.72</v>
      </c>
      <c r="AJ193" s="15">
        <v>20</v>
      </c>
      <c r="AK193" s="15">
        <v>58</v>
      </c>
      <c r="AL193" s="15">
        <v>22</v>
      </c>
      <c r="AM193" s="1">
        <v>2</v>
      </c>
      <c r="AQ193" s="1"/>
      <c r="AR193" s="1">
        <v>3</v>
      </c>
      <c r="BG193" s="15" t="s">
        <v>888</v>
      </c>
      <c r="BP193" s="16">
        <v>22.8</v>
      </c>
      <c r="BQ193" s="16">
        <v>7</v>
      </c>
      <c r="BR193" s="16">
        <v>22.2</v>
      </c>
      <c r="BS193" s="15">
        <v>20</v>
      </c>
      <c r="BT193" s="15">
        <f>BS193*2250</f>
        <v>45000</v>
      </c>
      <c r="BU193" s="15" t="s">
        <v>766</v>
      </c>
      <c r="BY193" s="15">
        <f>BT193</f>
        <v>45000</v>
      </c>
      <c r="BZ193" s="15">
        <f>BY193/1.1/1000</f>
        <v>40.909090909090907</v>
      </c>
      <c r="CA193" s="15">
        <f>BY193*2</f>
        <v>90000</v>
      </c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>
        <f t="shared" si="157"/>
        <v>5.13</v>
      </c>
      <c r="FL193" s="16">
        <f t="shared" si="158"/>
        <v>5.68</v>
      </c>
      <c r="FM193" s="15">
        <v>5.13</v>
      </c>
      <c r="FN193" s="15">
        <f t="shared" si="185"/>
        <v>0.25650000000000001</v>
      </c>
      <c r="FO193" s="15">
        <f>FN193*SQRT(AR193)</f>
        <v>0.444271032141417</v>
      </c>
      <c r="FP193" s="15">
        <v>5.68</v>
      </c>
      <c r="FQ193" s="15">
        <f t="shared" si="186"/>
        <v>0.28399999999999997</v>
      </c>
      <c r="FR193" s="15">
        <f>FQ193*SQRT(AR193)</f>
        <v>0.49190242934956108</v>
      </c>
      <c r="FS193" s="15">
        <f t="shared" si="191"/>
        <v>1.1072124756335282</v>
      </c>
      <c r="FT193" s="15">
        <f t="shared" si="192"/>
        <v>0.54999999999999982</v>
      </c>
      <c r="FU193" s="15">
        <f t="shared" si="136"/>
        <v>0.1018455735503816</v>
      </c>
      <c r="FV193" s="15">
        <f>((FR193*FR193)/(AR193*FP193*FP193)+(FO193*FO193)/(AR193*FM193*FM193))</f>
        <v>4.9999999999999992E-3</v>
      </c>
      <c r="HE193" s="15">
        <v>3.35</v>
      </c>
      <c r="HF193" s="15">
        <f t="shared" si="187"/>
        <v>0.16750000000000001</v>
      </c>
      <c r="HG193" s="15">
        <f>HF193*SQRT(AR193)</f>
        <v>0.29011851026778696</v>
      </c>
      <c r="HH193" s="15">
        <v>4.3899999999999997</v>
      </c>
      <c r="HI193" s="15">
        <f t="shared" si="188"/>
        <v>0.2195</v>
      </c>
      <c r="HJ193" s="15">
        <f>HI193*SQRT(AR193)</f>
        <v>0.38018515226136856</v>
      </c>
      <c r="HK193" s="15">
        <f t="shared" si="173"/>
        <v>1.3104477611940297</v>
      </c>
      <c r="HL193" s="15">
        <f t="shared" si="174"/>
        <v>1.0399999999999996</v>
      </c>
      <c r="HM193" s="15">
        <f t="shared" si="175"/>
        <v>0.27036888125010483</v>
      </c>
      <c r="HN193" s="15">
        <f>((HJ193*HJ193)/(AR193*HH193*HH193)+(HG193*HG193)/(AR193*HE193*HE193))</f>
        <v>5.0000000000000001E-3</v>
      </c>
      <c r="HP193" s="15" t="s">
        <v>809</v>
      </c>
      <c r="HV193" s="15">
        <f t="shared" si="176"/>
        <v>3328.7854572562833</v>
      </c>
      <c r="HW193" s="15">
        <f t="shared" si="177"/>
        <v>0.27036888125010483</v>
      </c>
      <c r="HX193" s="15">
        <f>CA193</f>
        <v>90000</v>
      </c>
      <c r="HY193" s="15">
        <f>BY193</f>
        <v>45000</v>
      </c>
      <c r="HZ193" s="15">
        <f>BZ193</f>
        <v>40.909090909090907</v>
      </c>
      <c r="IA193" s="15">
        <f>CA193</f>
        <v>90000</v>
      </c>
    </row>
    <row r="194" spans="1:235" x14ac:dyDescent="0.25">
      <c r="A194" s="31">
        <v>192</v>
      </c>
      <c r="B194" s="1">
        <v>31</v>
      </c>
      <c r="C194" s="1">
        <v>32</v>
      </c>
      <c r="D194" s="15" t="s">
        <v>159</v>
      </c>
      <c r="E194" s="1">
        <v>4</v>
      </c>
      <c r="F194" s="15" t="s">
        <v>879</v>
      </c>
      <c r="G194" s="63" t="s">
        <v>878</v>
      </c>
      <c r="H194" s="15" t="s">
        <v>881</v>
      </c>
      <c r="I194" s="1">
        <v>2001</v>
      </c>
      <c r="J194" s="15" t="s">
        <v>882</v>
      </c>
      <c r="K194" s="1">
        <v>1999</v>
      </c>
      <c r="L194" s="15" t="s">
        <v>883</v>
      </c>
      <c r="M194" s="15" t="s">
        <v>884</v>
      </c>
      <c r="N194" s="15" t="s">
        <v>478</v>
      </c>
      <c r="O194" s="31">
        <v>3</v>
      </c>
      <c r="P194" s="15">
        <v>56.61</v>
      </c>
      <c r="Q194" s="15">
        <v>-114.46</v>
      </c>
      <c r="U194" s="15" t="s">
        <v>807</v>
      </c>
      <c r="V194" s="31">
        <v>2</v>
      </c>
      <c r="X194" s="15" t="s">
        <v>729</v>
      </c>
      <c r="Y194" s="61">
        <v>11</v>
      </c>
      <c r="Z194" s="15">
        <v>4.8</v>
      </c>
      <c r="AA194" s="15" t="s">
        <v>574</v>
      </c>
      <c r="AB194" s="15">
        <f t="shared" si="156"/>
        <v>4.8</v>
      </c>
      <c r="AC194" s="1">
        <v>2</v>
      </c>
      <c r="AD194" s="15">
        <f t="shared" si="184"/>
        <v>48.72</v>
      </c>
      <c r="AJ194" s="15">
        <v>20</v>
      </c>
      <c r="AK194" s="15">
        <v>58</v>
      </c>
      <c r="AL194" s="15">
        <v>22</v>
      </c>
      <c r="AM194" s="1">
        <v>2</v>
      </c>
      <c r="AR194" s="1">
        <v>3</v>
      </c>
      <c r="BG194" s="15" t="s">
        <v>888</v>
      </c>
      <c r="BH194" s="15"/>
      <c r="BI194" s="15"/>
      <c r="BJ194" s="15"/>
      <c r="BK194" s="15"/>
      <c r="BL194" s="15"/>
      <c r="BM194" s="15"/>
      <c r="BN194" s="15"/>
      <c r="BO194" s="15"/>
      <c r="BP194" s="16">
        <v>22.8</v>
      </c>
      <c r="BQ194" s="16">
        <v>7</v>
      </c>
      <c r="BR194" s="16">
        <v>22.2</v>
      </c>
      <c r="BS194" s="15">
        <v>30</v>
      </c>
      <c r="BT194" s="15">
        <f>BS194*2250</f>
        <v>67500</v>
      </c>
      <c r="BU194" s="15" t="s">
        <v>766</v>
      </c>
      <c r="BY194" s="15">
        <f>BT194</f>
        <v>67500</v>
      </c>
      <c r="BZ194" s="15">
        <f>BY194/1.1/1000</f>
        <v>61.36363636363636</v>
      </c>
      <c r="CA194" s="15">
        <f>BY194*2</f>
        <v>135000</v>
      </c>
      <c r="EW194" s="18"/>
      <c r="EX194" s="18"/>
      <c r="EY194" s="18"/>
      <c r="FK194" s="16">
        <f t="shared" si="157"/>
        <v>5.13</v>
      </c>
      <c r="FL194" s="16">
        <f t="shared" si="158"/>
        <v>5.75</v>
      </c>
      <c r="FM194" s="15">
        <v>5.13</v>
      </c>
      <c r="FN194" s="15">
        <f t="shared" si="185"/>
        <v>0.25650000000000001</v>
      </c>
      <c r="FO194" s="15">
        <f>FN194*SQRT(AR194)</f>
        <v>0.444271032141417</v>
      </c>
      <c r="FP194" s="15">
        <v>5.75</v>
      </c>
      <c r="FQ194" s="15">
        <f t="shared" si="186"/>
        <v>0.28750000000000003</v>
      </c>
      <c r="FR194" s="15">
        <f>FQ194*SQRT(AR194)</f>
        <v>0.49796460717605223</v>
      </c>
      <c r="FS194" s="15">
        <f t="shared" si="191"/>
        <v>1.1208576998050683</v>
      </c>
      <c r="FT194" s="15">
        <f t="shared" si="192"/>
        <v>0.62000000000000011</v>
      </c>
      <c r="FU194" s="15">
        <f t="shared" si="136"/>
        <v>0.11409419562658085</v>
      </c>
      <c r="FV194" s="15">
        <f>((FR194*FR194)/(AR194*FP194*FP194)+(FO194*FO194)/(AR194*FM194*FM194))</f>
        <v>5.0000000000000001E-3</v>
      </c>
      <c r="FZ194" s="15"/>
      <c r="GC194" s="15"/>
      <c r="GF194" s="15"/>
      <c r="GG194" s="15"/>
      <c r="HE194" s="15">
        <v>3.35</v>
      </c>
      <c r="HF194" s="15">
        <f t="shared" si="187"/>
        <v>0.16750000000000001</v>
      </c>
      <c r="HG194" s="15">
        <f>HF194*SQRT(AR194)</f>
        <v>0.29011851026778696</v>
      </c>
      <c r="HH194" s="15">
        <v>4.78</v>
      </c>
      <c r="HI194" s="15">
        <f t="shared" si="188"/>
        <v>0.23900000000000002</v>
      </c>
      <c r="HJ194" s="15">
        <f>HI194*SQRT(AR194)</f>
        <v>0.41396014300896167</v>
      </c>
      <c r="HK194" s="15">
        <f t="shared" si="173"/>
        <v>1.4268656716417911</v>
      </c>
      <c r="HL194" s="15">
        <f t="shared" si="174"/>
        <v>1.4300000000000002</v>
      </c>
      <c r="HM194" s="15">
        <f t="shared" si="175"/>
        <v>0.35548020066638952</v>
      </c>
      <c r="HN194" s="15">
        <f>((HJ194*HJ194)/(AR194*HH194*HH194)+(HG194*HG194)/(AR194*HE194*HE194))</f>
        <v>4.9999999999999992E-3</v>
      </c>
      <c r="HP194" s="15" t="s">
        <v>809</v>
      </c>
      <c r="HV194" s="15">
        <f t="shared" si="176"/>
        <v>3797.6798636584149</v>
      </c>
      <c r="HW194" s="15">
        <f t="shared" si="177"/>
        <v>0.35548020066638952</v>
      </c>
      <c r="HX194" s="15">
        <f>CA194</f>
        <v>135000</v>
      </c>
      <c r="HY194" s="15">
        <f>BY194</f>
        <v>67500</v>
      </c>
      <c r="HZ194" s="15">
        <f>BZ194</f>
        <v>61.36363636363636</v>
      </c>
      <c r="IA194" s="15">
        <f>CA194</f>
        <v>135000</v>
      </c>
    </row>
    <row r="195" spans="1:235" x14ac:dyDescent="0.25">
      <c r="A195" s="31">
        <v>193</v>
      </c>
      <c r="B195" s="1">
        <v>31</v>
      </c>
      <c r="C195" s="1">
        <v>32</v>
      </c>
      <c r="D195" s="15" t="s">
        <v>160</v>
      </c>
      <c r="E195" s="1">
        <v>4</v>
      </c>
      <c r="F195" s="15" t="s">
        <v>879</v>
      </c>
      <c r="G195" s="63" t="s">
        <v>878</v>
      </c>
      <c r="H195" s="15" t="s">
        <v>881</v>
      </c>
      <c r="I195" s="1">
        <v>2001</v>
      </c>
      <c r="J195" s="15" t="s">
        <v>882</v>
      </c>
      <c r="K195" s="1">
        <v>1999</v>
      </c>
      <c r="L195" s="15" t="s">
        <v>883</v>
      </c>
      <c r="M195" s="15" t="s">
        <v>884</v>
      </c>
      <c r="N195" s="15" t="s">
        <v>478</v>
      </c>
      <c r="O195" s="31">
        <v>3</v>
      </c>
      <c r="P195" s="15">
        <v>56.61</v>
      </c>
      <c r="Q195" s="15">
        <v>-114.46</v>
      </c>
      <c r="U195" s="15" t="s">
        <v>807</v>
      </c>
      <c r="V195" s="31">
        <v>2</v>
      </c>
      <c r="X195" s="15" t="s">
        <v>729</v>
      </c>
      <c r="Y195" s="61">
        <v>11</v>
      </c>
      <c r="Z195" s="15">
        <v>4.8</v>
      </c>
      <c r="AA195" s="15" t="s">
        <v>574</v>
      </c>
      <c r="AB195" s="15">
        <f t="shared" si="156"/>
        <v>4.8</v>
      </c>
      <c r="AC195" s="1">
        <v>2</v>
      </c>
      <c r="AD195" s="15">
        <f t="shared" si="184"/>
        <v>48.72</v>
      </c>
      <c r="AJ195" s="15">
        <v>20</v>
      </c>
      <c r="AK195" s="15">
        <v>58</v>
      </c>
      <c r="AL195" s="15">
        <v>22</v>
      </c>
      <c r="AM195" s="1">
        <v>2</v>
      </c>
      <c r="AR195" s="1">
        <v>3</v>
      </c>
      <c r="BG195" s="15" t="s">
        <v>888</v>
      </c>
      <c r="BH195" s="15"/>
      <c r="BI195" s="15"/>
      <c r="BJ195" s="15"/>
      <c r="BK195" s="15"/>
      <c r="BL195" s="15"/>
      <c r="BM195" s="15"/>
      <c r="BN195" s="15"/>
      <c r="BO195" s="15"/>
      <c r="BP195" s="16">
        <v>22.8</v>
      </c>
      <c r="BQ195" s="16">
        <v>7</v>
      </c>
      <c r="BR195" s="16">
        <v>22.2</v>
      </c>
      <c r="BS195" s="15">
        <v>40</v>
      </c>
      <c r="BT195" s="15">
        <f>BS195*2250</f>
        <v>90000</v>
      </c>
      <c r="BU195" s="15" t="s">
        <v>766</v>
      </c>
      <c r="BY195" s="15">
        <f>BT195</f>
        <v>90000</v>
      </c>
      <c r="BZ195" s="15">
        <f>BY195/1.1/1000</f>
        <v>81.818181818181813</v>
      </c>
      <c r="CA195" s="15">
        <f>BY195*2</f>
        <v>180000</v>
      </c>
      <c r="EW195" s="18"/>
      <c r="EX195" s="18"/>
      <c r="EY195" s="18"/>
      <c r="FK195" s="16">
        <f t="shared" si="157"/>
        <v>5.13</v>
      </c>
      <c r="FL195" s="16">
        <f t="shared" si="158"/>
        <v>6.14</v>
      </c>
      <c r="FM195" s="15">
        <v>5.13</v>
      </c>
      <c r="FN195" s="15">
        <f t="shared" si="185"/>
        <v>0.25650000000000001</v>
      </c>
      <c r="FO195" s="15">
        <f>FN195*SQRT(AR195)</f>
        <v>0.444271032141417</v>
      </c>
      <c r="FP195" s="15">
        <v>6.14</v>
      </c>
      <c r="FQ195" s="15">
        <f t="shared" si="186"/>
        <v>0.307</v>
      </c>
      <c r="FR195" s="15">
        <f>FQ195*SQRT(AR195)</f>
        <v>0.53173959792364534</v>
      </c>
      <c r="FS195" s="15">
        <f t="shared" si="191"/>
        <v>1.1968810916179338</v>
      </c>
      <c r="FT195" s="15">
        <f t="shared" si="192"/>
        <v>1.0099999999999998</v>
      </c>
      <c r="FU195" s="15">
        <f t="shared" ref="FU195:FU258" si="193">LN(FP195)-LN(FM195)</f>
        <v>0.17971908297637285</v>
      </c>
      <c r="FV195" s="15">
        <f>((FR195*FR195)/(AR195*FP195*FP195)+(FO195*FO195)/(AR195*FM195*FM195))</f>
        <v>5.000000000000001E-3</v>
      </c>
      <c r="FZ195" s="15"/>
      <c r="GC195" s="15"/>
      <c r="GF195" s="15"/>
      <c r="GG195" s="15"/>
      <c r="HE195" s="15">
        <v>3.35</v>
      </c>
      <c r="HF195" s="15">
        <f t="shared" si="187"/>
        <v>0.16750000000000001</v>
      </c>
      <c r="HG195" s="15">
        <f>HF195*SQRT(AR195)</f>
        <v>0.29011851026778696</v>
      </c>
      <c r="HH195" s="15">
        <v>5.22</v>
      </c>
      <c r="HI195" s="15">
        <f t="shared" si="188"/>
        <v>0.26100000000000001</v>
      </c>
      <c r="HJ195" s="15">
        <f>HI195*SQRT(AR195)</f>
        <v>0.45206526077547698</v>
      </c>
      <c r="HK195" s="15">
        <f t="shared" si="173"/>
        <v>1.5582089552238805</v>
      </c>
      <c r="HL195" s="15">
        <f t="shared" si="174"/>
        <v>1.8699999999999997</v>
      </c>
      <c r="HM195" s="15">
        <f t="shared" si="175"/>
        <v>0.44353705605757221</v>
      </c>
      <c r="HN195" s="15">
        <f>((HJ195*HJ195)/(AR195*HH195*HH195)+(HG195*HG195)/(AR195*HE195*HE195))</f>
        <v>5.0000000000000001E-3</v>
      </c>
      <c r="HP195" s="15" t="s">
        <v>809</v>
      </c>
      <c r="HV195" s="15">
        <f t="shared" si="176"/>
        <v>4058.285492534711</v>
      </c>
      <c r="HW195" s="15">
        <f t="shared" si="177"/>
        <v>0.44353705605757221</v>
      </c>
      <c r="HX195" s="15">
        <f>CA195</f>
        <v>180000</v>
      </c>
      <c r="HY195" s="15">
        <f>BY195</f>
        <v>90000</v>
      </c>
      <c r="HZ195" s="15">
        <f>BZ195</f>
        <v>81.818181818181813</v>
      </c>
      <c r="IA195" s="15">
        <f>CA195</f>
        <v>180000</v>
      </c>
    </row>
    <row r="196" spans="1:235" s="15" customFormat="1" x14ac:dyDescent="0.25">
      <c r="A196" s="31">
        <v>194</v>
      </c>
      <c r="B196" s="1">
        <v>32</v>
      </c>
      <c r="C196" s="1">
        <v>33</v>
      </c>
      <c r="D196" s="15" t="s">
        <v>161</v>
      </c>
      <c r="E196" s="1">
        <v>5</v>
      </c>
      <c r="F196" s="15" t="s">
        <v>798</v>
      </c>
      <c r="G196" s="63" t="s">
        <v>893</v>
      </c>
      <c r="H196" s="15" t="s">
        <v>894</v>
      </c>
      <c r="I196" s="1">
        <v>2021</v>
      </c>
      <c r="J196" s="15" t="s">
        <v>895</v>
      </c>
      <c r="K196" s="1"/>
      <c r="L196" s="15" t="s">
        <v>865</v>
      </c>
      <c r="M196" s="15" t="s">
        <v>73</v>
      </c>
      <c r="N196" s="15" t="s">
        <v>23</v>
      </c>
      <c r="O196" s="31">
        <v>2</v>
      </c>
      <c r="P196" s="15">
        <v>31.1</v>
      </c>
      <c r="Q196" s="15">
        <v>119.13</v>
      </c>
      <c r="U196" s="15" t="s">
        <v>807</v>
      </c>
      <c r="V196" s="31">
        <v>2</v>
      </c>
      <c r="W196" s="16"/>
      <c r="Y196" s="1"/>
      <c r="Z196" s="15">
        <v>4.32</v>
      </c>
      <c r="AA196" s="15" t="s">
        <v>574</v>
      </c>
      <c r="AB196" s="15">
        <f t="shared" si="156"/>
        <v>4.32</v>
      </c>
      <c r="AC196" s="1">
        <v>1</v>
      </c>
      <c r="AD196" s="15">
        <v>20.059999999999999</v>
      </c>
      <c r="AG196" s="15">
        <v>13.1</v>
      </c>
      <c r="AJ196" s="15">
        <v>30.9</v>
      </c>
      <c r="AK196" s="15">
        <v>20</v>
      </c>
      <c r="AL196" s="15">
        <v>49.1</v>
      </c>
      <c r="AM196" s="1">
        <v>3</v>
      </c>
      <c r="AQ196" s="1"/>
      <c r="AR196" s="1">
        <v>3</v>
      </c>
      <c r="BP196" s="16"/>
      <c r="BQ196" s="16"/>
      <c r="BR196" s="16"/>
      <c r="BU196" s="16"/>
      <c r="DB196" s="15" t="s">
        <v>896</v>
      </c>
      <c r="DE196" s="15">
        <f t="shared" ref="DE196:DE203" si="194">10*2250</f>
        <v>22500</v>
      </c>
      <c r="DF196" s="15" t="s">
        <v>766</v>
      </c>
      <c r="DI196" s="15">
        <v>9.93</v>
      </c>
      <c r="DJ196" s="15">
        <v>294</v>
      </c>
      <c r="DK196" s="15">
        <v>15.4</v>
      </c>
      <c r="DR196" s="15">
        <v>244.65</v>
      </c>
      <c r="DS196" s="15">
        <f>DE196</f>
        <v>22500</v>
      </c>
      <c r="DT196" s="15">
        <f t="shared" ref="DT196:DT203" si="195">DS196/0.6/1000</f>
        <v>37.5</v>
      </c>
      <c r="DU196" s="15">
        <f t="shared" ref="DU196:DU203" si="196">DS196*0.2</f>
        <v>4500</v>
      </c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>
        <f t="shared" si="157"/>
        <v>4.45</v>
      </c>
      <c r="FL196" s="16">
        <f t="shared" si="158"/>
        <v>5.29</v>
      </c>
      <c r="FM196" s="15">
        <v>4.45</v>
      </c>
      <c r="FN196" s="15">
        <v>0.02</v>
      </c>
      <c r="FO196" s="15">
        <f>FN196*SQRT(AR196)</f>
        <v>3.4641016151377546E-2</v>
      </c>
      <c r="FP196" s="15">
        <v>5.29</v>
      </c>
      <c r="FQ196" s="15">
        <v>0.01</v>
      </c>
      <c r="FR196" s="15">
        <f>FQ196*SQRT(AR196)</f>
        <v>1.7320508075688773E-2</v>
      </c>
      <c r="FS196" s="15">
        <f t="shared" si="191"/>
        <v>1.1887640449438202</v>
      </c>
      <c r="FT196" s="15">
        <f t="shared" si="192"/>
        <v>0.83999999999999986</v>
      </c>
      <c r="FU196" s="15">
        <f t="shared" si="193"/>
        <v>0.1729141496920592</v>
      </c>
      <c r="FV196" s="15">
        <f>((FR196*FR196)/(AR196*FP196*FP196)+(FO196*FO196)/(AR196*FM196*FM196))</f>
        <v>2.3772927548875156E-5</v>
      </c>
      <c r="FX196" s="15">
        <v>18.22</v>
      </c>
      <c r="FY196" s="15">
        <v>0.16</v>
      </c>
      <c r="FZ196" s="15">
        <f>FY196*SQRT(AR196)</f>
        <v>0.27712812921102037</v>
      </c>
      <c r="GA196" s="15">
        <v>29.02</v>
      </c>
      <c r="GB196" s="15">
        <v>0.1</v>
      </c>
      <c r="GC196" s="15">
        <f>GB196*SQRT(AR196)</f>
        <v>0.17320508075688773</v>
      </c>
      <c r="GD196" s="15">
        <f t="shared" ref="GD196:GD203" si="197">GA196/FX196</f>
        <v>1.5927552140504941</v>
      </c>
      <c r="GE196" s="15">
        <f t="shared" ref="GE196:GE203" si="198">GA196-FX196</f>
        <v>10.8</v>
      </c>
      <c r="GF196" s="15">
        <f t="shared" ref="GF196:GF203" si="199">LN(GA196)-LN(FX196)</f>
        <v>0.46546535562422964</v>
      </c>
      <c r="GG196" s="15">
        <f>((GC196*GC196)/(AR196*GA196*GA196)+(FZ196*FZ196)/(AR196*FX196*FX196))</f>
        <v>8.8989996205303523E-5</v>
      </c>
      <c r="GI196" s="15">
        <v>12.97</v>
      </c>
      <c r="GJ196" s="15">
        <v>7.0000000000000007E-2</v>
      </c>
      <c r="GK196" s="15">
        <f>GJ196*SQRT(AR151)</f>
        <v>0.12124355652982141</v>
      </c>
      <c r="GL196" s="15">
        <v>13.3</v>
      </c>
      <c r="GM196" s="15">
        <v>0.25</v>
      </c>
      <c r="GN196" s="15">
        <f>GM196*SQRT(AR151)</f>
        <v>0.4330127018922193</v>
      </c>
      <c r="GO196" s="15">
        <f t="shared" ref="GO196:GO203" si="200">GL196/GI196</f>
        <v>1.0254433307633</v>
      </c>
      <c r="GP196" s="15">
        <f t="shared" ref="GP196:GP203" si="201">GL196-GI196</f>
        <v>0.33000000000000007</v>
      </c>
      <c r="GQ196" s="15">
        <f t="shared" ref="GQ196:GQ203" si="202">LN(GL196)-LN(GI196)</f>
        <v>2.5125036899355635E-2</v>
      </c>
      <c r="GR196" s="15">
        <f>((GN196*GN196)/(AR151*GL196*GL196)+(GK196*GK196)/(AR151*GI196*GI196))</f>
        <v>3.8245529267100426E-4</v>
      </c>
      <c r="HE196" s="15">
        <v>6.43</v>
      </c>
      <c r="HF196" s="15">
        <v>0.05</v>
      </c>
      <c r="HG196" s="15">
        <f>HF196*SQRT(AR196)</f>
        <v>8.6602540378443865E-2</v>
      </c>
      <c r="HH196" s="15">
        <v>6.75</v>
      </c>
      <c r="HI196" s="15">
        <v>0.06</v>
      </c>
      <c r="HJ196" s="15">
        <f>HI196*SQRT(AR196)</f>
        <v>0.10392304845413262</v>
      </c>
      <c r="HK196" s="15">
        <f t="shared" si="173"/>
        <v>1.0497667185069985</v>
      </c>
      <c r="HL196" s="15">
        <f t="shared" si="174"/>
        <v>0.32000000000000028</v>
      </c>
      <c r="HM196" s="15">
        <f t="shared" si="175"/>
        <v>4.8567966634910587E-2</v>
      </c>
      <c r="HN196" s="15">
        <f>((HJ196*HJ196)/(AR196*HH196*HH196)+(HG196*HG196)/(AR196*HE196*HE196))</f>
        <v>1.3947929565349525E-4</v>
      </c>
      <c r="HP196" s="15" t="s">
        <v>809</v>
      </c>
      <c r="HV196" s="15">
        <f t="shared" si="176"/>
        <v>926.53662728499035</v>
      </c>
      <c r="HW196" s="15">
        <f t="shared" si="177"/>
        <v>4.8567966634910587E-2</v>
      </c>
      <c r="HX196" s="15">
        <f t="shared" ref="HX196:HX203" si="203">DU196</f>
        <v>4500</v>
      </c>
      <c r="HY196" s="15">
        <f t="shared" ref="HY196:IA203" si="204">DS196</f>
        <v>22500</v>
      </c>
      <c r="HZ196" s="15">
        <f t="shared" si="204"/>
        <v>37.5</v>
      </c>
      <c r="IA196" s="15">
        <f t="shared" si="204"/>
        <v>4500</v>
      </c>
    </row>
    <row r="197" spans="1:235" s="15" customFormat="1" x14ac:dyDescent="0.25">
      <c r="A197" s="31">
        <v>195</v>
      </c>
      <c r="B197" s="1">
        <v>32</v>
      </c>
      <c r="C197" s="1">
        <v>33</v>
      </c>
      <c r="D197" s="15" t="s">
        <v>162</v>
      </c>
      <c r="E197" s="1">
        <v>5</v>
      </c>
      <c r="F197" s="15" t="s">
        <v>798</v>
      </c>
      <c r="G197" s="63" t="s">
        <v>893</v>
      </c>
      <c r="H197" s="15" t="s">
        <v>894</v>
      </c>
      <c r="I197" s="1">
        <v>2021</v>
      </c>
      <c r="J197" s="15" t="s">
        <v>895</v>
      </c>
      <c r="K197" s="1"/>
      <c r="L197" s="15" t="s">
        <v>865</v>
      </c>
      <c r="M197" s="15" t="s">
        <v>73</v>
      </c>
      <c r="N197" s="15" t="s">
        <v>23</v>
      </c>
      <c r="O197" s="31">
        <v>2</v>
      </c>
      <c r="P197" s="15">
        <v>31.1</v>
      </c>
      <c r="Q197" s="15">
        <v>119.13</v>
      </c>
      <c r="U197" s="15" t="s">
        <v>807</v>
      </c>
      <c r="V197" s="31">
        <v>2</v>
      </c>
      <c r="W197" s="16"/>
      <c r="Y197" s="1"/>
      <c r="Z197" s="15">
        <v>4.32</v>
      </c>
      <c r="AA197" s="15" t="s">
        <v>574</v>
      </c>
      <c r="AB197" s="15">
        <f t="shared" si="156"/>
        <v>4.32</v>
      </c>
      <c r="AC197" s="1">
        <v>1</v>
      </c>
      <c r="AD197" s="15">
        <v>20.059999999999999</v>
      </c>
      <c r="AG197" s="15">
        <v>13.1</v>
      </c>
      <c r="AJ197" s="15">
        <v>30.9</v>
      </c>
      <c r="AK197" s="15">
        <v>20</v>
      </c>
      <c r="AL197" s="15">
        <v>49.1</v>
      </c>
      <c r="AM197" s="1">
        <v>3</v>
      </c>
      <c r="AQ197" s="1"/>
      <c r="AR197" s="1">
        <v>3</v>
      </c>
      <c r="BP197" s="16"/>
      <c r="BQ197" s="16"/>
      <c r="BR197" s="16"/>
      <c r="BU197" s="16"/>
      <c r="DB197" s="15" t="s">
        <v>897</v>
      </c>
      <c r="DE197" s="15">
        <f t="shared" si="194"/>
        <v>22500</v>
      </c>
      <c r="DF197" s="15" t="s">
        <v>766</v>
      </c>
      <c r="DI197" s="15">
        <v>9.0500000000000007</v>
      </c>
      <c r="DJ197" s="15">
        <v>410</v>
      </c>
      <c r="DK197" s="15">
        <v>28.7</v>
      </c>
      <c r="DR197" s="15">
        <v>468.58</v>
      </c>
      <c r="DS197" s="15">
        <f>DE197</f>
        <v>22500</v>
      </c>
      <c r="DT197" s="15">
        <f t="shared" si="195"/>
        <v>37.5</v>
      </c>
      <c r="DU197" s="15">
        <f t="shared" si="196"/>
        <v>4500</v>
      </c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>
        <f t="shared" si="157"/>
        <v>4.45</v>
      </c>
      <c r="FL197" s="16">
        <f t="shared" si="158"/>
        <v>5.69</v>
      </c>
      <c r="FM197" s="15">
        <v>4.45</v>
      </c>
      <c r="FN197" s="15">
        <v>0.02</v>
      </c>
      <c r="FO197" s="15">
        <f>FN197*SQRT(AR197)</f>
        <v>3.4641016151377546E-2</v>
      </c>
      <c r="FP197" s="15">
        <v>5.69</v>
      </c>
      <c r="FQ197" s="15">
        <v>0.02</v>
      </c>
      <c r="FR197" s="15">
        <f>FQ197*SQRT(AR197)</f>
        <v>3.4641016151377546E-2</v>
      </c>
      <c r="FS197" s="15">
        <f t="shared" si="191"/>
        <v>1.2786516853932586</v>
      </c>
      <c r="FT197" s="15">
        <f t="shared" si="192"/>
        <v>1.2400000000000002</v>
      </c>
      <c r="FU197" s="15">
        <f t="shared" si="193"/>
        <v>0.24580615196009092</v>
      </c>
      <c r="FV197" s="15">
        <f>((FR197*FR197)/(AR197*FP197*FP197)+(FO197*FO197)/(AR197*FM197*FM197))</f>
        <v>3.2554262342394797E-5</v>
      </c>
      <c r="FX197" s="15">
        <v>18.22</v>
      </c>
      <c r="FY197" s="15">
        <v>0.16</v>
      </c>
      <c r="FZ197" s="15">
        <f>FY197*SQRT(AR197)</f>
        <v>0.27712812921102037</v>
      </c>
      <c r="GA197" s="15">
        <v>33.520000000000003</v>
      </c>
      <c r="GB197" s="15">
        <v>0.28000000000000003</v>
      </c>
      <c r="GC197" s="15">
        <f>GB197*SQRT(AR197)</f>
        <v>0.48497422611928565</v>
      </c>
      <c r="GD197" s="15">
        <f t="shared" si="197"/>
        <v>1.8397365532382</v>
      </c>
      <c r="GE197" s="15">
        <f t="shared" si="198"/>
        <v>15.300000000000004</v>
      </c>
      <c r="GF197" s="15">
        <f t="shared" si="199"/>
        <v>0.60962238378207001</v>
      </c>
      <c r="GG197" s="15">
        <f>((GC197*GC197)/(AR197*GA197*GA197)+(FZ197*FZ197)/(AR197*FX197*FX197))</f>
        <v>1.4689209073360875E-4</v>
      </c>
      <c r="GI197" s="15">
        <v>12.97</v>
      </c>
      <c r="GJ197" s="15">
        <v>7.0000000000000007E-2</v>
      </c>
      <c r="GK197" s="15">
        <f>GJ197*SQRT(AR152)</f>
        <v>0.12124355652982141</v>
      </c>
      <c r="GL197" s="15">
        <v>13.5</v>
      </c>
      <c r="GM197" s="15">
        <v>0.12</v>
      </c>
      <c r="GN197" s="15">
        <f>GM197*SQRT(AR152)</f>
        <v>0.20784609690826525</v>
      </c>
      <c r="GO197" s="15">
        <f t="shared" si="200"/>
        <v>1.0408635312259058</v>
      </c>
      <c r="GP197" s="15">
        <f t="shared" si="201"/>
        <v>0.52999999999999936</v>
      </c>
      <c r="GQ197" s="15">
        <f t="shared" si="202"/>
        <v>4.0050687116031103E-2</v>
      </c>
      <c r="GR197" s="15">
        <f>((GN197*GN197)/(AR152*GL197*GL197)+(GK197*GK197)/(AR152*GI197*GI197))</f>
        <v>1.0814071201161426E-4</v>
      </c>
      <c r="HE197" s="15">
        <v>6.43</v>
      </c>
      <c r="HF197" s="15">
        <v>0.05</v>
      </c>
      <c r="HG197" s="15">
        <f>HF197*SQRT(AR197)</f>
        <v>8.6602540378443865E-2</v>
      </c>
      <c r="HH197" s="15">
        <v>12.66</v>
      </c>
      <c r="HI197" s="15">
        <v>0.2</v>
      </c>
      <c r="HJ197" s="15">
        <f>HI197*SQRT(AR197)</f>
        <v>0.34641016151377546</v>
      </c>
      <c r="HK197" s="15">
        <f t="shared" si="173"/>
        <v>1.9688958009331261</v>
      </c>
      <c r="HL197" s="15">
        <f t="shared" si="174"/>
        <v>6.23</v>
      </c>
      <c r="HM197" s="15">
        <f t="shared" si="175"/>
        <v>0.67747287846650228</v>
      </c>
      <c r="HN197" s="15">
        <f>((HJ197*HJ197)/(AR197*HH197*HH197)+(HG197*HG197)/(AR197*HE197*HE197))</f>
        <v>3.1003706545057534E-4</v>
      </c>
      <c r="HP197" s="15" t="s">
        <v>809</v>
      </c>
      <c r="HV197" s="15">
        <f t="shared" si="176"/>
        <v>66.423323250755089</v>
      </c>
      <c r="HW197" s="15">
        <f t="shared" si="177"/>
        <v>0.67747287846650228</v>
      </c>
      <c r="HX197" s="15">
        <f t="shared" si="203"/>
        <v>4500</v>
      </c>
      <c r="HY197" s="15">
        <f t="shared" si="204"/>
        <v>22500</v>
      </c>
      <c r="HZ197" s="15">
        <f t="shared" si="204"/>
        <v>37.5</v>
      </c>
      <c r="IA197" s="15">
        <f t="shared" si="204"/>
        <v>4500</v>
      </c>
    </row>
    <row r="198" spans="1:235" s="15" customFormat="1" x14ac:dyDescent="0.25">
      <c r="A198" s="31">
        <v>196</v>
      </c>
      <c r="B198" s="1">
        <v>32</v>
      </c>
      <c r="C198" s="1">
        <v>33</v>
      </c>
      <c r="D198" s="15" t="s">
        <v>163</v>
      </c>
      <c r="E198" s="1">
        <v>5</v>
      </c>
      <c r="F198" s="15" t="s">
        <v>798</v>
      </c>
      <c r="G198" s="63" t="s">
        <v>893</v>
      </c>
      <c r="H198" s="15" t="s">
        <v>894</v>
      </c>
      <c r="I198" s="1">
        <v>2021</v>
      </c>
      <c r="J198" s="15" t="s">
        <v>895</v>
      </c>
      <c r="K198" s="1"/>
      <c r="L198" s="15" t="s">
        <v>865</v>
      </c>
      <c r="M198" s="15" t="s">
        <v>73</v>
      </c>
      <c r="N198" s="15" t="s">
        <v>23</v>
      </c>
      <c r="O198" s="31">
        <v>2</v>
      </c>
      <c r="P198" s="15">
        <v>31.1</v>
      </c>
      <c r="Q198" s="15">
        <v>119.13</v>
      </c>
      <c r="U198" s="15" t="s">
        <v>807</v>
      </c>
      <c r="V198" s="31">
        <v>2</v>
      </c>
      <c r="W198" s="16"/>
      <c r="Y198" s="1"/>
      <c r="Z198" s="15">
        <v>4.32</v>
      </c>
      <c r="AA198" s="15" t="s">
        <v>574</v>
      </c>
      <c r="AB198" s="15">
        <f t="shared" si="156"/>
        <v>4.32</v>
      </c>
      <c r="AC198" s="1">
        <v>1</v>
      </c>
      <c r="AD198" s="15">
        <v>20.059999999999999</v>
      </c>
      <c r="AG198" s="15">
        <v>13.1</v>
      </c>
      <c r="AJ198" s="15">
        <v>30.9</v>
      </c>
      <c r="AK198" s="15">
        <v>20</v>
      </c>
      <c r="AL198" s="15">
        <v>49.1</v>
      </c>
      <c r="AM198" s="1">
        <v>3</v>
      </c>
      <c r="AQ198" s="1"/>
      <c r="AR198" s="1">
        <v>3</v>
      </c>
      <c r="BP198" s="16"/>
      <c r="BQ198" s="16"/>
      <c r="BR198" s="16"/>
      <c r="BU198" s="16"/>
      <c r="DB198" s="15" t="s">
        <v>835</v>
      </c>
      <c r="DE198" s="15">
        <f t="shared" si="194"/>
        <v>22500</v>
      </c>
      <c r="DF198" s="15" t="s">
        <v>766</v>
      </c>
      <c r="DI198" s="15">
        <v>9.27</v>
      </c>
      <c r="DJ198" s="15">
        <v>377</v>
      </c>
      <c r="DK198" s="15">
        <v>26.8</v>
      </c>
      <c r="DR198" s="15">
        <v>137.91999999999999</v>
      </c>
      <c r="DS198" s="15">
        <f>DE198</f>
        <v>22500</v>
      </c>
      <c r="DT198" s="15">
        <f t="shared" si="195"/>
        <v>37.5</v>
      </c>
      <c r="DU198" s="15">
        <f t="shared" si="196"/>
        <v>4500</v>
      </c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>
        <f t="shared" si="157"/>
        <v>4.45</v>
      </c>
      <c r="FL198" s="16">
        <f t="shared" si="158"/>
        <v>4.6900000000000004</v>
      </c>
      <c r="FM198" s="15">
        <v>4.45</v>
      </c>
      <c r="FN198" s="15">
        <v>0.02</v>
      </c>
      <c r="FO198" s="15">
        <f>FN198*SQRT(AR198)</f>
        <v>3.4641016151377546E-2</v>
      </c>
      <c r="FP198" s="15">
        <v>4.6900000000000004</v>
      </c>
      <c r="FQ198" s="15">
        <v>0.01</v>
      </c>
      <c r="FR198" s="15">
        <f>FQ198*SQRT(AR198)</f>
        <v>1.7320508075688773E-2</v>
      </c>
      <c r="FS198" s="15">
        <f t="shared" si="191"/>
        <v>1.053932584269663</v>
      </c>
      <c r="FT198" s="15">
        <f t="shared" si="192"/>
        <v>0.24000000000000021</v>
      </c>
      <c r="FU198" s="15">
        <f t="shared" si="193"/>
        <v>5.2528486280039255E-2</v>
      </c>
      <c r="FV198" s="15">
        <f>((FR198*FR198)/(AR198*FP198*FP198)+(FO198*FO198)/(AR198*FM198*FM198))</f>
        <v>2.4745730237366263E-5</v>
      </c>
      <c r="FX198" s="15">
        <v>18.22</v>
      </c>
      <c r="FY198" s="15">
        <v>0.16</v>
      </c>
      <c r="FZ198" s="15">
        <f>FY198*SQRT(AR198)</f>
        <v>0.27712812921102037</v>
      </c>
      <c r="GA198" s="15">
        <v>32.71</v>
      </c>
      <c r="GB198" s="15">
        <v>0.61</v>
      </c>
      <c r="GC198" s="15">
        <f>GB198*SQRT(AR198)</f>
        <v>1.0565509926170151</v>
      </c>
      <c r="GD198" s="15">
        <f t="shared" si="197"/>
        <v>1.795279912184413</v>
      </c>
      <c r="GE198" s="15">
        <f t="shared" si="198"/>
        <v>14.490000000000002</v>
      </c>
      <c r="GF198" s="15">
        <f t="shared" si="199"/>
        <v>0.58516094971848043</v>
      </c>
      <c r="GG198" s="15">
        <f>((GC198*GC198)/(AR198*GA198*GA198)+(FZ198*FZ198)/(AR198*FX198*FX198))</f>
        <v>4.248909518312008E-4</v>
      </c>
      <c r="GI198" s="15">
        <v>12.97</v>
      </c>
      <c r="GJ198" s="15">
        <v>7.0000000000000007E-2</v>
      </c>
      <c r="GK198" s="15">
        <f>GJ198*SQRT(AR153)</f>
        <v>0.12124355652982141</v>
      </c>
      <c r="GL198" s="15">
        <v>13.4</v>
      </c>
      <c r="GM198" s="15">
        <v>0.12</v>
      </c>
      <c r="GN198" s="15">
        <f>GM198*SQRT(AR153)</f>
        <v>0.20784609690826525</v>
      </c>
      <c r="GO198" s="15">
        <f t="shared" si="200"/>
        <v>1.0331534309946029</v>
      </c>
      <c r="GP198" s="15">
        <f t="shared" si="201"/>
        <v>0.42999999999999972</v>
      </c>
      <c r="GQ198" s="15">
        <f t="shared" si="202"/>
        <v>3.261570862851304E-2</v>
      </c>
      <c r="GR198" s="15">
        <f>((GN198*GN198)/(AR153*GL198*GL198)+(GK198*GK198)/(AR153*GI198*GI198))</f>
        <v>1.0932440108421697E-4</v>
      </c>
      <c r="HE198" s="15">
        <v>6.43</v>
      </c>
      <c r="HF198" s="15">
        <v>0.05</v>
      </c>
      <c r="HG198" s="15">
        <f>HF198*SQRT(AR198)</f>
        <v>8.6602540378443865E-2</v>
      </c>
      <c r="HH198" s="15">
        <v>6.96</v>
      </c>
      <c r="HI198" s="15">
        <v>0.1</v>
      </c>
      <c r="HJ198" s="15">
        <f>HI198*SQRT(AR198)</f>
        <v>0.17320508075688773</v>
      </c>
      <c r="HK198" s="15">
        <f t="shared" si="173"/>
        <v>1.0824261275272162</v>
      </c>
      <c r="HL198" s="15">
        <f t="shared" si="174"/>
        <v>0.53000000000000025</v>
      </c>
      <c r="HM198" s="15">
        <f t="shared" si="175"/>
        <v>7.9204936096800349E-2</v>
      </c>
      <c r="HN198" s="15">
        <f>((HJ198*HJ198)/(AR198*HH198*HH198)+(HG198*HG198)/(AR198*HE198*HE198))</f>
        <v>2.6690108922669596E-4</v>
      </c>
      <c r="HP198" s="15" t="s">
        <v>809</v>
      </c>
      <c r="HV198" s="15">
        <f t="shared" si="176"/>
        <v>568.14640876678732</v>
      </c>
      <c r="HW198" s="15">
        <f t="shared" si="177"/>
        <v>7.9204936096800349E-2</v>
      </c>
      <c r="HX198" s="15">
        <f t="shared" si="203"/>
        <v>4500</v>
      </c>
      <c r="HY198" s="15">
        <f t="shared" si="204"/>
        <v>22500</v>
      </c>
      <c r="HZ198" s="15">
        <f t="shared" si="204"/>
        <v>37.5</v>
      </c>
      <c r="IA198" s="15">
        <f t="shared" si="204"/>
        <v>4500</v>
      </c>
    </row>
    <row r="199" spans="1:235" s="15" customFormat="1" x14ac:dyDescent="0.25">
      <c r="A199" s="31">
        <v>197</v>
      </c>
      <c r="B199" s="1">
        <v>32</v>
      </c>
      <c r="C199" s="1">
        <v>33</v>
      </c>
      <c r="D199" s="15" t="s">
        <v>164</v>
      </c>
      <c r="E199" s="1">
        <v>5</v>
      </c>
      <c r="F199" s="15" t="s">
        <v>798</v>
      </c>
      <c r="G199" s="63" t="s">
        <v>893</v>
      </c>
      <c r="H199" s="15" t="s">
        <v>894</v>
      </c>
      <c r="I199" s="1">
        <v>2021</v>
      </c>
      <c r="J199" s="15" t="s">
        <v>895</v>
      </c>
      <c r="K199" s="1"/>
      <c r="L199" s="15" t="s">
        <v>865</v>
      </c>
      <c r="M199" s="15" t="s">
        <v>73</v>
      </c>
      <c r="N199" s="15" t="s">
        <v>23</v>
      </c>
      <c r="O199" s="31">
        <v>2</v>
      </c>
      <c r="P199" s="15">
        <v>31.1</v>
      </c>
      <c r="Q199" s="15">
        <v>119.13</v>
      </c>
      <c r="U199" s="15" t="s">
        <v>807</v>
      </c>
      <c r="V199" s="31">
        <v>2</v>
      </c>
      <c r="W199" s="16"/>
      <c r="Y199" s="1"/>
      <c r="Z199" s="15">
        <v>4.32</v>
      </c>
      <c r="AA199" s="15" t="s">
        <v>574</v>
      </c>
      <c r="AB199" s="15">
        <f t="shared" si="156"/>
        <v>4.32</v>
      </c>
      <c r="AC199" s="1">
        <v>1</v>
      </c>
      <c r="AD199" s="15">
        <v>20.059999999999999</v>
      </c>
      <c r="AG199" s="15">
        <v>13.1</v>
      </c>
      <c r="AJ199" s="15">
        <v>30.9</v>
      </c>
      <c r="AK199" s="15">
        <v>20</v>
      </c>
      <c r="AL199" s="15">
        <v>49.1</v>
      </c>
      <c r="AM199" s="1">
        <v>3</v>
      </c>
      <c r="AQ199" s="1"/>
      <c r="AR199" s="1">
        <v>3</v>
      </c>
      <c r="BP199" s="16"/>
      <c r="BQ199" s="16"/>
      <c r="BR199" s="16"/>
      <c r="BU199" s="16"/>
      <c r="DB199" s="15" t="s">
        <v>846</v>
      </c>
      <c r="DE199" s="15">
        <f t="shared" si="194"/>
        <v>22500</v>
      </c>
      <c r="DF199" s="15" t="s">
        <v>766</v>
      </c>
      <c r="DI199" s="15">
        <v>9.58</v>
      </c>
      <c r="DJ199" s="15">
        <v>417</v>
      </c>
      <c r="DK199" s="15">
        <v>17.8</v>
      </c>
      <c r="DR199" s="15">
        <v>186.68</v>
      </c>
      <c r="DS199" s="15">
        <f>DE199</f>
        <v>22500</v>
      </c>
      <c r="DT199" s="15">
        <f t="shared" si="195"/>
        <v>37.5</v>
      </c>
      <c r="DU199" s="15">
        <f t="shared" si="196"/>
        <v>4500</v>
      </c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>
        <f t="shared" si="157"/>
        <v>4.45</v>
      </c>
      <c r="FL199" s="16">
        <f t="shared" si="158"/>
        <v>4.68</v>
      </c>
      <c r="FM199" s="15">
        <v>4.45</v>
      </c>
      <c r="FN199" s="15">
        <v>0.02</v>
      </c>
      <c r="FO199" s="15">
        <f>FN199*SQRT(AR199)</f>
        <v>3.4641016151377546E-2</v>
      </c>
      <c r="FP199" s="15">
        <v>4.68</v>
      </c>
      <c r="FQ199" s="15">
        <v>0.01</v>
      </c>
      <c r="FR199" s="15">
        <f>FQ199*SQRT(AR199)</f>
        <v>1.7320508075688773E-2</v>
      </c>
      <c r="FS199" s="15">
        <f t="shared" si="191"/>
        <v>1.0516853932584269</v>
      </c>
      <c r="FT199" s="15">
        <f t="shared" si="192"/>
        <v>0.22999999999999954</v>
      </c>
      <c r="FU199" s="15">
        <f t="shared" si="193"/>
        <v>5.0394013751406508E-2</v>
      </c>
      <c r="FV199" s="15">
        <f>((FR199*FR199)/(AR199*FP199*FP199)+(FO199*FO199)/(AR199*FM199*FM199))</f>
        <v>2.4765179457833519E-5</v>
      </c>
      <c r="FX199" s="15">
        <v>18.22</v>
      </c>
      <c r="FY199" s="15">
        <v>0.16</v>
      </c>
      <c r="FZ199" s="15">
        <f>FY199*SQRT(AR199)</f>
        <v>0.27712812921102037</v>
      </c>
      <c r="GA199" s="15">
        <v>33.22</v>
      </c>
      <c r="GB199" s="15">
        <v>0.87</v>
      </c>
      <c r="GC199" s="15">
        <f>GB199*SQRT(AR199)</f>
        <v>1.5068842025849232</v>
      </c>
      <c r="GD199" s="15">
        <f t="shared" si="197"/>
        <v>1.8232711306256861</v>
      </c>
      <c r="GE199" s="15">
        <f t="shared" si="198"/>
        <v>15</v>
      </c>
      <c r="GF199" s="15">
        <f t="shared" si="199"/>
        <v>0.60063221235333675</v>
      </c>
      <c r="GG199" s="15">
        <f>((GC199*GC199)/(AR199*GA199*GA199)+(FZ199*FZ199)/(AR199*FX199*FX199))</f>
        <v>7.6298173358696248E-4</v>
      </c>
      <c r="GI199" s="15">
        <v>12.97</v>
      </c>
      <c r="GJ199" s="15">
        <v>7.0000000000000007E-2</v>
      </c>
      <c r="GK199" s="15">
        <f>GJ199*SQRT(AR154)</f>
        <v>0.12124355652982141</v>
      </c>
      <c r="GL199" s="15">
        <v>13.73</v>
      </c>
      <c r="GM199" s="15">
        <v>0.09</v>
      </c>
      <c r="GN199" s="15">
        <f>GM199*SQRT(AR154)</f>
        <v>0.15588457268119893</v>
      </c>
      <c r="GO199" s="15">
        <f t="shared" si="200"/>
        <v>1.0585967617579028</v>
      </c>
      <c r="GP199" s="15">
        <f t="shared" si="201"/>
        <v>0.75999999999999979</v>
      </c>
      <c r="GQ199" s="15">
        <f t="shared" si="202"/>
        <v>5.6944221451527E-2</v>
      </c>
      <c r="GR199" s="15">
        <f>((GN199*GN199)/(AR154*GL199*GL199)+(GK199*GK199)/(AR154*GI199*GI199))</f>
        <v>7.2096248106209997E-5</v>
      </c>
      <c r="HE199" s="15">
        <v>6.43</v>
      </c>
      <c r="HF199" s="15">
        <v>0.05</v>
      </c>
      <c r="HG199" s="15">
        <f>HF199*SQRT(AR199)</f>
        <v>8.6602540378443865E-2</v>
      </c>
      <c r="HH199" s="15">
        <v>9.0500000000000007</v>
      </c>
      <c r="HI199" s="15">
        <v>0.2</v>
      </c>
      <c r="HJ199" s="15">
        <f>HI199*SQRT(AR199)</f>
        <v>0.34641016151377546</v>
      </c>
      <c r="HK199" s="15">
        <f t="shared" si="173"/>
        <v>1.40746500777605</v>
      </c>
      <c r="HL199" s="15">
        <f t="shared" si="174"/>
        <v>2.620000000000001</v>
      </c>
      <c r="HM199" s="15">
        <f t="shared" si="175"/>
        <v>0.34179021946230681</v>
      </c>
      <c r="HN199" s="15">
        <f>((HJ199*HJ199)/(AR199*HH199*HH199)+(HG199*HG199)/(AR199*HE199*HE199))</f>
        <v>5.4885253039022117E-4</v>
      </c>
      <c r="HV199" s="15">
        <f t="shared" si="176"/>
        <v>131.65970656150586</v>
      </c>
      <c r="HW199" s="15">
        <f t="shared" si="177"/>
        <v>0.34179021946230681</v>
      </c>
      <c r="HX199" s="15">
        <f t="shared" si="203"/>
        <v>4500</v>
      </c>
      <c r="HY199" s="15">
        <f t="shared" si="204"/>
        <v>22500</v>
      </c>
      <c r="HZ199" s="15">
        <f t="shared" si="204"/>
        <v>37.5</v>
      </c>
      <c r="IA199" s="15">
        <f t="shared" si="204"/>
        <v>4500</v>
      </c>
    </row>
    <row r="200" spans="1:235" s="15" customFormat="1" x14ac:dyDescent="0.25">
      <c r="A200" s="31">
        <v>198</v>
      </c>
      <c r="B200" s="1">
        <v>32</v>
      </c>
      <c r="C200" s="1">
        <v>34</v>
      </c>
      <c r="D200" s="15" t="s">
        <v>165</v>
      </c>
      <c r="E200" s="1">
        <v>5</v>
      </c>
      <c r="F200" s="15" t="s">
        <v>798</v>
      </c>
      <c r="G200" s="63" t="s">
        <v>893</v>
      </c>
      <c r="H200" s="15" t="s">
        <v>894</v>
      </c>
      <c r="I200" s="1">
        <v>2021</v>
      </c>
      <c r="J200" s="15" t="s">
        <v>895</v>
      </c>
      <c r="K200" s="1"/>
      <c r="L200" s="15" t="s">
        <v>820</v>
      </c>
      <c r="M200" s="15" t="s">
        <v>480</v>
      </c>
      <c r="N200" s="15" t="s">
        <v>23</v>
      </c>
      <c r="O200" s="31">
        <v>2</v>
      </c>
      <c r="P200" s="15">
        <v>26.25</v>
      </c>
      <c r="Q200" s="15">
        <v>116.92</v>
      </c>
      <c r="U200" s="15" t="s">
        <v>807</v>
      </c>
      <c r="V200" s="31">
        <v>2</v>
      </c>
      <c r="W200" s="16"/>
      <c r="Y200" s="1"/>
      <c r="Z200" s="15">
        <v>4.96</v>
      </c>
      <c r="AA200" s="15" t="s">
        <v>574</v>
      </c>
      <c r="AB200" s="15">
        <f t="shared" si="156"/>
        <v>4.96</v>
      </c>
      <c r="AC200" s="1">
        <v>2</v>
      </c>
      <c r="AD200" s="15">
        <v>10.98</v>
      </c>
      <c r="AG200" s="15">
        <v>5.54</v>
      </c>
      <c r="AJ200" s="15">
        <v>18</v>
      </c>
      <c r="AK200" s="15">
        <v>15.5</v>
      </c>
      <c r="AL200" s="15">
        <v>66.5</v>
      </c>
      <c r="AM200" s="1">
        <v>3</v>
      </c>
      <c r="AQ200" s="1"/>
      <c r="AR200" s="1">
        <v>3</v>
      </c>
      <c r="BP200" s="16"/>
      <c r="BQ200" s="16"/>
      <c r="BR200" s="16"/>
      <c r="BU200" s="16"/>
      <c r="DB200" s="15" t="s">
        <v>896</v>
      </c>
      <c r="DE200" s="15">
        <f t="shared" si="194"/>
        <v>22500</v>
      </c>
      <c r="DF200" s="15" t="s">
        <v>766</v>
      </c>
      <c r="DI200" s="15">
        <v>9.93</v>
      </c>
      <c r="DJ200" s="15">
        <v>294</v>
      </c>
      <c r="DK200" s="15">
        <v>15.4</v>
      </c>
      <c r="DR200" s="15">
        <v>244.65</v>
      </c>
      <c r="DS200" s="15">
        <f>DE200</f>
        <v>22500</v>
      </c>
      <c r="DT200" s="15">
        <f t="shared" si="195"/>
        <v>37.5</v>
      </c>
      <c r="DU200" s="15">
        <f t="shared" si="196"/>
        <v>4500</v>
      </c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>
        <f t="shared" si="157"/>
        <v>4.75</v>
      </c>
      <c r="FL200" s="16">
        <f t="shared" si="158"/>
        <v>6.46</v>
      </c>
      <c r="FM200" s="15">
        <v>4.75</v>
      </c>
      <c r="FN200" s="15">
        <v>0.03</v>
      </c>
      <c r="FO200" s="15">
        <f>FN200*SQRT(AR200)</f>
        <v>5.1961524227066312E-2</v>
      </c>
      <c r="FP200" s="15">
        <v>6.46</v>
      </c>
      <c r="FQ200" s="15">
        <v>0.02</v>
      </c>
      <c r="FR200" s="15">
        <f>FQ200*SQRT(AR200)</f>
        <v>3.4641016151377546E-2</v>
      </c>
      <c r="FS200" s="15">
        <f t="shared" si="191"/>
        <v>1.36</v>
      </c>
      <c r="FT200" s="15">
        <f t="shared" si="192"/>
        <v>1.71</v>
      </c>
      <c r="FU200" s="15">
        <f t="shared" si="193"/>
        <v>0.30748469974796055</v>
      </c>
      <c r="FV200" s="15">
        <f>((FR200*FR200)/(AR200*FP200*FP200)+(FO200*FO200)/(AR200*FM200*FM200))</f>
        <v>4.9474259314284612E-5</v>
      </c>
      <c r="FX200" s="15">
        <v>10.87</v>
      </c>
      <c r="FY200" s="15">
        <v>0.06</v>
      </c>
      <c r="FZ200" s="15">
        <f>FY200*SQRT(AR200)</f>
        <v>0.10392304845413262</v>
      </c>
      <c r="GA200" s="15">
        <v>18.350000000000001</v>
      </c>
      <c r="GB200" s="15">
        <v>0.36</v>
      </c>
      <c r="GC200" s="15">
        <f>GB200*SQRT(AR200)</f>
        <v>0.62353829072479572</v>
      </c>
      <c r="GD200" s="15">
        <f t="shared" si="197"/>
        <v>1.6881324747010122</v>
      </c>
      <c r="GE200" s="15">
        <f t="shared" si="198"/>
        <v>7.4800000000000022</v>
      </c>
      <c r="GF200" s="15">
        <f t="shared" si="199"/>
        <v>0.52362287336746149</v>
      </c>
      <c r="GG200" s="15">
        <f>((GC200*GC200)/(AR200*GA200*GA200)+(FZ200*FZ200)/(AR200*FX200*FX200))</f>
        <v>4.1535462734953717E-4</v>
      </c>
      <c r="GI200" s="15">
        <v>5.43</v>
      </c>
      <c r="GJ200" s="15">
        <v>0.1</v>
      </c>
      <c r="GK200" s="15">
        <f>GJ200*SQRT(AR155)</f>
        <v>0.17320508075688773</v>
      </c>
      <c r="GL200" s="15">
        <v>6.15</v>
      </c>
      <c r="GM200" s="15">
        <v>0.08</v>
      </c>
      <c r="GN200" s="15">
        <f>GM200*SQRT(AR155)</f>
        <v>0.13856406460551018</v>
      </c>
      <c r="GO200" s="15">
        <f t="shared" si="200"/>
        <v>1.132596685082873</v>
      </c>
      <c r="GP200" s="15">
        <f t="shared" si="201"/>
        <v>0.72000000000000064</v>
      </c>
      <c r="GQ200" s="15">
        <f t="shared" si="202"/>
        <v>0.1245129478725826</v>
      </c>
      <c r="GR200" s="15">
        <f>((GN200*GN200)/(AR155*GL200*GL200)+(GK200*GK200)/(AR155*GI200*GI200))</f>
        <v>5.0836810127852803E-4</v>
      </c>
      <c r="HE200" s="15">
        <v>2</v>
      </c>
      <c r="HF200" s="15">
        <v>0.02</v>
      </c>
      <c r="HG200" s="15">
        <f>HF200*SQRT(AR200)</f>
        <v>3.4641016151377546E-2</v>
      </c>
      <c r="HH200" s="15">
        <v>2.0299999999999998</v>
      </c>
      <c r="HI200" s="15">
        <v>0.02</v>
      </c>
      <c r="HJ200" s="15">
        <f>HI200*SQRT(AR200)</f>
        <v>3.4641016151377546E-2</v>
      </c>
      <c r="HK200" s="15">
        <f t="shared" si="173"/>
        <v>1.0149999999999999</v>
      </c>
      <c r="HL200" s="15">
        <f t="shared" si="174"/>
        <v>2.9999999999999805E-2</v>
      </c>
      <c r="HM200" s="15">
        <f t="shared" si="175"/>
        <v>1.4888612493750619E-2</v>
      </c>
      <c r="HN200" s="15">
        <f>((HJ200*HJ200)/(AR200*HH200*HH200)+(HG200*HG200)/(AR200*HE200*HE200))</f>
        <v>1.9706617486471404E-4</v>
      </c>
      <c r="HV200" s="15">
        <f t="shared" si="176"/>
        <v>3022.444167909428</v>
      </c>
      <c r="HW200" s="15">
        <f t="shared" si="177"/>
        <v>1.4888612493750619E-2</v>
      </c>
      <c r="HX200" s="15">
        <f t="shared" si="203"/>
        <v>4500</v>
      </c>
      <c r="HY200" s="15">
        <f t="shared" si="204"/>
        <v>22500</v>
      </c>
      <c r="HZ200" s="15">
        <f t="shared" si="204"/>
        <v>37.5</v>
      </c>
      <c r="IA200" s="15">
        <f t="shared" si="204"/>
        <v>4500</v>
      </c>
    </row>
    <row r="201" spans="1:235" s="15" customFormat="1" x14ac:dyDescent="0.25">
      <c r="A201" s="31">
        <v>199</v>
      </c>
      <c r="B201" s="1">
        <v>32</v>
      </c>
      <c r="C201" s="1">
        <v>34</v>
      </c>
      <c r="D201" s="15" t="s">
        <v>166</v>
      </c>
      <c r="E201" s="1">
        <v>5</v>
      </c>
      <c r="F201" s="15" t="s">
        <v>798</v>
      </c>
      <c r="G201" s="63" t="s">
        <v>893</v>
      </c>
      <c r="H201" s="15" t="s">
        <v>894</v>
      </c>
      <c r="I201" s="1">
        <v>2021</v>
      </c>
      <c r="J201" s="15" t="s">
        <v>895</v>
      </c>
      <c r="K201" s="1"/>
      <c r="L201" s="15" t="s">
        <v>820</v>
      </c>
      <c r="M201" s="15" t="s">
        <v>480</v>
      </c>
      <c r="N201" s="15" t="s">
        <v>23</v>
      </c>
      <c r="O201" s="31">
        <v>2</v>
      </c>
      <c r="P201" s="15">
        <v>26.25</v>
      </c>
      <c r="Q201" s="15">
        <v>116.92</v>
      </c>
      <c r="U201" s="15" t="s">
        <v>807</v>
      </c>
      <c r="V201" s="31">
        <v>2</v>
      </c>
      <c r="W201" s="16"/>
      <c r="Y201" s="1"/>
      <c r="Z201" s="15">
        <v>4.96</v>
      </c>
      <c r="AA201" s="15" t="s">
        <v>574</v>
      </c>
      <c r="AB201" s="15">
        <f t="shared" si="156"/>
        <v>4.96</v>
      </c>
      <c r="AC201" s="1">
        <v>2</v>
      </c>
      <c r="AD201" s="15">
        <v>10.98</v>
      </c>
      <c r="AG201" s="15">
        <v>5.54</v>
      </c>
      <c r="AJ201" s="15">
        <v>18</v>
      </c>
      <c r="AK201" s="15">
        <v>15.5</v>
      </c>
      <c r="AL201" s="15">
        <v>66.5</v>
      </c>
      <c r="AM201" s="1">
        <v>3</v>
      </c>
      <c r="AQ201" s="1"/>
      <c r="AR201" s="1">
        <v>3</v>
      </c>
      <c r="BP201" s="16"/>
      <c r="BQ201" s="16"/>
      <c r="BR201" s="16"/>
      <c r="BU201" s="16"/>
      <c r="DB201" s="15" t="s">
        <v>897</v>
      </c>
      <c r="DE201" s="15">
        <f t="shared" si="194"/>
        <v>22500</v>
      </c>
      <c r="DF201" s="15" t="s">
        <v>766</v>
      </c>
      <c r="DI201" s="15">
        <v>9.0500000000000007</v>
      </c>
      <c r="DJ201" s="15">
        <v>410</v>
      </c>
      <c r="DK201" s="15">
        <v>28.7</v>
      </c>
      <c r="DR201" s="15">
        <v>468.58</v>
      </c>
      <c r="DS201" s="15">
        <f>DE201</f>
        <v>22500</v>
      </c>
      <c r="DT201" s="15">
        <f t="shared" si="195"/>
        <v>37.5</v>
      </c>
      <c r="DU201" s="15">
        <f t="shared" si="196"/>
        <v>4500</v>
      </c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>
        <f t="shared" si="157"/>
        <v>4.75</v>
      </c>
      <c r="FL201" s="16">
        <f t="shared" si="158"/>
        <v>7.37</v>
      </c>
      <c r="FM201" s="15">
        <v>4.75</v>
      </c>
      <c r="FN201" s="15">
        <v>0.03</v>
      </c>
      <c r="FO201" s="15">
        <f>FN201*SQRT(AR201)</f>
        <v>5.1961524227066312E-2</v>
      </c>
      <c r="FP201" s="15">
        <v>7.37</v>
      </c>
      <c r="FQ201" s="15">
        <v>0.02</v>
      </c>
      <c r="FR201" s="15">
        <f>FQ201*SQRT(AR201)</f>
        <v>3.4641016151377546E-2</v>
      </c>
      <c r="FS201" s="15">
        <f t="shared" si="191"/>
        <v>1.5515789473684212</v>
      </c>
      <c r="FT201" s="15">
        <f t="shared" si="192"/>
        <v>2.62</v>
      </c>
      <c r="FU201" s="15">
        <f t="shared" si="193"/>
        <v>0.43927308815469535</v>
      </c>
      <c r="FV201" s="15">
        <f>((FR201*FR201)/(AR201*FP201*FP201)+(FO201*FO201)/(AR201*FM201*FM201))</f>
        <v>4.7253387194873186E-5</v>
      </c>
      <c r="FX201" s="15">
        <v>10.87</v>
      </c>
      <c r="FY201" s="15">
        <v>0.06</v>
      </c>
      <c r="FZ201" s="15">
        <f>FY201*SQRT(AR201)</f>
        <v>0.10392304845413262</v>
      </c>
      <c r="GA201" s="15">
        <v>20.67</v>
      </c>
      <c r="GB201" s="15">
        <v>0.32</v>
      </c>
      <c r="GC201" s="15">
        <f>GB201*SQRT(AR201)</f>
        <v>0.55425625842204074</v>
      </c>
      <c r="GD201" s="15">
        <f t="shared" si="197"/>
        <v>1.9015639374425026</v>
      </c>
      <c r="GE201" s="15">
        <f t="shared" si="198"/>
        <v>9.8000000000000025</v>
      </c>
      <c r="GF201" s="15">
        <f t="shared" si="199"/>
        <v>0.64267667256055905</v>
      </c>
      <c r="GG201" s="15">
        <f>((GC201*GC201)/(AR201*GA201*GA201)+(FZ201*FZ201)/(AR201*FX201*FX201))</f>
        <v>2.701409025733117E-4</v>
      </c>
      <c r="GI201" s="15">
        <v>5.43</v>
      </c>
      <c r="GJ201" s="15">
        <v>0.1</v>
      </c>
      <c r="GK201" s="15">
        <f>GJ201*SQRT(AR156)</f>
        <v>0.17320508075688773</v>
      </c>
      <c r="GL201" s="15">
        <v>6.52</v>
      </c>
      <c r="GM201" s="15">
        <v>0.11</v>
      </c>
      <c r="GN201" s="15">
        <f>GM201*SQRT(AR156)</f>
        <v>0.1905255888325765</v>
      </c>
      <c r="GO201" s="15">
        <f t="shared" si="200"/>
        <v>1.2007366482504604</v>
      </c>
      <c r="GP201" s="15">
        <f t="shared" si="201"/>
        <v>1.0899999999999999</v>
      </c>
      <c r="GQ201" s="15">
        <f t="shared" si="202"/>
        <v>0.18293524199271749</v>
      </c>
      <c r="GR201" s="15">
        <f>((GN201*GN201)/(AR156*GL201*GL201)+(GK201*GK201)/(AR156*GI201*GI201))</f>
        <v>6.2379288325956712E-4</v>
      </c>
      <c r="HE201" s="15">
        <v>2</v>
      </c>
      <c r="HF201" s="15">
        <v>0.02</v>
      </c>
      <c r="HG201" s="15">
        <f>HF201*SQRT(AR201)</f>
        <v>3.4641016151377546E-2</v>
      </c>
      <c r="HH201" s="15">
        <v>6.93</v>
      </c>
      <c r="HI201" s="15">
        <v>0.2</v>
      </c>
      <c r="HJ201" s="15">
        <f>HI201*SQRT(AR201)</f>
        <v>0.34641016151377546</v>
      </c>
      <c r="HK201" s="15">
        <f t="shared" si="173"/>
        <v>3.4649999999999999</v>
      </c>
      <c r="HL201" s="15">
        <f t="shared" si="174"/>
        <v>4.93</v>
      </c>
      <c r="HM201" s="15">
        <f t="shared" si="175"/>
        <v>1.2427126326418665</v>
      </c>
      <c r="HN201" s="15">
        <f>((HJ201*HJ201)/(AR201*HH201*HH201)+(HG201*HG201)/(AR201*HE201*HE201))</f>
        <v>9.3290126580169888E-4</v>
      </c>
      <c r="HV201" s="15">
        <f t="shared" si="176"/>
        <v>36.211106910802933</v>
      </c>
      <c r="HW201" s="15">
        <f t="shared" si="177"/>
        <v>1.2427126326418665</v>
      </c>
      <c r="HX201" s="15">
        <f t="shared" si="203"/>
        <v>4500</v>
      </c>
      <c r="HY201" s="15">
        <f t="shared" si="204"/>
        <v>22500</v>
      </c>
      <c r="HZ201" s="15">
        <f t="shared" si="204"/>
        <v>37.5</v>
      </c>
      <c r="IA201" s="15">
        <f t="shared" si="204"/>
        <v>4500</v>
      </c>
    </row>
    <row r="202" spans="1:235" s="15" customFormat="1" x14ac:dyDescent="0.25">
      <c r="A202" s="31">
        <v>200</v>
      </c>
      <c r="B202" s="1">
        <v>32</v>
      </c>
      <c r="C202" s="1">
        <v>34</v>
      </c>
      <c r="D202" s="15" t="s">
        <v>167</v>
      </c>
      <c r="E202" s="1">
        <v>5</v>
      </c>
      <c r="F202" s="15" t="s">
        <v>798</v>
      </c>
      <c r="G202" s="63" t="s">
        <v>893</v>
      </c>
      <c r="H202" s="15" t="s">
        <v>894</v>
      </c>
      <c r="I202" s="1">
        <v>2021</v>
      </c>
      <c r="J202" s="15" t="s">
        <v>895</v>
      </c>
      <c r="K202" s="1"/>
      <c r="L202" s="15" t="s">
        <v>820</v>
      </c>
      <c r="M202" s="15" t="s">
        <v>480</v>
      </c>
      <c r="N202" s="15" t="s">
        <v>23</v>
      </c>
      <c r="O202" s="31">
        <v>2</v>
      </c>
      <c r="P202" s="15">
        <v>26.25</v>
      </c>
      <c r="Q202" s="15">
        <v>116.92</v>
      </c>
      <c r="U202" s="15" t="s">
        <v>807</v>
      </c>
      <c r="V202" s="31">
        <v>2</v>
      </c>
      <c r="W202" s="16"/>
      <c r="Y202" s="1"/>
      <c r="Z202" s="15">
        <v>4.96</v>
      </c>
      <c r="AA202" s="15" t="s">
        <v>574</v>
      </c>
      <c r="AB202" s="15">
        <f t="shared" si="156"/>
        <v>4.96</v>
      </c>
      <c r="AC202" s="1">
        <v>2</v>
      </c>
      <c r="AD202" s="15">
        <v>10.98</v>
      </c>
      <c r="AG202" s="15">
        <v>5.54</v>
      </c>
      <c r="AJ202" s="15">
        <v>18</v>
      </c>
      <c r="AK202" s="15">
        <v>15.5</v>
      </c>
      <c r="AL202" s="15">
        <v>66.5</v>
      </c>
      <c r="AM202" s="1">
        <v>3</v>
      </c>
      <c r="AQ202" s="1"/>
      <c r="AR202" s="1">
        <v>3</v>
      </c>
      <c r="BP202" s="16"/>
      <c r="BQ202" s="16"/>
      <c r="BR202" s="16"/>
      <c r="BU202" s="16"/>
      <c r="DB202" s="15" t="s">
        <v>835</v>
      </c>
      <c r="DE202" s="15">
        <f t="shared" si="194"/>
        <v>22500</v>
      </c>
      <c r="DF202" s="15" t="s">
        <v>766</v>
      </c>
      <c r="DI202" s="15">
        <v>9.27</v>
      </c>
      <c r="DJ202" s="15">
        <v>377</v>
      </c>
      <c r="DK202" s="15">
        <v>26.8</v>
      </c>
      <c r="DR202" s="15">
        <v>137.91999999999999</v>
      </c>
      <c r="DS202" s="15">
        <f>DE202</f>
        <v>22500</v>
      </c>
      <c r="DT202" s="15">
        <f t="shared" si="195"/>
        <v>37.5</v>
      </c>
      <c r="DU202" s="15">
        <f t="shared" si="196"/>
        <v>4500</v>
      </c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>
        <f t="shared" si="157"/>
        <v>4.75</v>
      </c>
      <c r="FL202" s="16">
        <f t="shared" si="158"/>
        <v>5.58</v>
      </c>
      <c r="FM202" s="15">
        <v>4.75</v>
      </c>
      <c r="FN202" s="15">
        <v>0.03</v>
      </c>
      <c r="FO202" s="15">
        <f>FN202*SQRT(AR202)</f>
        <v>5.1961524227066312E-2</v>
      </c>
      <c r="FP202" s="15">
        <v>5.58</v>
      </c>
      <c r="FQ202" s="15">
        <v>0.02</v>
      </c>
      <c r="FR202" s="15">
        <f>FQ202*SQRT(AR202)</f>
        <v>3.4641016151377546E-2</v>
      </c>
      <c r="FS202" s="15">
        <f t="shared" si="191"/>
        <v>1.1747368421052631</v>
      </c>
      <c r="FT202" s="15">
        <f t="shared" si="192"/>
        <v>0.83000000000000007</v>
      </c>
      <c r="FU202" s="15">
        <f t="shared" si="193"/>
        <v>0.16104415834666974</v>
      </c>
      <c r="FV202" s="15">
        <f>((FR202*FR202)/(AR202*FP202*FP202)+(FO202*FO202)/(AR202*FM202*FM202))</f>
        <v>5.2735897000921785E-5</v>
      </c>
      <c r="FX202" s="15">
        <v>10.87</v>
      </c>
      <c r="FY202" s="15">
        <v>0.06</v>
      </c>
      <c r="FZ202" s="15">
        <f>FY202*SQRT(AR202)</f>
        <v>0.10392304845413262</v>
      </c>
      <c r="GA202" s="15">
        <v>23.35</v>
      </c>
      <c r="GB202" s="15">
        <v>0.45</v>
      </c>
      <c r="GC202" s="15">
        <f>GB202*SQRT(AR202)</f>
        <v>0.77942286340599476</v>
      </c>
      <c r="GD202" s="15">
        <f t="shared" si="197"/>
        <v>2.148114075436983</v>
      </c>
      <c r="GE202" s="15">
        <f t="shared" si="198"/>
        <v>12.480000000000002</v>
      </c>
      <c r="GF202" s="15">
        <f t="shared" si="199"/>
        <v>0.76459028298178833</v>
      </c>
      <c r="GG202" s="15">
        <f>((GC202*GC202)/(AR202*GA202*GA202)+(FZ202*FZ202)/(AR202*FX202*FX202))</f>
        <v>4.0187596566892535E-4</v>
      </c>
      <c r="GI202" s="15">
        <v>5.43</v>
      </c>
      <c r="GJ202" s="15">
        <v>0.1</v>
      </c>
      <c r="GK202" s="15">
        <f>GJ202*SQRT(AR157)</f>
        <v>0.17320508075688773</v>
      </c>
      <c r="GL202" s="15">
        <v>6.42</v>
      </c>
      <c r="GM202" s="15">
        <v>7.0000000000000007E-2</v>
      </c>
      <c r="GN202" s="15">
        <f>GM202*SQRT(AR157)</f>
        <v>0.12124355652982141</v>
      </c>
      <c r="GO202" s="15">
        <f t="shared" si="200"/>
        <v>1.1823204419889504</v>
      </c>
      <c r="GP202" s="15">
        <f t="shared" si="201"/>
        <v>0.99000000000000021</v>
      </c>
      <c r="GQ202" s="15">
        <f t="shared" si="202"/>
        <v>0.16747898375602577</v>
      </c>
      <c r="GR202" s="15">
        <f>((GN202*GN202)/(AR157*GL202*GL202)+(GK202*GK202)/(AR157*GI202*GI202))</f>
        <v>4.5804136885922763E-4</v>
      </c>
      <c r="HE202" s="15">
        <v>2</v>
      </c>
      <c r="HF202" s="15">
        <v>0.02</v>
      </c>
      <c r="HG202" s="15">
        <f>HF202*SQRT(AR202)</f>
        <v>3.4641016151377546E-2</v>
      </c>
      <c r="HH202" s="15">
        <v>2.0499999999999998</v>
      </c>
      <c r="HI202" s="15">
        <v>0.09</v>
      </c>
      <c r="HJ202" s="15">
        <f>HI202*SQRT(AR202)</f>
        <v>0.15588457268119893</v>
      </c>
      <c r="HK202" s="15">
        <f t="shared" si="173"/>
        <v>1.0249999999999999</v>
      </c>
      <c r="HL202" s="15">
        <f t="shared" si="174"/>
        <v>4.9999999999999822E-2</v>
      </c>
      <c r="HM202" s="15">
        <f t="shared" si="175"/>
        <v>2.4692612590371477E-2</v>
      </c>
      <c r="HN202" s="15">
        <f>((HJ202*HJ202)/(AR202*HH202*HH202)+(HG202*HG202)/(AR202*HE202*HE202))</f>
        <v>2.0274241522903031E-3</v>
      </c>
      <c r="HV202" s="15">
        <f t="shared" si="176"/>
        <v>1822.4074036437557</v>
      </c>
      <c r="HW202" s="15">
        <f t="shared" si="177"/>
        <v>2.4692612590371477E-2</v>
      </c>
      <c r="HX202" s="15">
        <f t="shared" si="203"/>
        <v>4500</v>
      </c>
      <c r="HY202" s="15">
        <f t="shared" si="204"/>
        <v>22500</v>
      </c>
      <c r="HZ202" s="15">
        <f t="shared" si="204"/>
        <v>37.5</v>
      </c>
      <c r="IA202" s="15">
        <f t="shared" si="204"/>
        <v>4500</v>
      </c>
    </row>
    <row r="203" spans="1:235" s="15" customFormat="1" x14ac:dyDescent="0.25">
      <c r="A203" s="31">
        <v>201</v>
      </c>
      <c r="B203" s="1">
        <v>32</v>
      </c>
      <c r="C203" s="1">
        <v>34</v>
      </c>
      <c r="D203" s="15" t="s">
        <v>168</v>
      </c>
      <c r="E203" s="1">
        <v>5</v>
      </c>
      <c r="F203" s="15" t="s">
        <v>798</v>
      </c>
      <c r="G203" s="63" t="s">
        <v>893</v>
      </c>
      <c r="H203" s="15" t="s">
        <v>894</v>
      </c>
      <c r="I203" s="1">
        <v>2021</v>
      </c>
      <c r="J203" s="15" t="s">
        <v>895</v>
      </c>
      <c r="K203" s="1"/>
      <c r="L203" s="15" t="s">
        <v>820</v>
      </c>
      <c r="M203" s="15" t="s">
        <v>480</v>
      </c>
      <c r="N203" s="15" t="s">
        <v>23</v>
      </c>
      <c r="O203" s="31">
        <v>2</v>
      </c>
      <c r="P203" s="15">
        <v>26.25</v>
      </c>
      <c r="Q203" s="15">
        <v>116.92</v>
      </c>
      <c r="U203" s="15" t="s">
        <v>807</v>
      </c>
      <c r="V203" s="31">
        <v>2</v>
      </c>
      <c r="W203" s="16"/>
      <c r="Y203" s="1"/>
      <c r="Z203" s="15">
        <v>4.96</v>
      </c>
      <c r="AA203" s="15" t="s">
        <v>574</v>
      </c>
      <c r="AB203" s="15">
        <f t="shared" si="156"/>
        <v>4.96</v>
      </c>
      <c r="AC203" s="1">
        <v>2</v>
      </c>
      <c r="AD203" s="15">
        <v>10.98</v>
      </c>
      <c r="AG203" s="15">
        <v>5.54</v>
      </c>
      <c r="AJ203" s="15">
        <v>18</v>
      </c>
      <c r="AK203" s="15">
        <v>15.5</v>
      </c>
      <c r="AL203" s="15">
        <v>66.5</v>
      </c>
      <c r="AM203" s="1">
        <v>3</v>
      </c>
      <c r="AQ203" s="1"/>
      <c r="AR203" s="1">
        <v>3</v>
      </c>
      <c r="BP203" s="16"/>
      <c r="BQ203" s="16"/>
      <c r="BR203" s="16"/>
      <c r="BU203" s="16"/>
      <c r="DB203" s="15" t="s">
        <v>846</v>
      </c>
      <c r="DE203" s="15">
        <f t="shared" si="194"/>
        <v>22500</v>
      </c>
      <c r="DF203" s="15" t="s">
        <v>766</v>
      </c>
      <c r="DI203" s="15">
        <v>9.58</v>
      </c>
      <c r="DJ203" s="15">
        <v>417</v>
      </c>
      <c r="DK203" s="15">
        <v>17.8</v>
      </c>
      <c r="DR203" s="15">
        <v>186.68</v>
      </c>
      <c r="DS203" s="15">
        <f>DE203</f>
        <v>22500</v>
      </c>
      <c r="DT203" s="15">
        <f t="shared" si="195"/>
        <v>37.5</v>
      </c>
      <c r="DU203" s="15">
        <f t="shared" si="196"/>
        <v>4500</v>
      </c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>
        <f t="shared" si="157"/>
        <v>4.75</v>
      </c>
      <c r="FL203" s="16">
        <f t="shared" si="158"/>
        <v>5.48</v>
      </c>
      <c r="FM203" s="15">
        <v>4.75</v>
      </c>
      <c r="FN203" s="15">
        <v>0.03</v>
      </c>
      <c r="FO203" s="15">
        <f>FN203*SQRT(AR203)</f>
        <v>5.1961524227066312E-2</v>
      </c>
      <c r="FP203" s="15">
        <v>5.48</v>
      </c>
      <c r="FQ203" s="15">
        <v>0.03</v>
      </c>
      <c r="FR203" s="15">
        <f>FQ203*SQRT(AR203)</f>
        <v>5.1961524227066312E-2</v>
      </c>
      <c r="FS203" s="15">
        <f t="shared" si="191"/>
        <v>1.1536842105263159</v>
      </c>
      <c r="FT203" s="15">
        <f t="shared" si="192"/>
        <v>0.73000000000000043</v>
      </c>
      <c r="FU203" s="15">
        <f t="shared" si="193"/>
        <v>0.14296048291337438</v>
      </c>
      <c r="FV203" s="15">
        <f>((FR203*FR203)/(AR203*FP203*FP203)+(FO203*FO203)/(AR203*FM203*FM203))</f>
        <v>6.985882745004912E-5</v>
      </c>
      <c r="FX203" s="15">
        <v>10.87</v>
      </c>
      <c r="FY203" s="15">
        <v>0.06</v>
      </c>
      <c r="FZ203" s="15">
        <f>FY203*SQRT(AR203)</f>
        <v>0.10392304845413262</v>
      </c>
      <c r="GA203" s="15">
        <v>20.67</v>
      </c>
      <c r="GB203" s="15">
        <v>0.68</v>
      </c>
      <c r="GC203" s="15">
        <f>GB203*SQRT(AR203)</f>
        <v>1.1777945491468367</v>
      </c>
      <c r="GD203" s="15">
        <f t="shared" si="197"/>
        <v>1.9015639374425026</v>
      </c>
      <c r="GE203" s="15">
        <f t="shared" si="198"/>
        <v>9.8000000000000025</v>
      </c>
      <c r="GF203" s="15">
        <f t="shared" si="199"/>
        <v>0.64267667256055905</v>
      </c>
      <c r="GG203" s="15">
        <f>((GC203*GC203)/(AR203*GA203*GA203)+(FZ203*FZ203)/(AR203*FX203*FX203))</f>
        <v>1.1127410824684502E-3</v>
      </c>
      <c r="GI203" s="15">
        <v>5.43</v>
      </c>
      <c r="GJ203" s="15">
        <v>0.1</v>
      </c>
      <c r="GK203" s="15">
        <f>GJ203*SQRT(AR158)</f>
        <v>0.17320508075688773</v>
      </c>
      <c r="GL203" s="15">
        <v>6.48</v>
      </c>
      <c r="GM203" s="15">
        <v>0.16</v>
      </c>
      <c r="GN203" s="15">
        <f>GM203*SQRT(AR158)</f>
        <v>0.27712812921102037</v>
      </c>
      <c r="GO203" s="15">
        <f t="shared" si="200"/>
        <v>1.1933701657458564</v>
      </c>
      <c r="GP203" s="15">
        <f t="shared" si="201"/>
        <v>1.0500000000000007</v>
      </c>
      <c r="GQ203" s="15">
        <f t="shared" si="202"/>
        <v>0.17678137641833924</v>
      </c>
      <c r="GR203" s="15">
        <f>((GN203*GN203)/(AR158*GL203*GL203)+(GK203*GK203)/(AR158*GI203*GI203))</f>
        <v>9.488198141699752E-4</v>
      </c>
      <c r="HE203" s="15">
        <v>2</v>
      </c>
      <c r="HF203" s="15">
        <v>0.02</v>
      </c>
      <c r="HG203" s="15">
        <f>HF203*SQRT(AR203)</f>
        <v>3.4641016151377546E-2</v>
      </c>
      <c r="HH203" s="15">
        <v>2.2000000000000002</v>
      </c>
      <c r="HI203" s="15">
        <v>0.08</v>
      </c>
      <c r="HJ203" s="15">
        <f>HI203*SQRT(AR203)</f>
        <v>0.13856406460551018</v>
      </c>
      <c r="HK203" s="15">
        <f t="shared" si="173"/>
        <v>1.1000000000000001</v>
      </c>
      <c r="HL203" s="15">
        <f t="shared" si="174"/>
        <v>0.20000000000000018</v>
      </c>
      <c r="HM203" s="15">
        <f t="shared" si="175"/>
        <v>9.531017980432499E-2</v>
      </c>
      <c r="HN203" s="15">
        <f>((HJ203*HJ203)/(AR203*HH203*HH203)+(HG203*HG203)/(AR203*HE203*HE203))</f>
        <v>1.4223140495867768E-3</v>
      </c>
      <c r="HV203" s="15">
        <f t="shared" si="176"/>
        <v>472.14264092656748</v>
      </c>
      <c r="HW203" s="15">
        <f t="shared" si="177"/>
        <v>9.531017980432499E-2</v>
      </c>
      <c r="HX203" s="15">
        <f t="shared" si="203"/>
        <v>4500</v>
      </c>
      <c r="HY203" s="15">
        <f t="shared" si="204"/>
        <v>22500</v>
      </c>
      <c r="HZ203" s="15">
        <f t="shared" si="204"/>
        <v>37.5</v>
      </c>
      <c r="IA203" s="15">
        <f t="shared" si="204"/>
        <v>4500</v>
      </c>
    </row>
    <row r="204" spans="1:235" s="15" customFormat="1" x14ac:dyDescent="0.25">
      <c r="A204" s="31">
        <v>202</v>
      </c>
      <c r="B204" s="1">
        <v>33</v>
      </c>
      <c r="C204" s="1">
        <v>35</v>
      </c>
      <c r="D204" s="15" t="s">
        <v>169</v>
      </c>
      <c r="E204" s="1">
        <v>1</v>
      </c>
      <c r="F204" s="15" t="s">
        <v>761</v>
      </c>
      <c r="G204" s="63" t="s">
        <v>898</v>
      </c>
      <c r="H204" s="63" t="s">
        <v>899</v>
      </c>
      <c r="I204" s="1">
        <v>2007</v>
      </c>
      <c r="J204" s="15" t="s">
        <v>900</v>
      </c>
      <c r="K204" s="1"/>
      <c r="L204" s="15" t="s">
        <v>901</v>
      </c>
      <c r="M204" s="15" t="s">
        <v>902</v>
      </c>
      <c r="N204" s="15" t="s">
        <v>15</v>
      </c>
      <c r="O204" s="31">
        <v>2</v>
      </c>
      <c r="P204" s="15">
        <v>54.46</v>
      </c>
      <c r="Q204" s="15">
        <v>6.05</v>
      </c>
      <c r="U204" s="15" t="s">
        <v>807</v>
      </c>
      <c r="V204" s="31">
        <v>2</v>
      </c>
      <c r="W204" s="16"/>
      <c r="Y204" s="1"/>
      <c r="Z204" s="15">
        <v>5.3</v>
      </c>
      <c r="AA204" s="15" t="s">
        <v>574</v>
      </c>
      <c r="AB204" s="15">
        <f t="shared" si="156"/>
        <v>5.3</v>
      </c>
      <c r="AC204" s="1">
        <v>3</v>
      </c>
      <c r="AF204" s="15">
        <v>12.81</v>
      </c>
      <c r="AJ204" s="15">
        <v>10.5</v>
      </c>
      <c r="AK204" s="15">
        <v>10.199999999999999</v>
      </c>
      <c r="AL204" s="15">
        <v>78.3</v>
      </c>
      <c r="AM204" s="1">
        <v>3</v>
      </c>
      <c r="AQ204" s="1"/>
      <c r="AR204" s="1">
        <v>6</v>
      </c>
      <c r="AT204" s="15" t="s">
        <v>886</v>
      </c>
      <c r="AW204" s="15">
        <v>2.33</v>
      </c>
      <c r="AX204" s="15">
        <f>AW204*2250</f>
        <v>5242.5</v>
      </c>
      <c r="AY204" s="15" t="s">
        <v>766</v>
      </c>
      <c r="AZ204" s="15">
        <f t="shared" ref="AZ204:AZ210" si="205">AX204</f>
        <v>5242.5</v>
      </c>
      <c r="BA204" s="15">
        <f t="shared" ref="BA204:BA210" si="206">AZ204/2.93/1000</f>
        <v>1.789249146757679</v>
      </c>
      <c r="BB204" s="15">
        <f t="shared" ref="BB204:BB210" si="207">AZ204*0.6</f>
        <v>3145.5</v>
      </c>
      <c r="BP204" s="16"/>
      <c r="BQ204" s="16"/>
      <c r="BR204" s="16"/>
      <c r="BU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>
        <f t="shared" si="157"/>
        <v>4.72</v>
      </c>
      <c r="FL204" s="16">
        <f t="shared" si="158"/>
        <v>6.82</v>
      </c>
      <c r="FM204" s="15">
        <v>4.72</v>
      </c>
      <c r="FN204" s="15">
        <v>0.04</v>
      </c>
      <c r="FO204" s="15">
        <f>FN204*SQRT(AR204)</f>
        <v>9.7979589711327114E-2</v>
      </c>
      <c r="FP204" s="15">
        <v>6.82</v>
      </c>
      <c r="FQ204" s="15">
        <v>0.05</v>
      </c>
      <c r="FR204" s="15">
        <f>FQ204*SQRT(AR204)</f>
        <v>0.1224744871391589</v>
      </c>
      <c r="FS204" s="15">
        <f t="shared" si="191"/>
        <v>1.4449152542372883</v>
      </c>
      <c r="FT204" s="15">
        <f t="shared" si="192"/>
        <v>2.1000000000000005</v>
      </c>
      <c r="FU204" s="15">
        <f t="shared" si="193"/>
        <v>0.36805067225790689</v>
      </c>
      <c r="FV204" s="15">
        <f>((FR204*FR204)/(AR204*FP204*FP204)+(FO204*FO204)/(AR204*FM204*FM204))</f>
        <v>1.2556755074096736E-4</v>
      </c>
      <c r="HY204" s="15">
        <f>AZ204</f>
        <v>5242.5</v>
      </c>
      <c r="HZ204" s="15">
        <f>BA204</f>
        <v>1.789249146757679</v>
      </c>
      <c r="IA204" s="15">
        <f>BB204</f>
        <v>3145.5</v>
      </c>
    </row>
    <row r="205" spans="1:235" s="15" customFormat="1" x14ac:dyDescent="0.25">
      <c r="A205" s="31">
        <v>203</v>
      </c>
      <c r="B205" s="1">
        <v>33</v>
      </c>
      <c r="C205" s="1">
        <v>35</v>
      </c>
      <c r="D205" s="15" t="s">
        <v>170</v>
      </c>
      <c r="E205" s="1">
        <v>1</v>
      </c>
      <c r="F205" s="15" t="s">
        <v>761</v>
      </c>
      <c r="G205" s="63" t="s">
        <v>898</v>
      </c>
      <c r="H205" s="63" t="s">
        <v>899</v>
      </c>
      <c r="I205" s="1">
        <v>2007</v>
      </c>
      <c r="J205" s="15" t="s">
        <v>900</v>
      </c>
      <c r="K205" s="1"/>
      <c r="L205" s="15" t="s">
        <v>901</v>
      </c>
      <c r="M205" s="15" t="s">
        <v>902</v>
      </c>
      <c r="N205" s="15" t="s">
        <v>15</v>
      </c>
      <c r="O205" s="31">
        <v>3</v>
      </c>
      <c r="P205" s="15">
        <v>54.46</v>
      </c>
      <c r="Q205" s="15">
        <v>6.05</v>
      </c>
      <c r="U205" s="15" t="s">
        <v>807</v>
      </c>
      <c r="V205" s="31">
        <v>2</v>
      </c>
      <c r="W205" s="16"/>
      <c r="Y205" s="1"/>
      <c r="Z205" s="15">
        <v>5.3</v>
      </c>
      <c r="AA205" s="15" t="s">
        <v>574</v>
      </c>
      <c r="AB205" s="15">
        <f t="shared" si="156"/>
        <v>5.3</v>
      </c>
      <c r="AC205" s="1">
        <v>3</v>
      </c>
      <c r="AF205" s="15">
        <v>12.81</v>
      </c>
      <c r="AJ205" s="15">
        <v>10.5</v>
      </c>
      <c r="AK205" s="15">
        <v>10.199999999999999</v>
      </c>
      <c r="AL205" s="15">
        <v>78.3</v>
      </c>
      <c r="AM205" s="1">
        <v>3</v>
      </c>
      <c r="AQ205" s="1"/>
      <c r="AR205" s="1">
        <v>6</v>
      </c>
      <c r="AT205" s="15" t="s">
        <v>886</v>
      </c>
      <c r="AW205" s="15">
        <v>4.72</v>
      </c>
      <c r="AX205" s="15">
        <f>AW205*2250</f>
        <v>10620</v>
      </c>
      <c r="AY205" s="15" t="s">
        <v>766</v>
      </c>
      <c r="AZ205" s="15">
        <f t="shared" si="205"/>
        <v>10620</v>
      </c>
      <c r="BA205" s="15">
        <f t="shared" si="206"/>
        <v>3.6245733788395902</v>
      </c>
      <c r="BB205" s="15">
        <f t="shared" si="207"/>
        <v>6372</v>
      </c>
      <c r="BP205" s="16"/>
      <c r="BQ205" s="16"/>
      <c r="BR205" s="16"/>
      <c r="BU205" s="16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>
        <f t="shared" si="157"/>
        <v>4.72</v>
      </c>
      <c r="FL205" s="16">
        <f t="shared" si="158"/>
        <v>7.5</v>
      </c>
      <c r="FM205" s="15">
        <v>4.72</v>
      </c>
      <c r="FN205" s="15">
        <v>0.04</v>
      </c>
      <c r="FO205" s="15">
        <f>FN205*SQRT(AR205)</f>
        <v>9.7979589711327114E-2</v>
      </c>
      <c r="FP205" s="15">
        <v>7.5</v>
      </c>
      <c r="FQ205" s="15">
        <v>0.05</v>
      </c>
      <c r="FR205" s="15">
        <f>FQ205*SQRT(AR205)</f>
        <v>0.1224744871391589</v>
      </c>
      <c r="FS205" s="15">
        <f t="shared" si="191"/>
        <v>1.5889830508474576</v>
      </c>
      <c r="FT205" s="15">
        <f t="shared" si="192"/>
        <v>2.7800000000000002</v>
      </c>
      <c r="FU205" s="15">
        <f t="shared" si="193"/>
        <v>0.46309422094480079</v>
      </c>
      <c r="FV205" s="15">
        <f>((FR205*FR205)/(AR205*FP205*FP205)+(FO205*FO205)/(AR205*FM205*FM205))</f>
        <v>1.1626288742060069E-4</v>
      </c>
      <c r="HY205" s="15">
        <f>AZ205</f>
        <v>10620</v>
      </c>
      <c r="HZ205" s="15">
        <f>BA205</f>
        <v>3.6245733788395902</v>
      </c>
      <c r="IA205" s="15">
        <f>BB205</f>
        <v>6372</v>
      </c>
    </row>
    <row r="206" spans="1:235" s="15" customFormat="1" x14ac:dyDescent="0.25">
      <c r="A206" s="31">
        <v>204</v>
      </c>
      <c r="B206" s="1">
        <v>34</v>
      </c>
      <c r="C206" s="1">
        <v>36</v>
      </c>
      <c r="D206" s="15" t="s">
        <v>171</v>
      </c>
      <c r="E206" s="1">
        <v>1</v>
      </c>
      <c r="F206" s="15" t="s">
        <v>761</v>
      </c>
      <c r="G206" s="15" t="s">
        <v>903</v>
      </c>
      <c r="H206" s="15" t="s">
        <v>904</v>
      </c>
      <c r="I206" s="1">
        <v>2016</v>
      </c>
      <c r="J206" s="15" t="s">
        <v>133</v>
      </c>
      <c r="K206" s="1">
        <v>2015</v>
      </c>
      <c r="L206" s="15" t="s">
        <v>905</v>
      </c>
      <c r="M206" s="15" t="s">
        <v>73</v>
      </c>
      <c r="N206" s="15" t="s">
        <v>23</v>
      </c>
      <c r="O206" s="31">
        <v>2</v>
      </c>
      <c r="P206" s="15">
        <v>30.27</v>
      </c>
      <c r="Q206" s="15">
        <v>109.49</v>
      </c>
      <c r="U206" s="15" t="s">
        <v>807</v>
      </c>
      <c r="V206" s="31">
        <v>2</v>
      </c>
      <c r="W206" s="16" t="s">
        <v>1169</v>
      </c>
      <c r="X206" s="15" t="s">
        <v>906</v>
      </c>
      <c r="Y206" s="61">
        <v>11</v>
      </c>
      <c r="Z206" s="15">
        <v>3.9</v>
      </c>
      <c r="AA206" s="15" t="s">
        <v>574</v>
      </c>
      <c r="AB206" s="15">
        <f t="shared" si="156"/>
        <v>3.9</v>
      </c>
      <c r="AC206" s="1">
        <v>1</v>
      </c>
      <c r="AM206" s="1">
        <v>3</v>
      </c>
      <c r="AQ206" s="1"/>
      <c r="AR206" s="1">
        <v>3</v>
      </c>
      <c r="AS206" s="15">
        <v>12.27</v>
      </c>
      <c r="AT206" s="15" t="s">
        <v>545</v>
      </c>
      <c r="AU206" s="15">
        <v>98</v>
      </c>
      <c r="AW206" s="15">
        <v>0.3</v>
      </c>
      <c r="AX206" s="15">
        <f>AW206*1.78*2250</f>
        <v>1201.5</v>
      </c>
      <c r="AY206" s="15" t="s">
        <v>766</v>
      </c>
      <c r="AZ206" s="15">
        <f t="shared" si="205"/>
        <v>1201.5</v>
      </c>
      <c r="BA206" s="15">
        <f t="shared" si="206"/>
        <v>0.41006825938566549</v>
      </c>
      <c r="BB206" s="15">
        <f t="shared" si="207"/>
        <v>720.9</v>
      </c>
      <c r="BP206" s="16"/>
      <c r="BQ206" s="16"/>
      <c r="BR206" s="16"/>
      <c r="BU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>
        <f t="shared" si="157"/>
        <v>4.21</v>
      </c>
      <c r="FL206" s="16">
        <f t="shared" si="158"/>
        <v>4.33</v>
      </c>
      <c r="FM206" s="15">
        <v>4.21</v>
      </c>
      <c r="FN206" s="15">
        <v>0.09</v>
      </c>
      <c r="FO206" s="15">
        <f>FN206*SQRT(AR206)</f>
        <v>0.15588457268119893</v>
      </c>
      <c r="FP206" s="15">
        <v>4.33</v>
      </c>
      <c r="FQ206" s="15">
        <v>0.09</v>
      </c>
      <c r="FR206" s="15">
        <f>FQ206*SQRT(AR206)</f>
        <v>0.15588457268119893</v>
      </c>
      <c r="FS206" s="15">
        <f t="shared" si="191"/>
        <v>1.0285035629453683</v>
      </c>
      <c r="FT206" s="15">
        <f t="shared" si="192"/>
        <v>0.12000000000000011</v>
      </c>
      <c r="FU206" s="15">
        <f t="shared" si="193"/>
        <v>2.8104894320108542E-2</v>
      </c>
      <c r="FV206" s="15">
        <f>((FR206*FR206)/(AR206*FP206*FP206)+(FO206*FO206)/(AR206*FM206*FM206))</f>
        <v>8.890302145635031E-4</v>
      </c>
      <c r="HE206" s="15">
        <v>13.79</v>
      </c>
      <c r="HF206" s="15">
        <f t="shared" ref="HF206:HF214" si="208">HE206*0.05</f>
        <v>0.6895</v>
      </c>
      <c r="HG206" s="15">
        <f>HF206*SQRT(AR166)</f>
        <v>1.1942490318187409</v>
      </c>
      <c r="HH206" s="15">
        <v>17.66</v>
      </c>
      <c r="HI206" s="15">
        <f t="shared" ref="HI206:HI214" si="209">HH206*0.05</f>
        <v>0.88300000000000001</v>
      </c>
      <c r="HJ206" s="15">
        <f>HI206*SQRT(AR206)</f>
        <v>1.5294008630833187</v>
      </c>
      <c r="HK206" s="15">
        <f t="shared" ref="HK206:HK214" si="210">HH206/HE206</f>
        <v>1.2806381435823062</v>
      </c>
      <c r="HL206" s="15">
        <f t="shared" ref="HL206:HL214" si="211">HH206-HE206</f>
        <v>3.870000000000001</v>
      </c>
      <c r="HM206" s="15">
        <f t="shared" ref="HM206:HM214" si="212">LN(HH206)-LN(HE206)</f>
        <v>0.24735850337060317</v>
      </c>
      <c r="HN206" s="15">
        <f>((HJ206*HJ206)/(AR166*HH206*HH206)+(HG206*HG206)/(AR166*HE206*HE206))</f>
        <v>5.0000000000000001E-3</v>
      </c>
      <c r="HP206" s="15" t="s">
        <v>907</v>
      </c>
      <c r="HV206" s="15">
        <f t="shared" ref="HV206:HV214" si="213">HX206/HW206/100</f>
        <v>29.143934418131426</v>
      </c>
      <c r="HW206" s="15">
        <f t="shared" ref="HW206:HW214" si="214">HM206</f>
        <v>0.24735850337060317</v>
      </c>
      <c r="HX206" s="15">
        <f>BB206</f>
        <v>720.9</v>
      </c>
      <c r="HY206" s="15">
        <f>AZ206</f>
        <v>1201.5</v>
      </c>
      <c r="HZ206" s="15">
        <f>BA206</f>
        <v>0.41006825938566549</v>
      </c>
      <c r="IA206" s="15">
        <f>BB206</f>
        <v>720.9</v>
      </c>
    </row>
    <row r="207" spans="1:235" s="15" customFormat="1" x14ac:dyDescent="0.25">
      <c r="A207" s="31">
        <v>205</v>
      </c>
      <c r="B207" s="1">
        <v>34</v>
      </c>
      <c r="C207" s="1">
        <v>36</v>
      </c>
      <c r="D207" s="15" t="s">
        <v>172</v>
      </c>
      <c r="E207" s="1">
        <v>1</v>
      </c>
      <c r="F207" s="15" t="s">
        <v>761</v>
      </c>
      <c r="G207" s="15" t="s">
        <v>903</v>
      </c>
      <c r="H207" s="15" t="s">
        <v>904</v>
      </c>
      <c r="I207" s="1">
        <v>2016</v>
      </c>
      <c r="J207" s="15" t="s">
        <v>133</v>
      </c>
      <c r="K207" s="1">
        <v>2015</v>
      </c>
      <c r="L207" s="15" t="s">
        <v>905</v>
      </c>
      <c r="M207" s="15" t="s">
        <v>480</v>
      </c>
      <c r="N207" s="15" t="s">
        <v>23</v>
      </c>
      <c r="O207" s="31">
        <v>2</v>
      </c>
      <c r="P207" s="15">
        <v>30.27</v>
      </c>
      <c r="Q207" s="15">
        <v>109.49</v>
      </c>
      <c r="U207" s="15" t="s">
        <v>807</v>
      </c>
      <c r="V207" s="31">
        <v>2</v>
      </c>
      <c r="W207" s="16" t="s">
        <v>1169</v>
      </c>
      <c r="X207" s="15" t="s">
        <v>906</v>
      </c>
      <c r="Y207" s="61">
        <v>11</v>
      </c>
      <c r="Z207" s="15">
        <v>3.9</v>
      </c>
      <c r="AA207" s="15" t="s">
        <v>574</v>
      </c>
      <c r="AB207" s="15">
        <f t="shared" si="156"/>
        <v>3.9</v>
      </c>
      <c r="AC207" s="1">
        <v>1</v>
      </c>
      <c r="AM207" s="1">
        <v>3</v>
      </c>
      <c r="AQ207" s="1"/>
      <c r="AR207" s="1">
        <v>3</v>
      </c>
      <c r="AS207" s="15">
        <v>12.27</v>
      </c>
      <c r="AT207" s="15" t="s">
        <v>545</v>
      </c>
      <c r="AU207" s="15">
        <v>98</v>
      </c>
      <c r="AW207" s="15">
        <v>0.9</v>
      </c>
      <c r="AX207" s="15">
        <f>AW207*1.78*2250</f>
        <v>3604.5</v>
      </c>
      <c r="AY207" s="15" t="s">
        <v>766</v>
      </c>
      <c r="AZ207" s="15">
        <f t="shared" si="205"/>
        <v>3604.5</v>
      </c>
      <c r="BA207" s="15">
        <f t="shared" si="206"/>
        <v>1.2302047781569965</v>
      </c>
      <c r="BB207" s="15">
        <f t="shared" si="207"/>
        <v>2162.6999999999998</v>
      </c>
      <c r="BP207" s="16"/>
      <c r="BQ207" s="16"/>
      <c r="BR207" s="16"/>
      <c r="BU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>
        <f t="shared" si="157"/>
        <v>4.21</v>
      </c>
      <c r="FL207" s="16">
        <f t="shared" si="158"/>
        <v>4.41</v>
      </c>
      <c r="FM207" s="15">
        <v>4.21</v>
      </c>
      <c r="FN207" s="15">
        <v>0.09</v>
      </c>
      <c r="FO207" s="15">
        <f>FN207*SQRT(AR207)</f>
        <v>0.15588457268119893</v>
      </c>
      <c r="FP207" s="15">
        <v>4.41</v>
      </c>
      <c r="FQ207" s="15">
        <v>0.09</v>
      </c>
      <c r="FR207" s="15">
        <f>FQ207*SQRT(AR207)</f>
        <v>0.15588457268119893</v>
      </c>
      <c r="FS207" s="15">
        <f t="shared" si="191"/>
        <v>1.0475059382422802</v>
      </c>
      <c r="FT207" s="15">
        <f t="shared" si="192"/>
        <v>0.20000000000000018</v>
      </c>
      <c r="FU207" s="15">
        <f t="shared" si="193"/>
        <v>4.6412041764464673E-2</v>
      </c>
      <c r="FV207" s="15">
        <f>((FR207*FR207)/(AR207*FP207*FP207)+(FO207*FO207)/(AR207*FM207*FM207))</f>
        <v>8.7349799693995809E-4</v>
      </c>
      <c r="HE207" s="15">
        <v>13.79</v>
      </c>
      <c r="HF207" s="15">
        <f t="shared" si="208"/>
        <v>0.6895</v>
      </c>
      <c r="HG207" s="15">
        <f>HF207*SQRT(AR167)</f>
        <v>1.1942490318187409</v>
      </c>
      <c r="HH207" s="15">
        <v>21.07</v>
      </c>
      <c r="HI207" s="15">
        <f t="shared" si="209"/>
        <v>1.0535000000000001</v>
      </c>
      <c r="HJ207" s="15">
        <f>HI207*SQRT(AR207)</f>
        <v>1.8247155257738124</v>
      </c>
      <c r="HK207" s="15">
        <f t="shared" si="210"/>
        <v>1.5279187817258884</v>
      </c>
      <c r="HL207" s="15">
        <f t="shared" si="211"/>
        <v>7.2800000000000011</v>
      </c>
      <c r="HM207" s="15">
        <f t="shared" si="212"/>
        <v>0.4239065360108869</v>
      </c>
      <c r="HN207" s="15">
        <f>((HJ207*HJ207)/(AR167*HH207*HH207)+(HG207*HG207)/(AR167*HE207*HE207))</f>
        <v>5.000000000000001E-3</v>
      </c>
      <c r="HP207" s="15" t="s">
        <v>907</v>
      </c>
      <c r="HV207" s="15">
        <f t="shared" si="213"/>
        <v>51.018321641175561</v>
      </c>
      <c r="HW207" s="15">
        <f t="shared" si="214"/>
        <v>0.4239065360108869</v>
      </c>
      <c r="HX207" s="15">
        <f>BB207</f>
        <v>2162.6999999999998</v>
      </c>
      <c r="HY207" s="15">
        <f>AZ207</f>
        <v>3604.5</v>
      </c>
      <c r="HZ207" s="15">
        <f>BA207</f>
        <v>1.2302047781569965</v>
      </c>
      <c r="IA207" s="15">
        <f>BB207</f>
        <v>2162.6999999999998</v>
      </c>
    </row>
    <row r="208" spans="1:235" s="15" customFormat="1" x14ac:dyDescent="0.25">
      <c r="A208" s="31">
        <v>206</v>
      </c>
      <c r="B208" s="1">
        <v>34</v>
      </c>
      <c r="C208" s="1">
        <v>36</v>
      </c>
      <c r="D208" s="15" t="s">
        <v>173</v>
      </c>
      <c r="E208" s="1">
        <v>1</v>
      </c>
      <c r="F208" s="15" t="s">
        <v>761</v>
      </c>
      <c r="G208" s="15" t="s">
        <v>903</v>
      </c>
      <c r="H208" s="15" t="s">
        <v>904</v>
      </c>
      <c r="I208" s="1">
        <v>2016</v>
      </c>
      <c r="J208" s="15" t="s">
        <v>133</v>
      </c>
      <c r="K208" s="1">
        <v>2015</v>
      </c>
      <c r="L208" s="15" t="s">
        <v>905</v>
      </c>
      <c r="M208" s="15" t="s">
        <v>480</v>
      </c>
      <c r="N208" s="15" t="s">
        <v>23</v>
      </c>
      <c r="O208" s="31">
        <v>2</v>
      </c>
      <c r="P208" s="15">
        <v>30.27</v>
      </c>
      <c r="Q208" s="15">
        <v>109.49</v>
      </c>
      <c r="U208" s="15" t="s">
        <v>807</v>
      </c>
      <c r="V208" s="31">
        <v>2</v>
      </c>
      <c r="W208" s="16" t="s">
        <v>1169</v>
      </c>
      <c r="X208" s="15" t="s">
        <v>906</v>
      </c>
      <c r="Y208" s="61">
        <v>11</v>
      </c>
      <c r="Z208" s="15">
        <v>3.9</v>
      </c>
      <c r="AA208" s="15" t="s">
        <v>574</v>
      </c>
      <c r="AB208" s="15">
        <f t="shared" si="156"/>
        <v>3.9</v>
      </c>
      <c r="AC208" s="1">
        <v>1</v>
      </c>
      <c r="AM208" s="1">
        <v>3</v>
      </c>
      <c r="AQ208" s="1"/>
      <c r="AR208" s="1">
        <v>3</v>
      </c>
      <c r="AS208" s="15">
        <v>12.27</v>
      </c>
      <c r="AT208" s="15" t="s">
        <v>545</v>
      </c>
      <c r="AU208" s="15">
        <v>98</v>
      </c>
      <c r="AW208" s="15">
        <v>1.8</v>
      </c>
      <c r="AX208" s="15">
        <f>AW208*1.78*2250</f>
        <v>7209</v>
      </c>
      <c r="AY208" s="15" t="s">
        <v>766</v>
      </c>
      <c r="AZ208" s="15">
        <f t="shared" si="205"/>
        <v>7209</v>
      </c>
      <c r="BA208" s="15">
        <f t="shared" si="206"/>
        <v>2.4604095563139929</v>
      </c>
      <c r="BB208" s="15">
        <f t="shared" si="207"/>
        <v>4325.3999999999996</v>
      </c>
      <c r="BP208" s="16"/>
      <c r="BQ208" s="16"/>
      <c r="BR208" s="16"/>
      <c r="BU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>
        <f t="shared" si="157"/>
        <v>4.21</v>
      </c>
      <c r="FL208" s="16">
        <f t="shared" si="158"/>
        <v>4.97</v>
      </c>
      <c r="FM208" s="15">
        <v>4.21</v>
      </c>
      <c r="FN208" s="15">
        <v>0.09</v>
      </c>
      <c r="FO208" s="15">
        <f>FN208*SQRT(AR208)</f>
        <v>0.15588457268119893</v>
      </c>
      <c r="FP208" s="15">
        <v>4.97</v>
      </c>
      <c r="FQ208" s="15">
        <v>0.09</v>
      </c>
      <c r="FR208" s="15">
        <f>FQ208*SQRT(AR208)</f>
        <v>0.15588457268119893</v>
      </c>
      <c r="FS208" s="15">
        <f t="shared" si="191"/>
        <v>1.180522565320665</v>
      </c>
      <c r="FT208" s="15">
        <f t="shared" si="192"/>
        <v>0.75999999999999979</v>
      </c>
      <c r="FU208" s="15">
        <f t="shared" si="193"/>
        <v>0.16595719241424733</v>
      </c>
      <c r="FV208" s="15">
        <f>((FR208*FR208)/(AR208*FP208*FP208)+(FO208*FO208)/(AR208*FM208*FM208))</f>
        <v>7.8492814312731095E-4</v>
      </c>
      <c r="HE208" s="15">
        <v>13.79</v>
      </c>
      <c r="HF208" s="15">
        <f t="shared" si="208"/>
        <v>0.6895</v>
      </c>
      <c r="HG208" s="15">
        <f>HF208*SQRT(AR168)</f>
        <v>1.1942490318187409</v>
      </c>
      <c r="HH208" s="15">
        <v>32.17</v>
      </c>
      <c r="HI208" s="15">
        <f t="shared" si="209"/>
        <v>1.6085000000000003</v>
      </c>
      <c r="HJ208" s="15">
        <f>HI208*SQRT(AR208)</f>
        <v>2.7860037239745394</v>
      </c>
      <c r="HK208" s="15">
        <f t="shared" si="210"/>
        <v>2.3328498912255262</v>
      </c>
      <c r="HL208" s="15">
        <f t="shared" si="211"/>
        <v>18.380000000000003</v>
      </c>
      <c r="HM208" s="15">
        <f t="shared" si="212"/>
        <v>0.84709064944572443</v>
      </c>
      <c r="HN208" s="15">
        <f>((HJ208*HJ208)/(AR168*HH208*HH208)+(HG208*HG208)/(AR168*HE208*HE208))</f>
        <v>5.000000000000001E-3</v>
      </c>
      <c r="HP208" s="15" t="s">
        <v>907</v>
      </c>
      <c r="HV208" s="15">
        <f t="shared" si="213"/>
        <v>51.061831491472986</v>
      </c>
      <c r="HW208" s="15">
        <f t="shared" si="214"/>
        <v>0.84709064944572443</v>
      </c>
      <c r="HX208" s="15">
        <f>BB208</f>
        <v>4325.3999999999996</v>
      </c>
      <c r="HY208" s="15">
        <f>AZ208</f>
        <v>7209</v>
      </c>
      <c r="HZ208" s="15">
        <f>BA208</f>
        <v>2.4604095563139929</v>
      </c>
      <c r="IA208" s="15">
        <f>BB208</f>
        <v>4325.3999999999996</v>
      </c>
    </row>
    <row r="209" spans="1:235" s="15" customFormat="1" x14ac:dyDescent="0.25">
      <c r="A209" s="31">
        <v>207</v>
      </c>
      <c r="B209" s="1">
        <v>34</v>
      </c>
      <c r="C209" s="1">
        <v>36</v>
      </c>
      <c r="D209" s="15" t="s">
        <v>174</v>
      </c>
      <c r="E209" s="1">
        <v>1</v>
      </c>
      <c r="F209" s="15" t="s">
        <v>761</v>
      </c>
      <c r="G209" s="15" t="s">
        <v>903</v>
      </c>
      <c r="H209" s="15" t="s">
        <v>904</v>
      </c>
      <c r="I209" s="1">
        <v>2016</v>
      </c>
      <c r="J209" s="15" t="s">
        <v>133</v>
      </c>
      <c r="K209" s="1">
        <v>2015</v>
      </c>
      <c r="L209" s="15" t="s">
        <v>905</v>
      </c>
      <c r="M209" s="15" t="s">
        <v>480</v>
      </c>
      <c r="N209" s="15" t="s">
        <v>23</v>
      </c>
      <c r="O209" s="31">
        <v>2</v>
      </c>
      <c r="P209" s="15">
        <v>30.27</v>
      </c>
      <c r="Q209" s="15">
        <v>109.49</v>
      </c>
      <c r="U209" s="15" t="s">
        <v>807</v>
      </c>
      <c r="V209" s="31">
        <v>2</v>
      </c>
      <c r="W209" s="16" t="s">
        <v>1169</v>
      </c>
      <c r="X209" s="15" t="s">
        <v>906</v>
      </c>
      <c r="Y209" s="61">
        <v>11</v>
      </c>
      <c r="Z209" s="15">
        <v>3.9</v>
      </c>
      <c r="AA209" s="15" t="s">
        <v>574</v>
      </c>
      <c r="AB209" s="15">
        <f t="shared" si="156"/>
        <v>3.9</v>
      </c>
      <c r="AC209" s="1">
        <v>1</v>
      </c>
      <c r="AM209" s="1">
        <v>3</v>
      </c>
      <c r="AQ209" s="1"/>
      <c r="AR209" s="1">
        <v>3</v>
      </c>
      <c r="AS209" s="15">
        <v>12.27</v>
      </c>
      <c r="AT209" s="15" t="s">
        <v>545</v>
      </c>
      <c r="AU209" s="15">
        <v>98</v>
      </c>
      <c r="AW209" s="15">
        <v>2.4</v>
      </c>
      <c r="AX209" s="15">
        <f>AW209*1.78*2250</f>
        <v>9612</v>
      </c>
      <c r="AY209" s="15" t="s">
        <v>766</v>
      </c>
      <c r="AZ209" s="15">
        <f t="shared" si="205"/>
        <v>9612</v>
      </c>
      <c r="BA209" s="15">
        <f t="shared" si="206"/>
        <v>3.2805460750853239</v>
      </c>
      <c r="BB209" s="15">
        <f t="shared" si="207"/>
        <v>5767.2</v>
      </c>
      <c r="BP209" s="16"/>
      <c r="BQ209" s="16"/>
      <c r="BR209" s="16"/>
      <c r="BU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>
        <f t="shared" si="157"/>
        <v>4.21</v>
      </c>
      <c r="FL209" s="16">
        <f t="shared" si="158"/>
        <v>5.39</v>
      </c>
      <c r="FM209" s="15">
        <v>4.21</v>
      </c>
      <c r="FN209" s="15">
        <v>0.09</v>
      </c>
      <c r="FO209" s="15">
        <f>FN209*SQRT(AR209)</f>
        <v>0.15588457268119893</v>
      </c>
      <c r="FP209" s="15">
        <v>5.39</v>
      </c>
      <c r="FQ209" s="15">
        <v>0.09</v>
      </c>
      <c r="FR209" s="15">
        <f>FQ209*SQRT(AR209)</f>
        <v>0.15588457268119893</v>
      </c>
      <c r="FS209" s="15">
        <f t="shared" si="191"/>
        <v>1.2802850356294537</v>
      </c>
      <c r="FT209" s="15">
        <f t="shared" si="192"/>
        <v>1.1799999999999997</v>
      </c>
      <c r="FU209" s="15">
        <f t="shared" si="193"/>
        <v>0.24708273722661578</v>
      </c>
      <c r="FV209" s="15">
        <f>((FR209*FR209)/(AR209*FP209*FP209)+(FO209*FO209)/(AR209*FM209*FM209))</f>
        <v>7.3581431830743249E-4</v>
      </c>
      <c r="HE209" s="15">
        <v>13.79</v>
      </c>
      <c r="HF209" s="15">
        <f t="shared" si="208"/>
        <v>0.6895</v>
      </c>
      <c r="HG209" s="15">
        <f>HF209*SQRT(AR169)</f>
        <v>1.1942490318187409</v>
      </c>
      <c r="HH209" s="15">
        <v>29.12</v>
      </c>
      <c r="HI209" s="15">
        <f t="shared" si="209"/>
        <v>1.4560000000000002</v>
      </c>
      <c r="HJ209" s="15">
        <f>HI209*SQRT(AR209)</f>
        <v>2.5218659758202855</v>
      </c>
      <c r="HK209" s="15">
        <f t="shared" si="210"/>
        <v>2.1116751269035534</v>
      </c>
      <c r="HL209" s="15">
        <f t="shared" si="211"/>
        <v>15.330000000000002</v>
      </c>
      <c r="HM209" s="15">
        <f t="shared" si="212"/>
        <v>0.74748153152327479</v>
      </c>
      <c r="HN209" s="15">
        <f>((HJ209*HJ209)/(AR169*HH209*HH209)+(HG209*HG209)/(AR169*HE209*HE209))</f>
        <v>5.000000000000001E-3</v>
      </c>
      <c r="HP209" s="15" t="s">
        <v>907</v>
      </c>
      <c r="HV209" s="15">
        <f t="shared" si="213"/>
        <v>77.15508352757773</v>
      </c>
      <c r="HW209" s="15">
        <f t="shared" si="214"/>
        <v>0.74748153152327479</v>
      </c>
      <c r="HX209" s="15">
        <f>BB209</f>
        <v>5767.2</v>
      </c>
      <c r="HY209" s="15">
        <f>AZ209</f>
        <v>9612</v>
      </c>
      <c r="HZ209" s="15">
        <f>BA209</f>
        <v>3.2805460750853239</v>
      </c>
      <c r="IA209" s="15">
        <f>BB209</f>
        <v>5767.2</v>
      </c>
    </row>
    <row r="210" spans="1:235" x14ac:dyDescent="0.25">
      <c r="A210" s="31">
        <v>208</v>
      </c>
      <c r="B210" s="1">
        <v>34</v>
      </c>
      <c r="C210" s="1">
        <v>36</v>
      </c>
      <c r="D210" s="15" t="s">
        <v>175</v>
      </c>
      <c r="E210" s="1">
        <v>1</v>
      </c>
      <c r="F210" s="15" t="s">
        <v>761</v>
      </c>
      <c r="G210" s="15" t="s">
        <v>903</v>
      </c>
      <c r="H210" s="15" t="s">
        <v>904</v>
      </c>
      <c r="I210" s="1">
        <v>2016</v>
      </c>
      <c r="J210" s="15" t="s">
        <v>133</v>
      </c>
      <c r="K210" s="1">
        <v>2015</v>
      </c>
      <c r="L210" s="15" t="s">
        <v>905</v>
      </c>
      <c r="M210" s="15" t="s">
        <v>480</v>
      </c>
      <c r="N210" s="15" t="s">
        <v>23</v>
      </c>
      <c r="O210" s="31">
        <v>2</v>
      </c>
      <c r="P210" s="15">
        <v>30.27</v>
      </c>
      <c r="Q210" s="15">
        <v>109.49</v>
      </c>
      <c r="U210" s="15" t="s">
        <v>807</v>
      </c>
      <c r="V210" s="31">
        <v>2</v>
      </c>
      <c r="W210" s="16" t="s">
        <v>1169</v>
      </c>
      <c r="X210" s="15" t="s">
        <v>906</v>
      </c>
      <c r="Y210" s="61">
        <v>11</v>
      </c>
      <c r="Z210" s="15">
        <v>3.9</v>
      </c>
      <c r="AA210" s="15" t="s">
        <v>574</v>
      </c>
      <c r="AB210" s="15">
        <f t="shared" si="156"/>
        <v>3.9</v>
      </c>
      <c r="AC210" s="1">
        <v>1</v>
      </c>
      <c r="AM210" s="1">
        <v>3</v>
      </c>
      <c r="AR210" s="1">
        <v>3</v>
      </c>
      <c r="AS210" s="15">
        <v>12.27</v>
      </c>
      <c r="AT210" s="15" t="s">
        <v>545</v>
      </c>
      <c r="AU210" s="15">
        <v>98</v>
      </c>
      <c r="AV210" s="15"/>
      <c r="AW210" s="15">
        <v>4.8</v>
      </c>
      <c r="AX210" s="15">
        <f>AW210*1.78*2250</f>
        <v>19224</v>
      </c>
      <c r="AY210" s="15" t="s">
        <v>766</v>
      </c>
      <c r="AZ210" s="15">
        <f t="shared" si="205"/>
        <v>19224</v>
      </c>
      <c r="BA210" s="15">
        <f t="shared" si="206"/>
        <v>6.5610921501706478</v>
      </c>
      <c r="BB210" s="15">
        <f t="shared" si="207"/>
        <v>11534.4</v>
      </c>
      <c r="EW210" s="18"/>
      <c r="EX210" s="18"/>
      <c r="EY210" s="18"/>
      <c r="FK210" s="16">
        <f t="shared" si="157"/>
        <v>4.21</v>
      </c>
      <c r="FL210" s="16">
        <f t="shared" si="158"/>
        <v>7.12</v>
      </c>
      <c r="FM210" s="15">
        <v>4.21</v>
      </c>
      <c r="FN210" s="15">
        <v>0.09</v>
      </c>
      <c r="FO210" s="15">
        <f>FN210*SQRT(AR210)</f>
        <v>0.15588457268119893</v>
      </c>
      <c r="FP210" s="15">
        <v>7.12</v>
      </c>
      <c r="FQ210" s="15">
        <v>0.09</v>
      </c>
      <c r="FR210" s="15">
        <f>FQ210*SQRT(AR210)</f>
        <v>0.15588457268119893</v>
      </c>
      <c r="FS210" s="15">
        <f t="shared" si="191"/>
        <v>1.6912114014251782</v>
      </c>
      <c r="FT210" s="15">
        <f t="shared" si="192"/>
        <v>2.91</v>
      </c>
      <c r="FU210" s="15">
        <f t="shared" si="193"/>
        <v>0.52544507772959448</v>
      </c>
      <c r="FV210" s="15">
        <f>((FR210*FR210)/(AR210*FP210*FP210)+(FO210*FO210)/(AR210*FM210*FM210))</f>
        <v>6.1678583107631542E-4</v>
      </c>
      <c r="HE210" s="15">
        <v>13.79</v>
      </c>
      <c r="HF210" s="15">
        <f t="shared" si="208"/>
        <v>0.6895</v>
      </c>
      <c r="HG210" s="15">
        <f>HF210*SQRT(AR170)</f>
        <v>1.1942490318187409</v>
      </c>
      <c r="HH210" s="15">
        <v>21.18</v>
      </c>
      <c r="HI210" s="15">
        <f t="shared" si="209"/>
        <v>1.0589999999999999</v>
      </c>
      <c r="HJ210" s="15">
        <f>HI210*SQRT(AR210)</f>
        <v>1.8342418052154408</v>
      </c>
      <c r="HK210" s="15">
        <f t="shared" si="210"/>
        <v>1.5358955765047135</v>
      </c>
      <c r="HL210" s="15">
        <f t="shared" si="211"/>
        <v>7.3900000000000006</v>
      </c>
      <c r="HM210" s="15">
        <f t="shared" si="212"/>
        <v>0.42911364836804999</v>
      </c>
      <c r="HN210" s="15">
        <f>((HJ210*HJ210)/(AR170*HH210*HH210)+(HG210*HG210)/(AR170*HE210*HE210))</f>
        <v>5.0000000000000001E-3</v>
      </c>
      <c r="HP210" s="15" t="s">
        <v>907</v>
      </c>
      <c r="HV210" s="15">
        <f t="shared" si="213"/>
        <v>268.79592489929303</v>
      </c>
      <c r="HW210" s="15">
        <f t="shared" si="214"/>
        <v>0.42911364836804999</v>
      </c>
      <c r="HX210" s="15">
        <f>BB210</f>
        <v>11534.4</v>
      </c>
      <c r="HY210" s="15">
        <f>AZ210</f>
        <v>19224</v>
      </c>
      <c r="HZ210" s="15">
        <f>BA210</f>
        <v>6.5610921501706478</v>
      </c>
      <c r="IA210" s="15">
        <f>BB210</f>
        <v>11534.4</v>
      </c>
    </row>
    <row r="211" spans="1:235" s="15" customFormat="1" x14ac:dyDescent="0.25">
      <c r="A211" s="31">
        <v>209</v>
      </c>
      <c r="B211" s="1">
        <v>35</v>
      </c>
      <c r="C211" s="1">
        <v>37</v>
      </c>
      <c r="D211" s="15" t="s">
        <v>176</v>
      </c>
      <c r="E211" s="1">
        <v>3</v>
      </c>
      <c r="F211" s="15" t="s">
        <v>861</v>
      </c>
      <c r="G211" s="15" t="s">
        <v>2343</v>
      </c>
      <c r="H211" s="15" t="s">
        <v>909</v>
      </c>
      <c r="I211" s="1">
        <v>2011</v>
      </c>
      <c r="J211" s="15" t="s">
        <v>908</v>
      </c>
      <c r="K211" s="1"/>
      <c r="L211" s="15" t="s">
        <v>695</v>
      </c>
      <c r="M211" s="15" t="s">
        <v>480</v>
      </c>
      <c r="N211" s="15" t="s">
        <v>23</v>
      </c>
      <c r="O211" s="31">
        <v>2</v>
      </c>
      <c r="P211" s="15">
        <v>23.16</v>
      </c>
      <c r="Q211" s="15">
        <v>113.27</v>
      </c>
      <c r="U211" s="15" t="s">
        <v>807</v>
      </c>
      <c r="V211" s="31">
        <v>2</v>
      </c>
      <c r="W211" s="16" t="s">
        <v>1149</v>
      </c>
      <c r="X211" s="15" t="s">
        <v>910</v>
      </c>
      <c r="Y211" s="1">
        <v>9</v>
      </c>
      <c r="Z211" s="15">
        <v>6.82</v>
      </c>
      <c r="AA211" s="15" t="s">
        <v>574</v>
      </c>
      <c r="AB211" s="15">
        <f t="shared" si="156"/>
        <v>6.82</v>
      </c>
      <c r="AC211" s="60">
        <v>6</v>
      </c>
      <c r="AD211" s="15">
        <v>40.799999999999997</v>
      </c>
      <c r="AM211" s="1">
        <v>1</v>
      </c>
      <c r="AQ211" s="1"/>
      <c r="AR211" s="1">
        <v>4</v>
      </c>
      <c r="BP211" s="16"/>
      <c r="BQ211" s="16"/>
      <c r="BR211" s="16"/>
      <c r="BU211" s="16"/>
      <c r="DV211" s="15">
        <v>8.6</v>
      </c>
      <c r="DW211" s="15" t="s">
        <v>867</v>
      </c>
      <c r="DX211" s="15">
        <v>3</v>
      </c>
      <c r="DY211" s="15">
        <f>DX211*2250</f>
        <v>6750</v>
      </c>
      <c r="DZ211" s="15" t="s">
        <v>766</v>
      </c>
      <c r="ES211" s="15">
        <f t="shared" ref="ES211:ES222" si="215">DY211</f>
        <v>6750</v>
      </c>
      <c r="ET211" s="15">
        <f t="shared" ref="ET211:ET222" si="216">ES211/2.25/1000</f>
        <v>3</v>
      </c>
      <c r="EU211" s="15">
        <f t="shared" ref="EU211:EU222" si="217">ES211*0.55</f>
        <v>3712.5000000000005</v>
      </c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>
        <f t="shared" si="157"/>
        <v>6.57</v>
      </c>
      <c r="FL211" s="16">
        <f t="shared" si="158"/>
        <v>6.96</v>
      </c>
      <c r="FM211" s="15">
        <v>6.57</v>
      </c>
      <c r="FN211" s="15">
        <v>0.02</v>
      </c>
      <c r="FO211" s="15">
        <f>FN211*SQRT(AR211)</f>
        <v>0.04</v>
      </c>
      <c r="FP211" s="15">
        <v>6.96</v>
      </c>
      <c r="FQ211" s="15">
        <v>0.05</v>
      </c>
      <c r="FR211" s="15">
        <f>FQ211*SQRT(AR211)</f>
        <v>0.1</v>
      </c>
      <c r="FS211" s="15">
        <f t="shared" si="191"/>
        <v>1.0593607305936072</v>
      </c>
      <c r="FT211" s="15">
        <f t="shared" si="192"/>
        <v>0.38999999999999968</v>
      </c>
      <c r="FU211" s="15">
        <f t="shared" si="193"/>
        <v>5.7665641849809157E-2</v>
      </c>
      <c r="FV211" s="15">
        <f>((FR211*FR211)/(AR211*FP211*FP211)+(FO211*FO211)/(AR211*FM211*FM211))</f>
        <v>6.0875323337989022E-5</v>
      </c>
      <c r="HE211" s="15">
        <v>106.63</v>
      </c>
      <c r="HF211" s="15">
        <f t="shared" si="208"/>
        <v>5.3315000000000001</v>
      </c>
      <c r="HG211" s="15">
        <f>HF211*SQRT(AR171)</f>
        <v>9.2344288805534696</v>
      </c>
      <c r="HH211" s="15">
        <v>157.88</v>
      </c>
      <c r="HI211" s="15">
        <f t="shared" si="209"/>
        <v>7.8940000000000001</v>
      </c>
      <c r="HJ211" s="15">
        <f>HI211*SQRT(AR211)</f>
        <v>15.788</v>
      </c>
      <c r="HK211" s="15">
        <f t="shared" si="210"/>
        <v>1.4806339679264748</v>
      </c>
      <c r="HL211" s="15">
        <f t="shared" si="211"/>
        <v>51.25</v>
      </c>
      <c r="HM211" s="15">
        <f t="shared" si="212"/>
        <v>0.39247035276455833</v>
      </c>
      <c r="HN211" s="15">
        <f>((HJ211*HJ211)/(AR171*HH211*HH211)+(HG211*HG211)/(AR171*HE211*HE211))</f>
        <v>5.8333333333333345E-3</v>
      </c>
      <c r="HP211" s="15" t="s">
        <v>809</v>
      </c>
      <c r="HV211" s="15">
        <f t="shared" si="213"/>
        <v>94.593132292647766</v>
      </c>
      <c r="HW211" s="15">
        <f t="shared" si="214"/>
        <v>0.39247035276455833</v>
      </c>
      <c r="HX211" s="15">
        <f>EU211</f>
        <v>3712.5000000000005</v>
      </c>
      <c r="HY211" s="15">
        <f t="shared" ref="HY211:HY222" si="218">ES211</f>
        <v>6750</v>
      </c>
      <c r="HZ211" s="15">
        <f t="shared" ref="HZ211:HZ222" si="219">ET211</f>
        <v>3</v>
      </c>
      <c r="IA211" s="15">
        <f t="shared" ref="IA211:IA222" si="220">EU211</f>
        <v>3712.5000000000005</v>
      </c>
    </row>
    <row r="212" spans="1:235" s="15" customFormat="1" x14ac:dyDescent="0.25">
      <c r="A212" s="31">
        <v>210</v>
      </c>
      <c r="B212" s="1">
        <v>35</v>
      </c>
      <c r="C212" s="1">
        <v>37</v>
      </c>
      <c r="D212" s="15" t="s">
        <v>177</v>
      </c>
      <c r="E212" s="1">
        <v>3</v>
      </c>
      <c r="F212" s="15" t="s">
        <v>861</v>
      </c>
      <c r="G212" s="15" t="s">
        <v>2343</v>
      </c>
      <c r="H212" s="15" t="s">
        <v>909</v>
      </c>
      <c r="I212" s="1">
        <v>2011</v>
      </c>
      <c r="J212" s="15" t="s">
        <v>908</v>
      </c>
      <c r="K212" s="1"/>
      <c r="L212" s="15" t="s">
        <v>695</v>
      </c>
      <c r="M212" s="15" t="s">
        <v>480</v>
      </c>
      <c r="N212" s="15" t="s">
        <v>23</v>
      </c>
      <c r="O212" s="31">
        <v>2</v>
      </c>
      <c r="P212" s="15">
        <v>23.16</v>
      </c>
      <c r="Q212" s="15">
        <v>113.27</v>
      </c>
      <c r="U212" s="15" t="s">
        <v>807</v>
      </c>
      <c r="V212" s="31">
        <v>2</v>
      </c>
      <c r="W212" s="16" t="s">
        <v>1149</v>
      </c>
      <c r="X212" s="15" t="s">
        <v>910</v>
      </c>
      <c r="Y212" s="1">
        <v>9</v>
      </c>
      <c r="Z212" s="15">
        <v>6.82</v>
      </c>
      <c r="AA212" s="15" t="s">
        <v>574</v>
      </c>
      <c r="AB212" s="15">
        <f t="shared" si="156"/>
        <v>6.82</v>
      </c>
      <c r="AC212" s="60">
        <v>6</v>
      </c>
      <c r="AD212" s="15">
        <v>40.799999999999997</v>
      </c>
      <c r="AM212" s="1">
        <v>1</v>
      </c>
      <c r="AQ212" s="1"/>
      <c r="AR212" s="1">
        <v>4</v>
      </c>
      <c r="BP212" s="16"/>
      <c r="BQ212" s="16"/>
      <c r="BR212" s="16"/>
      <c r="BU212" s="16"/>
      <c r="DV212" s="15">
        <v>8.6</v>
      </c>
      <c r="DW212" s="15" t="s">
        <v>867</v>
      </c>
      <c r="DX212" s="15">
        <v>6</v>
      </c>
      <c r="DY212" s="15">
        <f>DX212*2250</f>
        <v>13500</v>
      </c>
      <c r="DZ212" s="15" t="s">
        <v>766</v>
      </c>
      <c r="ES212" s="15">
        <f t="shared" si="215"/>
        <v>13500</v>
      </c>
      <c r="ET212" s="15">
        <f t="shared" si="216"/>
        <v>6</v>
      </c>
      <c r="EU212" s="15">
        <f t="shared" si="217"/>
        <v>7425.0000000000009</v>
      </c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>
        <f t="shared" si="157"/>
        <v>6.57</v>
      </c>
      <c r="FL212" s="16">
        <f t="shared" si="158"/>
        <v>7.08</v>
      </c>
      <c r="FM212" s="15">
        <v>6.57</v>
      </c>
      <c r="FN212" s="15">
        <v>0.02</v>
      </c>
      <c r="FO212" s="15">
        <f>FN212*SQRT(AR212)</f>
        <v>0.04</v>
      </c>
      <c r="FP212" s="15">
        <v>7.08</v>
      </c>
      <c r="FQ212" s="15">
        <v>0.05</v>
      </c>
      <c r="FR212" s="15">
        <f>FQ212*SQRT(AR212)</f>
        <v>0.1</v>
      </c>
      <c r="FS212" s="15">
        <f t="shared" si="191"/>
        <v>1.0776255707762556</v>
      </c>
      <c r="FT212" s="15">
        <f t="shared" si="192"/>
        <v>0.50999999999999979</v>
      </c>
      <c r="FU212" s="15">
        <f t="shared" si="193"/>
        <v>7.4760075209109322E-2</v>
      </c>
      <c r="FV212" s="15">
        <f>((FR212*FR212)/(AR212*FP212*FP212)+(FO212*FO212)/(AR212*FM212*FM212))</f>
        <v>5.9140707258377636E-5</v>
      </c>
      <c r="HE212" s="15">
        <v>106.63</v>
      </c>
      <c r="HF212" s="15">
        <f t="shared" si="208"/>
        <v>5.3315000000000001</v>
      </c>
      <c r="HG212" s="15">
        <f>HF212*SQRT(AR172)</f>
        <v>9.2344288805534696</v>
      </c>
      <c r="HH212" s="15">
        <v>115.25</v>
      </c>
      <c r="HI212" s="15">
        <f t="shared" si="209"/>
        <v>5.7625000000000002</v>
      </c>
      <c r="HJ212" s="15">
        <f>HI212*SQRT(AR212)</f>
        <v>11.525</v>
      </c>
      <c r="HK212" s="15">
        <f t="shared" si="210"/>
        <v>1.0808402888492921</v>
      </c>
      <c r="HL212" s="15">
        <f t="shared" si="211"/>
        <v>8.6200000000000045</v>
      </c>
      <c r="HM212" s="15">
        <f t="shared" si="212"/>
        <v>7.7738783846669435E-2</v>
      </c>
      <c r="HN212" s="15">
        <f>((HJ212*HJ212)/(AR172*HH212*HH212)+(HG212*HG212)/(AR172*HE212*HE212))</f>
        <v>5.8333333333333345E-3</v>
      </c>
      <c r="HP212" s="15" t="s">
        <v>809</v>
      </c>
      <c r="HV212" s="15">
        <f t="shared" si="213"/>
        <v>955.12170792958841</v>
      </c>
      <c r="HW212" s="15">
        <f t="shared" si="214"/>
        <v>7.7738783846669435E-2</v>
      </c>
      <c r="HX212" s="15">
        <f>EU212</f>
        <v>7425.0000000000009</v>
      </c>
      <c r="HY212" s="15">
        <f t="shared" si="218"/>
        <v>13500</v>
      </c>
      <c r="HZ212" s="15">
        <f t="shared" si="219"/>
        <v>6</v>
      </c>
      <c r="IA212" s="15">
        <f t="shared" si="220"/>
        <v>7425.0000000000009</v>
      </c>
    </row>
    <row r="213" spans="1:235" s="15" customFormat="1" x14ac:dyDescent="0.25">
      <c r="A213" s="31">
        <v>211</v>
      </c>
      <c r="B213" s="1">
        <v>35</v>
      </c>
      <c r="C213" s="1">
        <v>37</v>
      </c>
      <c r="D213" s="15" t="s">
        <v>178</v>
      </c>
      <c r="E213" s="1">
        <v>3</v>
      </c>
      <c r="F213" s="15" t="s">
        <v>861</v>
      </c>
      <c r="G213" s="15" t="s">
        <v>2343</v>
      </c>
      <c r="H213" s="15" t="s">
        <v>909</v>
      </c>
      <c r="I213" s="1">
        <v>2011</v>
      </c>
      <c r="J213" s="15" t="s">
        <v>908</v>
      </c>
      <c r="K213" s="1"/>
      <c r="L213" s="15" t="s">
        <v>695</v>
      </c>
      <c r="M213" s="15" t="s">
        <v>480</v>
      </c>
      <c r="N213" s="15" t="s">
        <v>23</v>
      </c>
      <c r="O213" s="31">
        <v>2</v>
      </c>
      <c r="P213" s="15">
        <v>23.16</v>
      </c>
      <c r="Q213" s="15">
        <v>113.27</v>
      </c>
      <c r="U213" s="15" t="s">
        <v>807</v>
      </c>
      <c r="V213" s="31">
        <v>2</v>
      </c>
      <c r="W213" s="16" t="s">
        <v>1149</v>
      </c>
      <c r="X213" s="15" t="s">
        <v>910</v>
      </c>
      <c r="Y213" s="1">
        <v>9</v>
      </c>
      <c r="Z213" s="15">
        <v>6.82</v>
      </c>
      <c r="AA213" s="15" t="s">
        <v>574</v>
      </c>
      <c r="AB213" s="15">
        <f t="shared" si="156"/>
        <v>6.82</v>
      </c>
      <c r="AC213" s="60">
        <v>6</v>
      </c>
      <c r="AD213" s="15">
        <v>40.799999999999997</v>
      </c>
      <c r="AM213" s="1">
        <v>1</v>
      </c>
      <c r="AQ213" s="1"/>
      <c r="AR213" s="1">
        <v>4</v>
      </c>
      <c r="BP213" s="16"/>
      <c r="BQ213" s="16"/>
      <c r="BR213" s="16"/>
      <c r="BU213" s="16"/>
      <c r="DV213" s="15">
        <v>8.6</v>
      </c>
      <c r="DW213" s="15" t="s">
        <v>867</v>
      </c>
      <c r="DX213" s="15">
        <v>9</v>
      </c>
      <c r="DY213" s="15">
        <f>DX213*2250</f>
        <v>20250</v>
      </c>
      <c r="DZ213" s="15" t="s">
        <v>766</v>
      </c>
      <c r="ES213" s="15">
        <f t="shared" si="215"/>
        <v>20250</v>
      </c>
      <c r="ET213" s="15">
        <f t="shared" si="216"/>
        <v>9</v>
      </c>
      <c r="EU213" s="15">
        <f t="shared" si="217"/>
        <v>11137.5</v>
      </c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>
        <f t="shared" si="157"/>
        <v>6.57</v>
      </c>
      <c r="FL213" s="16">
        <f t="shared" si="158"/>
        <v>7.1</v>
      </c>
      <c r="FM213" s="15">
        <v>6.57</v>
      </c>
      <c r="FN213" s="15">
        <v>0.02</v>
      </c>
      <c r="FO213" s="15">
        <f>FN213*SQRT(AR213)</f>
        <v>0.04</v>
      </c>
      <c r="FP213" s="15">
        <v>7.1</v>
      </c>
      <c r="FQ213" s="15">
        <v>0.05</v>
      </c>
      <c r="FR213" s="15">
        <f>FQ213*SQRT(AR213)</f>
        <v>0.1</v>
      </c>
      <c r="FS213" s="15">
        <f t="shared" si="191"/>
        <v>1.0806697108066969</v>
      </c>
      <c r="FT213" s="15">
        <f t="shared" si="192"/>
        <v>0.52999999999999936</v>
      </c>
      <c r="FU213" s="15">
        <f t="shared" si="193"/>
        <v>7.7580951550750621E-2</v>
      </c>
      <c r="FV213" s="15">
        <f>((FR213*FR213)/(AR213*FP213*FP213)+(FO213*FO213)/(AR213*FM213*FM213))</f>
        <v>5.8860123180758043E-5</v>
      </c>
      <c r="HE213" s="15">
        <v>106.63</v>
      </c>
      <c r="HF213" s="15">
        <f t="shared" si="208"/>
        <v>5.3315000000000001</v>
      </c>
      <c r="HG213" s="15">
        <f>HF213*SQRT(AR173)</f>
        <v>9.2344288805534696</v>
      </c>
      <c r="HH213" s="15">
        <v>106.69</v>
      </c>
      <c r="HI213" s="15">
        <f t="shared" si="209"/>
        <v>5.3345000000000002</v>
      </c>
      <c r="HJ213" s="15">
        <f>HI213*SQRT(AR213)</f>
        <v>10.669</v>
      </c>
      <c r="HK213" s="15">
        <f t="shared" si="210"/>
        <v>1.0005626934258651</v>
      </c>
      <c r="HL213" s="15">
        <f t="shared" si="211"/>
        <v>6.0000000000002274E-2</v>
      </c>
      <c r="HM213" s="15">
        <f t="shared" si="212"/>
        <v>5.6253517328119784E-4</v>
      </c>
      <c r="HN213" s="15">
        <f>((HJ213*HJ213)/(AR173*HH213*HH213)+(HG213*HG213)/(AR173*HE213*HE213))</f>
        <v>5.8333333333333345E-3</v>
      </c>
      <c r="HP213" s="15" t="s">
        <v>809</v>
      </c>
      <c r="HV213" s="15">
        <f t="shared" si="213"/>
        <v>197987.61977915702</v>
      </c>
      <c r="HW213" s="15">
        <f t="shared" si="214"/>
        <v>5.6253517328119784E-4</v>
      </c>
      <c r="HX213" s="15">
        <f>EU213</f>
        <v>11137.5</v>
      </c>
      <c r="HY213" s="15">
        <f t="shared" si="218"/>
        <v>20250</v>
      </c>
      <c r="HZ213" s="15">
        <f t="shared" si="219"/>
        <v>9</v>
      </c>
      <c r="IA213" s="15">
        <f t="shared" si="220"/>
        <v>11137.5</v>
      </c>
    </row>
    <row r="214" spans="1:235" s="15" customFormat="1" x14ac:dyDescent="0.25">
      <c r="A214" s="31">
        <v>212</v>
      </c>
      <c r="B214" s="1">
        <v>35</v>
      </c>
      <c r="C214" s="1">
        <v>37</v>
      </c>
      <c r="D214" s="15" t="s">
        <v>179</v>
      </c>
      <c r="E214" s="1">
        <v>3</v>
      </c>
      <c r="F214" s="15" t="s">
        <v>861</v>
      </c>
      <c r="G214" s="15" t="s">
        <v>2343</v>
      </c>
      <c r="H214" s="15" t="s">
        <v>909</v>
      </c>
      <c r="I214" s="1">
        <v>2011</v>
      </c>
      <c r="J214" s="15" t="s">
        <v>908</v>
      </c>
      <c r="K214" s="1"/>
      <c r="L214" s="15" t="s">
        <v>695</v>
      </c>
      <c r="M214" s="15" t="s">
        <v>480</v>
      </c>
      <c r="N214" s="15" t="s">
        <v>23</v>
      </c>
      <c r="O214" s="31">
        <v>2</v>
      </c>
      <c r="P214" s="15">
        <v>23.16</v>
      </c>
      <c r="Q214" s="15">
        <v>113.27</v>
      </c>
      <c r="U214" s="15" t="s">
        <v>807</v>
      </c>
      <c r="V214" s="31">
        <v>2</v>
      </c>
      <c r="W214" s="16" t="s">
        <v>1149</v>
      </c>
      <c r="X214" s="15" t="s">
        <v>910</v>
      </c>
      <c r="Y214" s="1">
        <v>9</v>
      </c>
      <c r="Z214" s="15">
        <v>6.82</v>
      </c>
      <c r="AA214" s="15" t="s">
        <v>574</v>
      </c>
      <c r="AB214" s="15">
        <f t="shared" si="156"/>
        <v>6.82</v>
      </c>
      <c r="AC214" s="60">
        <v>6</v>
      </c>
      <c r="AD214" s="15">
        <v>40.799999999999997</v>
      </c>
      <c r="AM214" s="1">
        <v>1</v>
      </c>
      <c r="AQ214" s="1"/>
      <c r="AR214" s="1">
        <v>4</v>
      </c>
      <c r="BP214" s="16"/>
      <c r="BQ214" s="16"/>
      <c r="BR214" s="16"/>
      <c r="BU214" s="16"/>
      <c r="DV214" s="15">
        <v>8.6</v>
      </c>
      <c r="DW214" s="15" t="s">
        <v>867</v>
      </c>
      <c r="DX214" s="15">
        <v>12</v>
      </c>
      <c r="DY214" s="15">
        <f>DX214*2250</f>
        <v>27000</v>
      </c>
      <c r="DZ214" s="15" t="s">
        <v>766</v>
      </c>
      <c r="ES214" s="15">
        <f t="shared" si="215"/>
        <v>27000</v>
      </c>
      <c r="ET214" s="15">
        <f t="shared" si="216"/>
        <v>12</v>
      </c>
      <c r="EU214" s="15">
        <f t="shared" si="217"/>
        <v>14850.000000000002</v>
      </c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>
        <f t="shared" si="157"/>
        <v>6.57</v>
      </c>
      <c r="FL214" s="16">
        <f t="shared" si="158"/>
        <v>7.11</v>
      </c>
      <c r="FM214" s="15">
        <v>6.57</v>
      </c>
      <c r="FN214" s="15">
        <v>0.02</v>
      </c>
      <c r="FO214" s="15">
        <f>FN214*SQRT(AR214)</f>
        <v>0.04</v>
      </c>
      <c r="FP214" s="15">
        <v>7.11</v>
      </c>
      <c r="FQ214" s="15">
        <v>0.05</v>
      </c>
      <c r="FR214" s="15">
        <f>FQ214*SQRT(AR214)</f>
        <v>0.1</v>
      </c>
      <c r="FS214" s="15">
        <f t="shared" si="191"/>
        <v>1.0821917808219179</v>
      </c>
      <c r="FT214" s="15">
        <f t="shared" si="192"/>
        <v>0.54</v>
      </c>
      <c r="FU214" s="15">
        <f t="shared" si="193"/>
        <v>7.8988411318630325E-2</v>
      </c>
      <c r="FV214" s="15">
        <f>((FR214*FR214)/(AR214*FP214*FP214)+(FO214*FO214)/(AR214*FM214*FM214))</f>
        <v>5.8720718233098247E-5</v>
      </c>
      <c r="HE214" s="15">
        <v>106.63</v>
      </c>
      <c r="HF214" s="15">
        <f t="shared" si="208"/>
        <v>5.3315000000000001</v>
      </c>
      <c r="HG214" s="15">
        <f>HF214*SQRT(AR174)</f>
        <v>9.2344288805534696</v>
      </c>
      <c r="HH214" s="15">
        <v>115.06</v>
      </c>
      <c r="HI214" s="15">
        <f t="shared" si="209"/>
        <v>5.7530000000000001</v>
      </c>
      <c r="HJ214" s="15">
        <f>HI214*SQRT(AR214)</f>
        <v>11.506</v>
      </c>
      <c r="HK214" s="15">
        <f t="shared" si="210"/>
        <v>1.0790584263340524</v>
      </c>
      <c r="HL214" s="15">
        <f t="shared" si="211"/>
        <v>8.4300000000000068</v>
      </c>
      <c r="HM214" s="15">
        <f t="shared" si="212"/>
        <v>7.608883340505912E-2</v>
      </c>
      <c r="HN214" s="15">
        <f>((HJ214*HJ214)/(AR174*HH214*HH214)+(HG214*HG214)/(AR174*HE214*HE214))</f>
        <v>5.8333333333333327E-3</v>
      </c>
      <c r="HP214" s="15" t="s">
        <v>809</v>
      </c>
      <c r="HV214" s="15">
        <f t="shared" si="213"/>
        <v>1951.6661427762974</v>
      </c>
      <c r="HW214" s="15">
        <f t="shared" si="214"/>
        <v>7.608883340505912E-2</v>
      </c>
      <c r="HX214" s="15">
        <f>EU214</f>
        <v>14850.000000000002</v>
      </c>
      <c r="HY214" s="15">
        <f t="shared" si="218"/>
        <v>27000</v>
      </c>
      <c r="HZ214" s="15">
        <f t="shared" si="219"/>
        <v>12</v>
      </c>
      <c r="IA214" s="15">
        <f t="shared" si="220"/>
        <v>14850.000000000002</v>
      </c>
    </row>
    <row r="215" spans="1:235" s="15" customFormat="1" x14ac:dyDescent="0.25">
      <c r="A215" s="31">
        <v>213</v>
      </c>
      <c r="B215" s="1">
        <v>36</v>
      </c>
      <c r="C215" s="1">
        <v>38</v>
      </c>
      <c r="D215" s="15" t="s">
        <v>180</v>
      </c>
      <c r="E215" s="1">
        <v>3</v>
      </c>
      <c r="F215" s="15" t="s">
        <v>861</v>
      </c>
      <c r="G215" s="15" t="s">
        <v>911</v>
      </c>
      <c r="H215" s="15" t="s">
        <v>921</v>
      </c>
      <c r="I215" s="1">
        <v>2010</v>
      </c>
      <c r="J215" s="15" t="s">
        <v>912</v>
      </c>
      <c r="K215" s="1"/>
      <c r="L215" s="15" t="s">
        <v>695</v>
      </c>
      <c r="M215" s="15" t="s">
        <v>480</v>
      </c>
      <c r="N215" s="15" t="s">
        <v>23</v>
      </c>
      <c r="O215" s="31">
        <v>2</v>
      </c>
      <c r="P215" s="15">
        <v>23.67</v>
      </c>
      <c r="Q215" s="15">
        <v>113.25</v>
      </c>
      <c r="U215" s="15" t="s">
        <v>807</v>
      </c>
      <c r="V215" s="31">
        <v>2</v>
      </c>
      <c r="W215" s="16" t="s">
        <v>1149</v>
      </c>
      <c r="X215" s="15" t="s">
        <v>913</v>
      </c>
      <c r="Y215" s="1">
        <v>3</v>
      </c>
      <c r="Z215" s="15">
        <v>4.1100000000000003</v>
      </c>
      <c r="AA215" s="15" t="s">
        <v>574</v>
      </c>
      <c r="AB215" s="15">
        <f t="shared" si="156"/>
        <v>4.1100000000000003</v>
      </c>
      <c r="AC215" s="1">
        <v>1</v>
      </c>
      <c r="AD215" s="15">
        <v>14.2</v>
      </c>
      <c r="AM215" s="1">
        <v>3</v>
      </c>
      <c r="AQ215" s="1"/>
      <c r="AR215" s="1">
        <v>4</v>
      </c>
      <c r="BP215" s="16"/>
      <c r="BQ215" s="16"/>
      <c r="BR215" s="16"/>
      <c r="BU215" s="16"/>
      <c r="DV215" s="15">
        <v>9.07</v>
      </c>
      <c r="DW215" s="15" t="s">
        <v>867</v>
      </c>
      <c r="DX215" s="15">
        <v>10</v>
      </c>
      <c r="DY215" s="15">
        <f>DX215*2250</f>
        <v>22500</v>
      </c>
      <c r="DZ215" s="15" t="s">
        <v>766</v>
      </c>
      <c r="EB215" s="15">
        <v>0.1</v>
      </c>
      <c r="EJ215" s="15">
        <v>157.08000000000001</v>
      </c>
      <c r="EK215" s="15">
        <v>1.07</v>
      </c>
      <c r="EL215" s="15">
        <v>281.25</v>
      </c>
      <c r="EM215" s="15">
        <v>37.43</v>
      </c>
      <c r="EN215" s="15">
        <v>25.01</v>
      </c>
      <c r="ES215" s="15">
        <f t="shared" si="215"/>
        <v>22500</v>
      </c>
      <c r="ET215" s="15">
        <f t="shared" si="216"/>
        <v>10</v>
      </c>
      <c r="EU215" s="15">
        <f t="shared" si="217"/>
        <v>12375.000000000002</v>
      </c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>
        <f t="shared" si="157"/>
        <v>4.09</v>
      </c>
      <c r="FL215" s="16">
        <f t="shared" si="158"/>
        <v>5.81</v>
      </c>
      <c r="FM215" s="15">
        <v>4.09</v>
      </c>
      <c r="FN215" s="15">
        <f>FM215*0.05</f>
        <v>0.20450000000000002</v>
      </c>
      <c r="FO215" s="15">
        <f>FN215*SQRT(AR215)</f>
        <v>0.40900000000000003</v>
      </c>
      <c r="FP215" s="15">
        <v>5.81</v>
      </c>
      <c r="FQ215" s="15">
        <f>FP215*0.05</f>
        <v>0.29049999999999998</v>
      </c>
      <c r="FR215" s="15">
        <f>FQ215*SQRT(AR215)</f>
        <v>0.58099999999999996</v>
      </c>
      <c r="FS215" s="15">
        <f t="shared" si="191"/>
        <v>1.4205378973105134</v>
      </c>
      <c r="FT215" s="15">
        <f t="shared" si="192"/>
        <v>1.7199999999999998</v>
      </c>
      <c r="FU215" s="15">
        <f t="shared" si="193"/>
        <v>0.35103560080910934</v>
      </c>
      <c r="FV215" s="15">
        <f>((FR215*FR215)/(AR215*FP215*FP215)+(FO215*FO215)/(AR215*FM215*FM215))</f>
        <v>5.000000000000001E-3</v>
      </c>
      <c r="FX215" s="15">
        <v>14.2</v>
      </c>
      <c r="FY215" s="15">
        <f>FX215*0.05</f>
        <v>0.71</v>
      </c>
      <c r="FZ215" s="15">
        <f>FY215*SQRT(AR215)</f>
        <v>1.42</v>
      </c>
      <c r="GA215" s="15">
        <v>14</v>
      </c>
      <c r="GB215" s="15">
        <f>GA215*0.05</f>
        <v>0.70000000000000007</v>
      </c>
      <c r="GC215" s="15">
        <f>GB215*SQRT(AR215)</f>
        <v>1.4000000000000001</v>
      </c>
      <c r="GD215" s="15">
        <f>GA215/FX215</f>
        <v>0.9859154929577465</v>
      </c>
      <c r="GE215" s="15">
        <f>GA215-FX215</f>
        <v>-0.19999999999999929</v>
      </c>
      <c r="GF215" s="15">
        <f>LN(GA215)-LN(FX215)</f>
        <v>-1.4184634991956546E-2</v>
      </c>
      <c r="GG215" s="15">
        <f>((GC215*GC215)/(AR215*GA215*GA215)+(FZ215*FZ215)/(AR215*FX215*FX215))</f>
        <v>5.000000000000001E-3</v>
      </c>
      <c r="HY215" s="15">
        <f t="shared" si="218"/>
        <v>22500</v>
      </c>
      <c r="HZ215" s="15">
        <f t="shared" si="219"/>
        <v>10</v>
      </c>
      <c r="IA215" s="15">
        <f t="shared" si="220"/>
        <v>12375.000000000002</v>
      </c>
    </row>
    <row r="216" spans="1:235" s="15" customFormat="1" x14ac:dyDescent="0.25">
      <c r="A216" s="31">
        <v>214</v>
      </c>
      <c r="B216" s="1">
        <v>37</v>
      </c>
      <c r="C216" s="1">
        <v>39</v>
      </c>
      <c r="D216" s="15" t="s">
        <v>181</v>
      </c>
      <c r="E216" s="1">
        <v>3</v>
      </c>
      <c r="F216" s="15" t="s">
        <v>861</v>
      </c>
      <c r="G216" s="15" t="s">
        <v>920</v>
      </c>
      <c r="H216" s="15" t="s">
        <v>818</v>
      </c>
      <c r="I216" s="1">
        <v>2011</v>
      </c>
      <c r="J216" s="15" t="s">
        <v>922</v>
      </c>
      <c r="K216" s="1">
        <v>2008</v>
      </c>
      <c r="L216" s="15" t="s">
        <v>923</v>
      </c>
      <c r="M216" s="15" t="s">
        <v>480</v>
      </c>
      <c r="N216" s="15" t="s">
        <v>23</v>
      </c>
      <c r="O216" s="31">
        <v>2</v>
      </c>
      <c r="P216" s="15">
        <v>32.06</v>
      </c>
      <c r="Q216" s="15">
        <v>118.85</v>
      </c>
      <c r="U216" s="15" t="s">
        <v>549</v>
      </c>
      <c r="V216" s="31">
        <v>1</v>
      </c>
      <c r="W216" s="16"/>
      <c r="X216" s="15" t="s">
        <v>924</v>
      </c>
      <c r="Y216" s="1">
        <v>7</v>
      </c>
      <c r="Z216" s="15">
        <v>4.54</v>
      </c>
      <c r="AA216" s="15" t="s">
        <v>574</v>
      </c>
      <c r="AB216" s="15">
        <f t="shared" si="156"/>
        <v>4.54</v>
      </c>
      <c r="AC216" s="1">
        <v>2</v>
      </c>
      <c r="AM216" s="1"/>
      <c r="AQ216" s="1"/>
      <c r="AR216" s="1">
        <v>3</v>
      </c>
      <c r="BP216" s="16"/>
      <c r="BQ216" s="16"/>
      <c r="BR216" s="16"/>
      <c r="BU216" s="16"/>
      <c r="DV216" s="15">
        <v>8.48</v>
      </c>
      <c r="DW216" s="15" t="s">
        <v>867</v>
      </c>
      <c r="DX216" s="15">
        <v>2250</v>
      </c>
      <c r="DY216" s="15">
        <f>DX216</f>
        <v>2250</v>
      </c>
      <c r="DZ216" s="15" t="s">
        <v>766</v>
      </c>
      <c r="EC216" s="57">
        <v>242.46</v>
      </c>
      <c r="ED216" s="57">
        <v>59.34</v>
      </c>
      <c r="EE216" s="57">
        <v>0.03</v>
      </c>
      <c r="EF216" s="57">
        <v>39.159999999999997</v>
      </c>
      <c r="EG216" s="57">
        <v>0.59</v>
      </c>
      <c r="EH216" s="57">
        <v>121.49</v>
      </c>
      <c r="EI216" s="57"/>
      <c r="ES216" s="15">
        <f t="shared" si="215"/>
        <v>2250</v>
      </c>
      <c r="ET216" s="15">
        <f t="shared" si="216"/>
        <v>1</v>
      </c>
      <c r="EU216" s="15">
        <f t="shared" si="217"/>
        <v>1237.5</v>
      </c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>
        <f t="shared" si="157"/>
        <v>4.54</v>
      </c>
      <c r="FL216" s="16">
        <f t="shared" si="158"/>
        <v>4.9000000000000004</v>
      </c>
      <c r="FM216" s="15">
        <v>4.54</v>
      </c>
      <c r="FN216" s="15">
        <v>0.03</v>
      </c>
      <c r="FO216" s="15">
        <f>FN216*SQRT(AR216)</f>
        <v>5.1961524227066312E-2</v>
      </c>
      <c r="FP216" s="15">
        <v>4.9000000000000004</v>
      </c>
      <c r="FQ216" s="15">
        <v>0.01</v>
      </c>
      <c r="FR216" s="15">
        <f>FQ216*SQRT(AR216)</f>
        <v>1.7320508075688773E-2</v>
      </c>
      <c r="FS216" s="15">
        <f t="shared" si="191"/>
        <v>1.0792951541850222</v>
      </c>
      <c r="FT216" s="15">
        <f t="shared" si="192"/>
        <v>0.36000000000000032</v>
      </c>
      <c r="FU216" s="15">
        <f t="shared" si="193"/>
        <v>7.6308193063324481E-2</v>
      </c>
      <c r="FV216" s="15">
        <f>((FR216*FR216)/(AR216*FP216*FP216)+(FO216*FO216)/(AR216*FM216*FM216))</f>
        <v>4.782966375937289E-5</v>
      </c>
      <c r="GI216" s="15">
        <v>9.35</v>
      </c>
      <c r="GJ216" s="15">
        <f>GI216*0.1</f>
        <v>0.93500000000000005</v>
      </c>
      <c r="GK216" s="15">
        <f>GJ216*SQRT(AR151)</f>
        <v>1.6194675050769003</v>
      </c>
      <c r="GL216" s="15">
        <v>8.61</v>
      </c>
      <c r="GM216" s="15">
        <f>GL216*0.1</f>
        <v>0.86099999999999999</v>
      </c>
      <c r="GN216" s="15">
        <f>GM216*SQRT(AR151)</f>
        <v>1.4912957453168032</v>
      </c>
      <c r="GO216" s="15">
        <f t="shared" ref="GO216:GO223" si="221">GL216/GI216</f>
        <v>0.92085561497326196</v>
      </c>
      <c r="GP216" s="15">
        <f t="shared" ref="GP216:GP223" si="222">GL216-GI216</f>
        <v>-0.74000000000000021</v>
      </c>
      <c r="GQ216" s="15">
        <f t="shared" ref="GQ216:GQ223" si="223">LN(GL216)-LN(GI216)</f>
        <v>-8.2452024860956374E-2</v>
      </c>
      <c r="GR216" s="15">
        <f>((GN216*GN216)/(AR151*GL216*GL216)+(GK216*GK216)/(AR151*GI216*GI216))</f>
        <v>1.9999999999999997E-2</v>
      </c>
      <c r="GT216" s="15">
        <v>42.2</v>
      </c>
      <c r="GU216" s="15">
        <f>GT216*0.1</f>
        <v>4.2200000000000006</v>
      </c>
      <c r="GV216" s="15">
        <f>GU216*SQRT(AR141)</f>
        <v>7.3092544079406627</v>
      </c>
      <c r="GW216" s="15">
        <v>61.4</v>
      </c>
      <c r="GX216" s="15">
        <f>GW216*0.1</f>
        <v>6.1400000000000006</v>
      </c>
      <c r="GY216" s="15">
        <f>GX216*SQRT(AR141)</f>
        <v>10.634791958472906</v>
      </c>
      <c r="GZ216" s="15">
        <f>GW216/GT216</f>
        <v>1.4549763033175354</v>
      </c>
      <c r="HA216" s="15">
        <f>GW216-GT216</f>
        <v>19.199999999999996</v>
      </c>
      <c r="HB216" s="15">
        <f>LN(GW216)-LN(GT216)</f>
        <v>0.37498961411113019</v>
      </c>
      <c r="HC216" s="15">
        <f>((GY216*GY216)/(AR141*GW216*GW216)+(GV216*GV216)/(AR141*GT216*GT216))</f>
        <v>2.0000000000000004E-2</v>
      </c>
      <c r="HY216" s="15">
        <f t="shared" si="218"/>
        <v>2250</v>
      </c>
      <c r="HZ216" s="15">
        <f t="shared" si="219"/>
        <v>1</v>
      </c>
      <c r="IA216" s="15">
        <f t="shared" si="220"/>
        <v>1237.5</v>
      </c>
    </row>
    <row r="217" spans="1:235" s="15" customFormat="1" x14ac:dyDescent="0.25">
      <c r="A217" s="31">
        <v>215</v>
      </c>
      <c r="B217" s="1">
        <v>37</v>
      </c>
      <c r="C217" s="1">
        <v>39</v>
      </c>
      <c r="D217" s="15" t="s">
        <v>182</v>
      </c>
      <c r="E217" s="1">
        <v>3</v>
      </c>
      <c r="F217" s="15" t="s">
        <v>861</v>
      </c>
      <c r="G217" s="15" t="s">
        <v>920</v>
      </c>
      <c r="H217" s="15" t="s">
        <v>818</v>
      </c>
      <c r="I217" s="1">
        <v>2011</v>
      </c>
      <c r="J217" s="15" t="s">
        <v>922</v>
      </c>
      <c r="K217" s="1">
        <v>2008</v>
      </c>
      <c r="L217" s="15" t="s">
        <v>923</v>
      </c>
      <c r="M217" s="15" t="s">
        <v>480</v>
      </c>
      <c r="N217" s="15" t="s">
        <v>23</v>
      </c>
      <c r="O217" s="31">
        <v>2</v>
      </c>
      <c r="P217" s="15">
        <v>32.06</v>
      </c>
      <c r="Q217" s="15">
        <v>118.85</v>
      </c>
      <c r="U217" s="15" t="s">
        <v>549</v>
      </c>
      <c r="V217" s="31">
        <v>1</v>
      </c>
      <c r="W217" s="16"/>
      <c r="X217" s="15" t="s">
        <v>924</v>
      </c>
      <c r="Y217" s="1">
        <v>7</v>
      </c>
      <c r="Z217" s="15">
        <v>4.54</v>
      </c>
      <c r="AA217" s="15" t="s">
        <v>574</v>
      </c>
      <c r="AB217" s="15">
        <f t="shared" si="156"/>
        <v>4.54</v>
      </c>
      <c r="AC217" s="1">
        <v>2</v>
      </c>
      <c r="AM217" s="1"/>
      <c r="AQ217" s="1"/>
      <c r="AR217" s="1">
        <v>3</v>
      </c>
      <c r="BP217" s="16"/>
      <c r="BQ217" s="16"/>
      <c r="BR217" s="16"/>
      <c r="BU217" s="16"/>
      <c r="DV217" s="15">
        <v>8.48</v>
      </c>
      <c r="DW217" s="15" t="s">
        <v>867</v>
      </c>
      <c r="DX217" s="15">
        <v>4500</v>
      </c>
      <c r="DY217" s="15">
        <f>DX217</f>
        <v>4500</v>
      </c>
      <c r="DZ217" s="15" t="s">
        <v>766</v>
      </c>
      <c r="EC217" s="57">
        <v>242.46</v>
      </c>
      <c r="ED217" s="57">
        <v>59.34</v>
      </c>
      <c r="EE217" s="57">
        <v>0.03</v>
      </c>
      <c r="EF217" s="57">
        <v>39.159999999999997</v>
      </c>
      <c r="EG217" s="57">
        <v>0.59</v>
      </c>
      <c r="EH217" s="57">
        <v>121.49</v>
      </c>
      <c r="EI217" s="57"/>
      <c r="ES217" s="15">
        <f t="shared" si="215"/>
        <v>4500</v>
      </c>
      <c r="ET217" s="15">
        <f t="shared" si="216"/>
        <v>2</v>
      </c>
      <c r="EU217" s="15">
        <f t="shared" si="217"/>
        <v>2475</v>
      </c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>
        <f t="shared" si="157"/>
        <v>4.54</v>
      </c>
      <c r="FL217" s="16">
        <f t="shared" si="158"/>
        <v>5.51</v>
      </c>
      <c r="FM217" s="15">
        <v>4.54</v>
      </c>
      <c r="FN217" s="15">
        <v>0.03</v>
      </c>
      <c r="FO217" s="15">
        <f>FN217*SQRT(AR217)</f>
        <v>5.1961524227066312E-2</v>
      </c>
      <c r="FP217" s="15">
        <v>5.51</v>
      </c>
      <c r="FQ217" s="15">
        <v>0.04</v>
      </c>
      <c r="FR217" s="15">
        <f>FQ217*SQRT(AR217)</f>
        <v>6.9282032302755092E-2</v>
      </c>
      <c r="FS217" s="15">
        <f t="shared" si="191"/>
        <v>1.2136563876651982</v>
      </c>
      <c r="FT217" s="15">
        <f t="shared" si="192"/>
        <v>0.96999999999999975</v>
      </c>
      <c r="FU217" s="15">
        <f t="shared" si="193"/>
        <v>0.19363761111156652</v>
      </c>
      <c r="FV217" s="15">
        <f>((FR217*FR217)/(AR217*FP217*FP217)+(FO217*FO217)/(AR217*FM217*FM217))</f>
        <v>9.6365481160749918E-5</v>
      </c>
      <c r="GI217" s="15">
        <v>9.35</v>
      </c>
      <c r="GJ217" s="15">
        <f>GI217*0.1</f>
        <v>0.93500000000000005</v>
      </c>
      <c r="GK217" s="15">
        <f>GJ217*SQRT(AR152)</f>
        <v>1.6194675050769003</v>
      </c>
      <c r="GL217" s="15">
        <v>9.33</v>
      </c>
      <c r="GM217" s="15">
        <f>GL217*0.1</f>
        <v>0.93300000000000005</v>
      </c>
      <c r="GN217" s="15">
        <f>GM217*SQRT(AR152)</f>
        <v>1.6160034034617625</v>
      </c>
      <c r="GO217" s="15">
        <f t="shared" si="221"/>
        <v>0.99786096256684498</v>
      </c>
      <c r="GP217" s="15">
        <f t="shared" si="222"/>
        <v>-1.9999999999999574E-2</v>
      </c>
      <c r="GQ217" s="15">
        <f t="shared" si="223"/>
        <v>-2.1413284413429601E-3</v>
      </c>
      <c r="GR217" s="15">
        <f>((GN217*GN217)/(AR152*GL217*GL217)+(GK217*GK217)/(AR152*GI217*GI217))</f>
        <v>0.02</v>
      </c>
      <c r="GT217" s="15">
        <v>42.2</v>
      </c>
      <c r="GU217" s="15">
        <f>GT217*0.1</f>
        <v>4.2200000000000006</v>
      </c>
      <c r="GV217" s="15">
        <f>GU217*SQRT(AR142)</f>
        <v>7.3092544079406627</v>
      </c>
      <c r="GW217" s="15">
        <v>79.599999999999994</v>
      </c>
      <c r="GX217" s="15">
        <f>GW217*0.1</f>
        <v>7.96</v>
      </c>
      <c r="GY217" s="15">
        <f>GX217*SQRT(AR142)</f>
        <v>13.787124428248262</v>
      </c>
      <c r="GZ217" s="15">
        <f>GW217/GT217</f>
        <v>1.8862559241706158</v>
      </c>
      <c r="HA217" s="15">
        <f>GW217-GT217</f>
        <v>37.399999999999991</v>
      </c>
      <c r="HB217" s="15">
        <f>LN(GW217)-LN(GT217)</f>
        <v>0.63459387180837101</v>
      </c>
      <c r="HC217" s="15">
        <f>((GY217*GY217)/(AR142*GW217*GW217)+(GV217*GV217)/(AR142*GT217*GT217))</f>
        <v>2.0000000000000004E-2</v>
      </c>
      <c r="HY217" s="15">
        <f t="shared" si="218"/>
        <v>4500</v>
      </c>
      <c r="HZ217" s="15">
        <f t="shared" si="219"/>
        <v>2</v>
      </c>
      <c r="IA217" s="15">
        <f t="shared" si="220"/>
        <v>2475</v>
      </c>
    </row>
    <row r="218" spans="1:235" s="15" customFormat="1" x14ac:dyDescent="0.25">
      <c r="A218" s="31">
        <v>216</v>
      </c>
      <c r="B218" s="1">
        <v>37</v>
      </c>
      <c r="C218" s="1">
        <v>39</v>
      </c>
      <c r="D218" s="15" t="s">
        <v>183</v>
      </c>
      <c r="E218" s="1">
        <v>3</v>
      </c>
      <c r="F218" s="15" t="s">
        <v>861</v>
      </c>
      <c r="G218" s="15" t="s">
        <v>920</v>
      </c>
      <c r="H218" s="15" t="s">
        <v>818</v>
      </c>
      <c r="I218" s="1">
        <v>2011</v>
      </c>
      <c r="J218" s="15" t="s">
        <v>922</v>
      </c>
      <c r="K218" s="1">
        <v>2008</v>
      </c>
      <c r="L218" s="15" t="s">
        <v>923</v>
      </c>
      <c r="M218" s="15" t="s">
        <v>480</v>
      </c>
      <c r="N218" s="15" t="s">
        <v>23</v>
      </c>
      <c r="O218" s="31">
        <v>2</v>
      </c>
      <c r="P218" s="15">
        <v>32.06</v>
      </c>
      <c r="Q218" s="15">
        <v>118.85</v>
      </c>
      <c r="U218" s="15" t="s">
        <v>549</v>
      </c>
      <c r="V218" s="31">
        <v>1</v>
      </c>
      <c r="W218" s="16"/>
      <c r="X218" s="15" t="s">
        <v>924</v>
      </c>
      <c r="Y218" s="1">
        <v>7</v>
      </c>
      <c r="Z218" s="15">
        <v>4.54</v>
      </c>
      <c r="AA218" s="15" t="s">
        <v>574</v>
      </c>
      <c r="AB218" s="15">
        <f t="shared" si="156"/>
        <v>4.54</v>
      </c>
      <c r="AC218" s="1">
        <v>2</v>
      </c>
      <c r="AM218" s="1"/>
      <c r="AQ218" s="1"/>
      <c r="AR218" s="1">
        <v>3</v>
      </c>
      <c r="BP218" s="16"/>
      <c r="BQ218" s="16"/>
      <c r="BR218" s="16"/>
      <c r="BU218" s="16"/>
      <c r="DV218" s="15">
        <v>8.48</v>
      </c>
      <c r="DW218" s="15" t="s">
        <v>867</v>
      </c>
      <c r="DX218" s="15">
        <v>9000</v>
      </c>
      <c r="DY218" s="15">
        <f>DX218</f>
        <v>9000</v>
      </c>
      <c r="DZ218" s="15" t="s">
        <v>766</v>
      </c>
      <c r="EC218" s="57">
        <v>242.46</v>
      </c>
      <c r="ED218" s="57">
        <v>59.34</v>
      </c>
      <c r="EE218" s="57">
        <v>0.03</v>
      </c>
      <c r="EF218" s="57">
        <v>39.159999999999997</v>
      </c>
      <c r="EG218" s="57">
        <v>0.59</v>
      </c>
      <c r="EH218" s="57">
        <v>121.49</v>
      </c>
      <c r="EI218" s="57"/>
      <c r="ES218" s="15">
        <f t="shared" si="215"/>
        <v>9000</v>
      </c>
      <c r="ET218" s="15">
        <f t="shared" si="216"/>
        <v>4</v>
      </c>
      <c r="EU218" s="15">
        <f t="shared" si="217"/>
        <v>4950</v>
      </c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>
        <f t="shared" si="157"/>
        <v>4.54</v>
      </c>
      <c r="FL218" s="16">
        <f t="shared" si="158"/>
        <v>6.05</v>
      </c>
      <c r="FM218" s="15">
        <v>4.54</v>
      </c>
      <c r="FN218" s="15">
        <v>0.03</v>
      </c>
      <c r="FO218" s="15">
        <f>FN218*SQRT(AR218)</f>
        <v>5.1961524227066312E-2</v>
      </c>
      <c r="FP218" s="15">
        <v>6.05</v>
      </c>
      <c r="FQ218" s="15">
        <v>0.02</v>
      </c>
      <c r="FR218" s="15">
        <f>FQ218*SQRT(AR218)</f>
        <v>3.4641016151377546E-2</v>
      </c>
      <c r="FS218" s="15">
        <f t="shared" si="191"/>
        <v>1.3325991189427313</v>
      </c>
      <c r="FT218" s="15">
        <f t="shared" si="192"/>
        <v>1.5099999999999998</v>
      </c>
      <c r="FU218" s="15">
        <f t="shared" si="193"/>
        <v>0.28713125998949351</v>
      </c>
      <c r="FV218" s="15">
        <f>((FR218*FR218)/(AR218*FP218*FP218)+(FO218*FO218)/(AR218*FM218*FM218))</f>
        <v>5.4592947766580124E-5</v>
      </c>
      <c r="GI218" s="15">
        <v>9.35</v>
      </c>
      <c r="GJ218" s="15">
        <f>GI218*0.1</f>
        <v>0.93500000000000005</v>
      </c>
      <c r="GK218" s="15">
        <f>GJ218*SQRT(AR153)</f>
        <v>1.6194675050769003</v>
      </c>
      <c r="GL218" s="15">
        <v>11.14</v>
      </c>
      <c r="GM218" s="15">
        <f>GL218*0.1</f>
        <v>1.1140000000000001</v>
      </c>
      <c r="GN218" s="15">
        <f>GM218*SQRT(AR153)</f>
        <v>1.9295045996317293</v>
      </c>
      <c r="GO218" s="15">
        <f t="shared" si="221"/>
        <v>1.1914438502673799</v>
      </c>
      <c r="GP218" s="15">
        <f t="shared" si="222"/>
        <v>1.7900000000000009</v>
      </c>
      <c r="GQ218" s="15">
        <f t="shared" si="223"/>
        <v>0.17516589119854231</v>
      </c>
      <c r="GR218" s="15">
        <f>((GN218*GN218)/(AR153*GL218*GL218)+(GK218*GK218)/(AR153*GI218*GI218))</f>
        <v>1.9999999999999997E-2</v>
      </c>
      <c r="GT218" s="15">
        <v>42.2</v>
      </c>
      <c r="GU218" s="15">
        <f>GT218*0.1</f>
        <v>4.2200000000000006</v>
      </c>
      <c r="GV218" s="15">
        <f>GU218*SQRT(AR143)</f>
        <v>7.3092544079406627</v>
      </c>
      <c r="GW218" s="15">
        <v>96.4</v>
      </c>
      <c r="GX218" s="15">
        <f>GW218*0.1</f>
        <v>9.64</v>
      </c>
      <c r="GY218" s="15">
        <f>GX218*SQRT(AR143)</f>
        <v>16.696969784963976</v>
      </c>
      <c r="GZ218" s="15">
        <f>GW218/GT218</f>
        <v>2.2843601895734595</v>
      </c>
      <c r="HA218" s="15">
        <f>GW218-GT218</f>
        <v>54.2</v>
      </c>
      <c r="HB218" s="15">
        <f>LN(GW218)-LN(GT218)</f>
        <v>0.82608598057453353</v>
      </c>
      <c r="HC218" s="15">
        <f>((GY218*GY218)/(AR143*GW218*GW218)+(GV218*GV218)/(AR143*GT218*GT218))</f>
        <v>0.02</v>
      </c>
      <c r="HY218" s="15">
        <f t="shared" si="218"/>
        <v>9000</v>
      </c>
      <c r="HZ218" s="15">
        <f t="shared" si="219"/>
        <v>4</v>
      </c>
      <c r="IA218" s="15">
        <f t="shared" si="220"/>
        <v>4950</v>
      </c>
    </row>
    <row r="219" spans="1:235" s="1" customFormat="1" x14ac:dyDescent="0.25">
      <c r="A219" s="31">
        <v>217</v>
      </c>
      <c r="B219" s="1">
        <v>38</v>
      </c>
      <c r="C219" s="1">
        <v>40</v>
      </c>
      <c r="D219" s="1" t="s">
        <v>184</v>
      </c>
      <c r="E219" s="1">
        <v>3</v>
      </c>
      <c r="F219" s="1" t="s">
        <v>925</v>
      </c>
      <c r="G219" s="1" t="s">
        <v>929</v>
      </c>
      <c r="H219" s="1" t="s">
        <v>930</v>
      </c>
      <c r="I219" s="1">
        <v>2009</v>
      </c>
      <c r="J219" s="1" t="s">
        <v>801</v>
      </c>
      <c r="K219" s="1">
        <v>2006</v>
      </c>
      <c r="L219" s="15" t="s">
        <v>820</v>
      </c>
      <c r="M219" s="15" t="s">
        <v>480</v>
      </c>
      <c r="N219" s="15" t="s">
        <v>23</v>
      </c>
      <c r="O219" s="31">
        <v>2</v>
      </c>
      <c r="P219" s="15">
        <v>26.25</v>
      </c>
      <c r="Q219" s="15">
        <v>116.92</v>
      </c>
      <c r="U219" s="15" t="s">
        <v>807</v>
      </c>
      <c r="V219" s="31">
        <v>2</v>
      </c>
      <c r="W219" s="16" t="s">
        <v>1149</v>
      </c>
      <c r="Z219" s="1">
        <v>4.54</v>
      </c>
      <c r="AA219" s="15" t="s">
        <v>574</v>
      </c>
      <c r="AB219" s="15">
        <f t="shared" si="156"/>
        <v>4.54</v>
      </c>
      <c r="AC219" s="1">
        <v>2</v>
      </c>
      <c r="AD219" s="1">
        <v>25.74</v>
      </c>
      <c r="AF219" s="1">
        <v>8.7200000000000006</v>
      </c>
      <c r="AH219" s="15">
        <f t="shared" ref="AH219:AH235" si="224">(0.41+0.45+1.73+0.04)*100/8.72</f>
        <v>30.160550458715594</v>
      </c>
      <c r="AR219" s="1">
        <v>3</v>
      </c>
      <c r="DV219" s="1">
        <v>11.3</v>
      </c>
      <c r="DW219" s="1" t="s">
        <v>937</v>
      </c>
      <c r="DX219" s="1">
        <v>10</v>
      </c>
      <c r="DY219" s="15">
        <f>DX219*2250</f>
        <v>22500</v>
      </c>
      <c r="DZ219" s="15" t="s">
        <v>766</v>
      </c>
      <c r="EC219" s="1">
        <v>27.6</v>
      </c>
      <c r="ED219" s="1">
        <v>6.06</v>
      </c>
      <c r="EE219" s="1">
        <v>4.46</v>
      </c>
      <c r="EF219" s="1">
        <v>12.44</v>
      </c>
      <c r="EG219" s="1">
        <v>1.69</v>
      </c>
      <c r="EH219" s="1">
        <v>2.12</v>
      </c>
      <c r="ES219" s="15">
        <f t="shared" si="215"/>
        <v>22500</v>
      </c>
      <c r="ET219" s="15">
        <f t="shared" si="216"/>
        <v>10</v>
      </c>
      <c r="EU219" s="15">
        <f t="shared" si="217"/>
        <v>12375.000000000002</v>
      </c>
      <c r="FK219" s="16">
        <f t="shared" si="157"/>
        <v>4.05</v>
      </c>
      <c r="FL219" s="16">
        <f t="shared" si="158"/>
        <v>4.2300000000000004</v>
      </c>
      <c r="FM219" s="1">
        <v>4.05</v>
      </c>
      <c r="FN219" s="1">
        <v>0.4</v>
      </c>
      <c r="FO219" s="15">
        <f>FN219*SQRT(AR219)</f>
        <v>0.69282032302755092</v>
      </c>
      <c r="FP219" s="1">
        <v>4.2300000000000004</v>
      </c>
      <c r="FQ219" s="1">
        <v>0.4</v>
      </c>
      <c r="FR219" s="15">
        <f>FQ219*SQRT(AR219)</f>
        <v>0.69282032302755092</v>
      </c>
      <c r="FS219" s="15">
        <f t="shared" si="191"/>
        <v>1.0444444444444445</v>
      </c>
      <c r="FT219" s="1">
        <f t="shared" si="192"/>
        <v>0.1800000000000006</v>
      </c>
      <c r="FU219" s="15">
        <f t="shared" si="193"/>
        <v>4.3485111939738808E-2</v>
      </c>
      <c r="FV219" s="15">
        <f>((FR219*FR219)/(AR219*FP219*FP219)+(FO219*FO219)/(AR219*FM219*FM219))</f>
        <v>1.869670492792886E-2</v>
      </c>
      <c r="GI219" s="1">
        <v>8.1300000000000008</v>
      </c>
      <c r="GJ219" s="1">
        <v>0.8</v>
      </c>
      <c r="GK219" s="15">
        <f>GJ219*SQRT(AR154)</f>
        <v>1.3856406460551018</v>
      </c>
      <c r="GL219" s="1">
        <v>8</v>
      </c>
      <c r="GM219" s="1">
        <v>0.8</v>
      </c>
      <c r="GN219" s="15">
        <f>GM219*SQRT(AR154)</f>
        <v>1.3856406460551018</v>
      </c>
      <c r="GO219" s="15">
        <f t="shared" si="221"/>
        <v>0.98400984009840087</v>
      </c>
      <c r="GP219" s="15">
        <f t="shared" si="222"/>
        <v>-0.13000000000000078</v>
      </c>
      <c r="GQ219" s="15">
        <f t="shared" si="223"/>
        <v>-1.6119381879883488E-2</v>
      </c>
      <c r="GR219" s="15">
        <f>((GN219*GN219)/(AR154*GL219*GL219)+(GK219*GK219)/(AR154*GI219*GI219))</f>
        <v>1.9682753654104806E-2</v>
      </c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Y219" s="15">
        <f t="shared" si="218"/>
        <v>22500</v>
      </c>
      <c r="HZ219" s="15">
        <f t="shared" si="219"/>
        <v>10</v>
      </c>
      <c r="IA219" s="15">
        <f t="shared" si="220"/>
        <v>12375.000000000002</v>
      </c>
    </row>
    <row r="220" spans="1:235" s="1" customFormat="1" x14ac:dyDescent="0.25">
      <c r="A220" s="31">
        <v>218</v>
      </c>
      <c r="B220" s="1">
        <v>38</v>
      </c>
      <c r="C220" s="1">
        <v>40</v>
      </c>
      <c r="D220" s="1" t="s">
        <v>185</v>
      </c>
      <c r="E220" s="1">
        <v>3</v>
      </c>
      <c r="F220" s="1" t="s">
        <v>861</v>
      </c>
      <c r="G220" s="1" t="s">
        <v>929</v>
      </c>
      <c r="H220" s="1" t="s">
        <v>930</v>
      </c>
      <c r="I220" s="1">
        <v>2009</v>
      </c>
      <c r="J220" s="1" t="s">
        <v>801</v>
      </c>
      <c r="K220" s="1">
        <v>2006</v>
      </c>
      <c r="L220" s="15" t="s">
        <v>820</v>
      </c>
      <c r="M220" s="15" t="s">
        <v>480</v>
      </c>
      <c r="N220" s="15" t="s">
        <v>23</v>
      </c>
      <c r="O220" s="31">
        <v>2</v>
      </c>
      <c r="P220" s="15">
        <v>26.25</v>
      </c>
      <c r="Q220" s="15">
        <v>116.92</v>
      </c>
      <c r="U220" s="15" t="s">
        <v>807</v>
      </c>
      <c r="V220" s="31">
        <v>2</v>
      </c>
      <c r="W220" s="16" t="s">
        <v>1149</v>
      </c>
      <c r="Z220" s="1">
        <v>4.54</v>
      </c>
      <c r="AA220" s="15" t="s">
        <v>574</v>
      </c>
      <c r="AB220" s="15">
        <f t="shared" si="156"/>
        <v>4.54</v>
      </c>
      <c r="AC220" s="1">
        <v>2</v>
      </c>
      <c r="AD220" s="1">
        <v>25.74</v>
      </c>
      <c r="AF220" s="1">
        <v>8.7200000000000006</v>
      </c>
      <c r="AH220" s="15">
        <f t="shared" si="224"/>
        <v>30.160550458715594</v>
      </c>
      <c r="AR220" s="1">
        <v>3</v>
      </c>
      <c r="DV220" s="1">
        <v>8.48</v>
      </c>
      <c r="DW220" s="1" t="s">
        <v>938</v>
      </c>
      <c r="DX220" s="1">
        <v>2</v>
      </c>
      <c r="DY220" s="15">
        <f>DX220*2250</f>
        <v>4500</v>
      </c>
      <c r="DZ220" s="15" t="s">
        <v>766</v>
      </c>
      <c r="EC220" s="1">
        <v>242.46</v>
      </c>
      <c r="ED220" s="1">
        <v>59.34</v>
      </c>
      <c r="EE220" s="1">
        <v>0.03</v>
      </c>
      <c r="EF220" s="1">
        <v>39.159999999999997</v>
      </c>
      <c r="EG220" s="1">
        <v>0.59</v>
      </c>
      <c r="EH220" s="1">
        <v>121.49</v>
      </c>
      <c r="ES220" s="15">
        <f t="shared" si="215"/>
        <v>4500</v>
      </c>
      <c r="ET220" s="15">
        <f t="shared" si="216"/>
        <v>2</v>
      </c>
      <c r="EU220" s="15">
        <f t="shared" si="217"/>
        <v>2475</v>
      </c>
      <c r="FK220" s="16">
        <f t="shared" si="157"/>
        <v>4.05</v>
      </c>
      <c r="FL220" s="16">
        <f t="shared" si="158"/>
        <v>4.47</v>
      </c>
      <c r="FM220" s="1">
        <v>4.05</v>
      </c>
      <c r="FN220" s="1">
        <v>0.4</v>
      </c>
      <c r="FO220" s="15">
        <f>FN220*SQRT(AR220)</f>
        <v>0.69282032302755092</v>
      </c>
      <c r="FP220" s="1">
        <v>4.47</v>
      </c>
      <c r="FQ220" s="1">
        <v>0.4</v>
      </c>
      <c r="FR220" s="15">
        <f>FQ220*SQRT(AR220)</f>
        <v>0.69282032302755092</v>
      </c>
      <c r="FS220" s="15">
        <f t="shared" si="191"/>
        <v>1.1037037037037036</v>
      </c>
      <c r="FT220" s="1">
        <f t="shared" si="192"/>
        <v>0.41999999999999993</v>
      </c>
      <c r="FU220" s="15">
        <f t="shared" si="193"/>
        <v>9.8671527507029566E-2</v>
      </c>
      <c r="FV220" s="15">
        <f>((FR220*FR220)/(AR220*FP220*FP220)+(FO220*FO220)/(AR220*FM220*FM220))</f>
        <v>1.7762257880830377E-2</v>
      </c>
      <c r="GI220" s="1">
        <v>8.1300000000000008</v>
      </c>
      <c r="GJ220" s="1">
        <v>0.8</v>
      </c>
      <c r="GK220" s="15">
        <f>GJ220*SQRT(AR155)</f>
        <v>1.3856406460551018</v>
      </c>
      <c r="GL220" s="1">
        <v>9.3000000000000007</v>
      </c>
      <c r="GM220" s="1">
        <v>0.9</v>
      </c>
      <c r="GN220" s="15">
        <f>GM220*SQRT(AR155)</f>
        <v>1.5588457268119895</v>
      </c>
      <c r="GO220" s="15">
        <f t="shared" si="221"/>
        <v>1.1439114391143912</v>
      </c>
      <c r="GP220" s="15">
        <f t="shared" si="222"/>
        <v>1.17</v>
      </c>
      <c r="GQ220" s="15">
        <f t="shared" si="223"/>
        <v>0.13445347659949114</v>
      </c>
      <c r="GR220" s="15">
        <f>((GN220*GN220)/(AR155*GL220*GL220)+(GK220*GK220)/(AR155*GI220*GI220))</f>
        <v>1.9047998191045488E-2</v>
      </c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Y220" s="15">
        <f t="shared" si="218"/>
        <v>4500</v>
      </c>
      <c r="HZ220" s="15">
        <f t="shared" si="219"/>
        <v>2</v>
      </c>
      <c r="IA220" s="15">
        <f t="shared" si="220"/>
        <v>2475</v>
      </c>
    </row>
    <row r="221" spans="1:235" s="1" customFormat="1" x14ac:dyDescent="0.25">
      <c r="A221" s="31">
        <v>219</v>
      </c>
      <c r="B221" s="1">
        <v>38</v>
      </c>
      <c r="C221" s="1">
        <v>40</v>
      </c>
      <c r="D221" s="1" t="s">
        <v>186</v>
      </c>
      <c r="E221" s="1">
        <v>3</v>
      </c>
      <c r="F221" s="1" t="s">
        <v>927</v>
      </c>
      <c r="G221" s="1" t="s">
        <v>929</v>
      </c>
      <c r="H221" s="1" t="s">
        <v>930</v>
      </c>
      <c r="I221" s="1">
        <v>2009</v>
      </c>
      <c r="J221" s="1" t="s">
        <v>801</v>
      </c>
      <c r="K221" s="1">
        <v>2006</v>
      </c>
      <c r="L221" s="15" t="s">
        <v>820</v>
      </c>
      <c r="M221" s="15" t="s">
        <v>480</v>
      </c>
      <c r="N221" s="15" t="s">
        <v>23</v>
      </c>
      <c r="O221" s="31">
        <v>2</v>
      </c>
      <c r="P221" s="15">
        <v>26.25</v>
      </c>
      <c r="Q221" s="15">
        <v>116.92</v>
      </c>
      <c r="U221" s="15" t="s">
        <v>807</v>
      </c>
      <c r="V221" s="31">
        <v>2</v>
      </c>
      <c r="W221" s="16" t="s">
        <v>1149</v>
      </c>
      <c r="Z221" s="1">
        <v>4.54</v>
      </c>
      <c r="AA221" s="15" t="s">
        <v>574</v>
      </c>
      <c r="AB221" s="15">
        <f t="shared" ref="AB221:AB263" si="225">Z221</f>
        <v>4.54</v>
      </c>
      <c r="AC221" s="1">
        <v>2</v>
      </c>
      <c r="AD221" s="1">
        <v>25.74</v>
      </c>
      <c r="AF221" s="1">
        <v>8.7200000000000006</v>
      </c>
      <c r="AH221" s="15">
        <f t="shared" si="224"/>
        <v>30.160550458715594</v>
      </c>
      <c r="AR221" s="1">
        <v>3</v>
      </c>
      <c r="DV221" s="1">
        <v>11.87</v>
      </c>
      <c r="DW221" s="1" t="s">
        <v>939</v>
      </c>
      <c r="DX221" s="1">
        <v>2</v>
      </c>
      <c r="DY221" s="15">
        <f>DX221*2250</f>
        <v>4500</v>
      </c>
      <c r="DZ221" s="15" t="s">
        <v>766</v>
      </c>
      <c r="EC221" s="1">
        <v>306.02</v>
      </c>
      <c r="ED221" s="1">
        <v>36.020000000000003</v>
      </c>
      <c r="EE221" s="1">
        <v>2.71</v>
      </c>
      <c r="EF221" s="1">
        <v>63.69</v>
      </c>
      <c r="EG221" s="1">
        <v>2.5099999999999998</v>
      </c>
      <c r="EH221" s="1">
        <v>7.76</v>
      </c>
      <c r="ES221" s="15">
        <f t="shared" si="215"/>
        <v>4500</v>
      </c>
      <c r="ET221" s="15">
        <f t="shared" si="216"/>
        <v>2</v>
      </c>
      <c r="EU221" s="15">
        <f t="shared" si="217"/>
        <v>2475</v>
      </c>
      <c r="FK221" s="16">
        <f t="shared" ref="FK221:FK263" si="226">FM221</f>
        <v>4.05</v>
      </c>
      <c r="FL221" s="16">
        <f t="shared" ref="FL221:FL263" si="227">FP221</f>
        <v>4.6900000000000004</v>
      </c>
      <c r="FM221" s="1">
        <v>4.05</v>
      </c>
      <c r="FN221" s="1">
        <v>0.4</v>
      </c>
      <c r="FO221" s="15">
        <f>FN221*SQRT(AR221)</f>
        <v>0.69282032302755092</v>
      </c>
      <c r="FP221" s="1">
        <v>4.6900000000000004</v>
      </c>
      <c r="FQ221" s="1">
        <v>0.4</v>
      </c>
      <c r="FR221" s="15">
        <f>FQ221*SQRT(AR221)</f>
        <v>0.69282032302755092</v>
      </c>
      <c r="FS221" s="15">
        <f t="shared" si="191"/>
        <v>1.1580246913580248</v>
      </c>
      <c r="FT221" s="1">
        <f t="shared" si="192"/>
        <v>0.64000000000000057</v>
      </c>
      <c r="FU221" s="15">
        <f t="shared" si="193"/>
        <v>0.14671570133974021</v>
      </c>
      <c r="FV221" s="15">
        <f>((FR221*FR221)/(AR221*FP221*FP221)+(FO221*FO221)/(AR221*FM221*FM221))</f>
        <v>1.702862733517195E-2</v>
      </c>
      <c r="GI221" s="1">
        <v>8.1300000000000008</v>
      </c>
      <c r="GJ221" s="1">
        <v>0.8</v>
      </c>
      <c r="GK221" s="15">
        <f>GJ221*SQRT(AR156)</f>
        <v>1.3856406460551018</v>
      </c>
      <c r="GL221" s="1">
        <v>8.4</v>
      </c>
      <c r="GM221" s="1">
        <v>0.8</v>
      </c>
      <c r="GN221" s="15">
        <f>GM221*SQRT(AR156)</f>
        <v>1.3856406460551018</v>
      </c>
      <c r="GO221" s="15">
        <f t="shared" si="221"/>
        <v>1.033210332103321</v>
      </c>
      <c r="GP221" s="15">
        <f t="shared" si="222"/>
        <v>0.26999999999999957</v>
      </c>
      <c r="GQ221" s="15">
        <f t="shared" si="223"/>
        <v>3.2670782289548672E-2</v>
      </c>
      <c r="GR221" s="15">
        <f>((GN221*GN221)/(AR156*GL221*GL221)+(GK221*GK221)/(AR156*GI221*GI221))</f>
        <v>1.8753048438685305E-2</v>
      </c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Y221" s="15">
        <f t="shared" si="218"/>
        <v>4500</v>
      </c>
      <c r="HZ221" s="15">
        <f t="shared" si="219"/>
        <v>2</v>
      </c>
      <c r="IA221" s="15">
        <f t="shared" si="220"/>
        <v>2475</v>
      </c>
    </row>
    <row r="222" spans="1:235" s="1" customFormat="1" x14ac:dyDescent="0.25">
      <c r="A222" s="31">
        <v>220</v>
      </c>
      <c r="B222" s="1">
        <v>38</v>
      </c>
      <c r="C222" s="1">
        <v>40</v>
      </c>
      <c r="D222" s="1" t="s">
        <v>187</v>
      </c>
      <c r="E222" s="1">
        <v>3</v>
      </c>
      <c r="F222" s="1" t="s">
        <v>928</v>
      </c>
      <c r="G222" s="1" t="s">
        <v>929</v>
      </c>
      <c r="H222" s="1" t="s">
        <v>930</v>
      </c>
      <c r="I222" s="1">
        <v>2009</v>
      </c>
      <c r="J222" s="1" t="s">
        <v>801</v>
      </c>
      <c r="K222" s="1">
        <v>2006</v>
      </c>
      <c r="L222" s="15" t="s">
        <v>820</v>
      </c>
      <c r="M222" s="15" t="s">
        <v>480</v>
      </c>
      <c r="N222" s="15" t="s">
        <v>23</v>
      </c>
      <c r="O222" s="31">
        <v>2</v>
      </c>
      <c r="P222" s="15">
        <v>26.25</v>
      </c>
      <c r="Q222" s="15">
        <v>116.92</v>
      </c>
      <c r="U222" s="15" t="s">
        <v>807</v>
      </c>
      <c r="V222" s="31">
        <v>2</v>
      </c>
      <c r="W222" s="16" t="s">
        <v>1149</v>
      </c>
      <c r="Z222" s="1">
        <v>4.54</v>
      </c>
      <c r="AA222" s="15" t="s">
        <v>574</v>
      </c>
      <c r="AB222" s="15">
        <f t="shared" si="225"/>
        <v>4.54</v>
      </c>
      <c r="AC222" s="1">
        <v>2</v>
      </c>
      <c r="AD222" s="1">
        <v>25.74</v>
      </c>
      <c r="AF222" s="1">
        <v>8.7200000000000006</v>
      </c>
      <c r="AH222" s="15">
        <f t="shared" si="224"/>
        <v>30.160550458715594</v>
      </c>
      <c r="AR222" s="1">
        <v>3</v>
      </c>
      <c r="DV222" s="1">
        <v>2.12</v>
      </c>
      <c r="DW222" s="1" t="s">
        <v>926</v>
      </c>
      <c r="DX222" s="1">
        <v>2</v>
      </c>
      <c r="DY222" s="15">
        <f>DX222*2250</f>
        <v>4500</v>
      </c>
      <c r="DZ222" s="15" t="s">
        <v>766</v>
      </c>
      <c r="EC222" s="1">
        <v>242.04</v>
      </c>
      <c r="ED222" s="1">
        <v>2.0299999999999998</v>
      </c>
      <c r="EE222" s="1">
        <v>0.08</v>
      </c>
      <c r="EF222" s="1">
        <v>1.68</v>
      </c>
      <c r="EG222" s="1">
        <v>27.75</v>
      </c>
      <c r="EH222" s="1">
        <v>416.71</v>
      </c>
      <c r="ES222" s="15">
        <f t="shared" si="215"/>
        <v>4500</v>
      </c>
      <c r="ET222" s="15">
        <f t="shared" si="216"/>
        <v>2</v>
      </c>
      <c r="EU222" s="15">
        <f t="shared" si="217"/>
        <v>2475</v>
      </c>
      <c r="FK222" s="16">
        <f t="shared" si="226"/>
        <v>4.05</v>
      </c>
      <c r="FL222" s="16">
        <f t="shared" si="227"/>
        <v>4.05</v>
      </c>
      <c r="FM222" s="1">
        <v>4.05</v>
      </c>
      <c r="FN222" s="1">
        <v>0.4</v>
      </c>
      <c r="FO222" s="15">
        <f>FN222*SQRT(AR222)</f>
        <v>0.69282032302755092</v>
      </c>
      <c r="FP222" s="1">
        <v>4.05</v>
      </c>
      <c r="FQ222" s="1">
        <v>0.4</v>
      </c>
      <c r="FR222" s="15">
        <f>FQ222*SQRT(AR222)</f>
        <v>0.69282032302755092</v>
      </c>
      <c r="FS222" s="15">
        <f t="shared" si="191"/>
        <v>1</v>
      </c>
      <c r="FT222" s="1">
        <f t="shared" si="192"/>
        <v>0</v>
      </c>
      <c r="FU222" s="15">
        <f t="shared" si="193"/>
        <v>0</v>
      </c>
      <c r="FV222" s="15">
        <f>((FR222*FR222)/(AR222*FP222*FP222)+(FO222*FO222)/(AR222*FM222*FM222))</f>
        <v>1.9509221155311694E-2</v>
      </c>
      <c r="GI222" s="1">
        <v>8.1300000000000008</v>
      </c>
      <c r="GJ222" s="1">
        <v>0.8</v>
      </c>
      <c r="GK222" s="15">
        <f>GJ222*SQRT(AR157)</f>
        <v>1.3856406460551018</v>
      </c>
      <c r="GL222" s="1">
        <v>9.9</v>
      </c>
      <c r="GM222" s="1">
        <v>0.9</v>
      </c>
      <c r="GN222" s="15">
        <f>GM222*SQRT(AR157)</f>
        <v>1.5588457268119895</v>
      </c>
      <c r="GO222" s="15">
        <f t="shared" si="221"/>
        <v>1.2177121771217712</v>
      </c>
      <c r="GP222" s="15">
        <f t="shared" si="222"/>
        <v>1.7699999999999996</v>
      </c>
      <c r="GQ222" s="15">
        <f t="shared" si="223"/>
        <v>0.1969738335808251</v>
      </c>
      <c r="GR222" s="15">
        <f>((GN222*GN222)/(AR157*GL222*GL222)+(GK222*GK222)/(AR157*GI222*GI222))</f>
        <v>1.7947216464022159E-2</v>
      </c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Y222" s="15">
        <f t="shared" si="218"/>
        <v>4500</v>
      </c>
      <c r="HZ222" s="15">
        <f t="shared" si="219"/>
        <v>2</v>
      </c>
      <c r="IA222" s="15">
        <f t="shared" si="220"/>
        <v>2475</v>
      </c>
    </row>
    <row r="223" spans="1:235" s="15" customFormat="1" x14ac:dyDescent="0.25">
      <c r="A223" s="31">
        <v>221</v>
      </c>
      <c r="B223" s="1">
        <v>38</v>
      </c>
      <c r="C223" s="1">
        <v>40</v>
      </c>
      <c r="D223" s="1" t="s">
        <v>188</v>
      </c>
      <c r="E223" s="1">
        <v>1</v>
      </c>
      <c r="F223" s="15" t="s">
        <v>761</v>
      </c>
      <c r="G223" s="1" t="s">
        <v>929</v>
      </c>
      <c r="H223" s="1" t="s">
        <v>930</v>
      </c>
      <c r="I223" s="1">
        <v>2009</v>
      </c>
      <c r="J223" s="1" t="s">
        <v>801</v>
      </c>
      <c r="K223" s="1">
        <v>2006</v>
      </c>
      <c r="L223" s="15" t="s">
        <v>820</v>
      </c>
      <c r="M223" s="15" t="s">
        <v>480</v>
      </c>
      <c r="N223" s="15" t="s">
        <v>23</v>
      </c>
      <c r="O223" s="31">
        <v>2</v>
      </c>
      <c r="P223" s="15">
        <v>26.25</v>
      </c>
      <c r="Q223" s="15">
        <v>116.92</v>
      </c>
      <c r="U223" s="15" t="s">
        <v>807</v>
      </c>
      <c r="V223" s="31">
        <v>2</v>
      </c>
      <c r="W223" s="16" t="s">
        <v>1162</v>
      </c>
      <c r="Y223" s="1"/>
      <c r="Z223" s="1">
        <v>4.54</v>
      </c>
      <c r="AA223" s="15" t="s">
        <v>574</v>
      </c>
      <c r="AB223" s="15">
        <f t="shared" si="225"/>
        <v>4.54</v>
      </c>
      <c r="AC223" s="1">
        <v>2</v>
      </c>
      <c r="AD223" s="1">
        <v>25.74</v>
      </c>
      <c r="AE223" s="1"/>
      <c r="AF223" s="1">
        <v>8.7200000000000006</v>
      </c>
      <c r="AG223" s="1"/>
      <c r="AH223" s="15">
        <f t="shared" si="224"/>
        <v>30.160550458715594</v>
      </c>
      <c r="AM223" s="1"/>
      <c r="AQ223" s="1"/>
      <c r="AR223" s="1">
        <v>3</v>
      </c>
      <c r="AT223" s="15" t="s">
        <v>576</v>
      </c>
      <c r="AW223" s="15">
        <v>2</v>
      </c>
      <c r="AX223" s="15">
        <f>AW223*4*1000/1.8</f>
        <v>4444.4444444444443</v>
      </c>
      <c r="AY223" s="15" t="s">
        <v>766</v>
      </c>
      <c r="AZ223" s="15">
        <f>AX223</f>
        <v>4444.4444444444443</v>
      </c>
      <c r="BA223" s="15">
        <f>AZ223/2.93/1000</f>
        <v>1.5168752370117558</v>
      </c>
      <c r="BB223" s="15">
        <f>AZ223*0.6</f>
        <v>2666.6666666666665</v>
      </c>
      <c r="BP223" s="16"/>
      <c r="BQ223" s="16"/>
      <c r="BR223" s="16"/>
      <c r="BU223" s="16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>
        <f t="shared" si="226"/>
        <v>4.05</v>
      </c>
      <c r="FL223" s="16">
        <f t="shared" si="227"/>
        <v>5.07</v>
      </c>
      <c r="FM223" s="1">
        <v>4.05</v>
      </c>
      <c r="FN223" s="1">
        <v>0.4</v>
      </c>
      <c r="FO223" s="15">
        <f>FN223*SQRT(AR223)</f>
        <v>0.69282032302755092</v>
      </c>
      <c r="FP223" s="15">
        <v>5.07</v>
      </c>
      <c r="FQ223" s="15">
        <v>0.5</v>
      </c>
      <c r="FR223" s="15">
        <f>FQ223*SQRT(AR223)</f>
        <v>0.8660254037844386</v>
      </c>
      <c r="FS223" s="15">
        <f t="shared" si="191"/>
        <v>1.251851851851852</v>
      </c>
      <c r="FT223" s="1">
        <f t="shared" si="192"/>
        <v>1.0200000000000005</v>
      </c>
      <c r="FU223" s="15">
        <f t="shared" si="193"/>
        <v>0.22462393648464407</v>
      </c>
      <c r="FV223" s="15">
        <f>((FR223*FR223)/(AR223*FP223*FP223)+(FO223*FO223)/(AR223*FM223*FM223))</f>
        <v>1.9480382706705171E-2</v>
      </c>
      <c r="GI223" s="1">
        <v>8.1300000000000008</v>
      </c>
      <c r="GJ223" s="1">
        <v>0.8</v>
      </c>
      <c r="GK223" s="15">
        <f>GJ223*SQRT(AR158)</f>
        <v>1.3856406460551018</v>
      </c>
      <c r="GL223" s="15">
        <v>8.8000000000000007</v>
      </c>
      <c r="GM223" s="15">
        <v>0.8</v>
      </c>
      <c r="GN223" s="15">
        <f>GM223*SQRT(AR158)</f>
        <v>1.3856406460551018</v>
      </c>
      <c r="GO223" s="15">
        <f t="shared" si="221"/>
        <v>1.0824108241082411</v>
      </c>
      <c r="GP223" s="15">
        <f t="shared" si="222"/>
        <v>0.66999999999999993</v>
      </c>
      <c r="GQ223" s="15">
        <f t="shared" si="223"/>
        <v>7.9190797924441725E-2</v>
      </c>
      <c r="GR223" s="15">
        <f>((GN223*GN223)/(AR158*GL223*GL223)+(GK223*GK223)/(AR158*GI223*GI223))</f>
        <v>1.7947216464022159E-2</v>
      </c>
      <c r="HY223" s="15">
        <f>AZ223</f>
        <v>4444.4444444444443</v>
      </c>
      <c r="HZ223" s="15">
        <f>BA223</f>
        <v>1.5168752370117558</v>
      </c>
      <c r="IA223" s="15">
        <f>BB223</f>
        <v>2666.6666666666665</v>
      </c>
    </row>
    <row r="224" spans="1:235" s="15" customFormat="1" x14ac:dyDescent="0.25">
      <c r="A224" s="31">
        <v>222</v>
      </c>
      <c r="B224" s="1">
        <v>38</v>
      </c>
      <c r="C224" s="1">
        <v>41</v>
      </c>
      <c r="D224" s="1" t="s">
        <v>189</v>
      </c>
      <c r="E224" s="1">
        <v>3</v>
      </c>
      <c r="F224" s="15" t="s">
        <v>861</v>
      </c>
      <c r="G224" s="1" t="s">
        <v>929</v>
      </c>
      <c r="H224" s="1" t="s">
        <v>930</v>
      </c>
      <c r="I224" s="1">
        <v>2009</v>
      </c>
      <c r="J224" s="1" t="s">
        <v>801</v>
      </c>
      <c r="K224" s="1">
        <v>2006</v>
      </c>
      <c r="L224" s="15" t="s">
        <v>820</v>
      </c>
      <c r="M224" s="15" t="s">
        <v>480</v>
      </c>
      <c r="N224" s="15" t="s">
        <v>23</v>
      </c>
      <c r="O224" s="31">
        <v>2</v>
      </c>
      <c r="P224" s="15">
        <v>26.25</v>
      </c>
      <c r="Q224" s="15">
        <v>116.92</v>
      </c>
      <c r="U224" s="15" t="s">
        <v>807</v>
      </c>
      <c r="V224" s="31">
        <v>2</v>
      </c>
      <c r="W224" s="16" t="s">
        <v>1166</v>
      </c>
      <c r="Y224" s="1"/>
      <c r="Z224" s="1">
        <v>4.54</v>
      </c>
      <c r="AA224" s="15" t="s">
        <v>574</v>
      </c>
      <c r="AB224" s="15">
        <f t="shared" si="225"/>
        <v>4.54</v>
      </c>
      <c r="AC224" s="1">
        <v>2</v>
      </c>
      <c r="AD224" s="1">
        <v>25.74</v>
      </c>
      <c r="AE224" s="1"/>
      <c r="AF224" s="1">
        <v>8.7200000000000006</v>
      </c>
      <c r="AG224" s="1"/>
      <c r="AH224" s="15">
        <f t="shared" si="224"/>
        <v>30.160550458715594</v>
      </c>
      <c r="AM224" s="1"/>
      <c r="AQ224" s="1"/>
      <c r="AR224" s="1">
        <v>3</v>
      </c>
      <c r="BP224" s="16"/>
      <c r="BQ224" s="16"/>
      <c r="BR224" s="16"/>
      <c r="BU224" s="16"/>
      <c r="DV224" s="1">
        <v>8.48</v>
      </c>
      <c r="DW224" s="1" t="s">
        <v>938</v>
      </c>
      <c r="DX224" s="1">
        <v>2.4</v>
      </c>
      <c r="DY224" s="15">
        <f t="shared" ref="DY224:DY231" si="228">DX224*2250</f>
        <v>5400</v>
      </c>
      <c r="DZ224" s="15" t="s">
        <v>766</v>
      </c>
      <c r="EA224" s="1"/>
      <c r="EB224" s="1"/>
      <c r="EC224" s="1">
        <v>242.46</v>
      </c>
      <c r="ED224" s="1">
        <v>59.34</v>
      </c>
      <c r="EE224" s="1">
        <v>0.03</v>
      </c>
      <c r="EF224" s="1">
        <v>39.159999999999997</v>
      </c>
      <c r="EG224" s="1">
        <v>0.59</v>
      </c>
      <c r="EH224" s="1">
        <v>121.49</v>
      </c>
      <c r="EI224" s="1"/>
      <c r="ES224" s="15">
        <f t="shared" ref="ES224:ES231" si="229">DY224</f>
        <v>5400</v>
      </c>
      <c r="ET224" s="15">
        <f t="shared" ref="ET224:ET231" si="230">ES224/2.25/1000</f>
        <v>2.4</v>
      </c>
      <c r="EU224" s="15">
        <f t="shared" ref="EU224:EU231" si="231">ES224*0.55</f>
        <v>2970.0000000000005</v>
      </c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>
        <f t="shared" si="226"/>
        <v>4.29</v>
      </c>
      <c r="FL224" s="16">
        <f t="shared" si="227"/>
        <v>5.08</v>
      </c>
      <c r="FM224" s="15">
        <v>4.29</v>
      </c>
      <c r="FN224" s="1">
        <v>0.4</v>
      </c>
      <c r="FO224" s="15">
        <f>FN224*SQRT(AR224)</f>
        <v>0.69282032302755092</v>
      </c>
      <c r="FP224" s="15">
        <v>5.08</v>
      </c>
      <c r="FQ224" s="15">
        <v>0.5</v>
      </c>
      <c r="FR224" s="15">
        <f>FQ224*SQRT(AR224)</f>
        <v>0.8660254037844386</v>
      </c>
      <c r="FS224" s="15">
        <f t="shared" si="191"/>
        <v>1.1841491841491842</v>
      </c>
      <c r="FT224" s="15">
        <f t="shared" si="192"/>
        <v>0.79</v>
      </c>
      <c r="FU224" s="15">
        <f t="shared" si="193"/>
        <v>0.16902452865046502</v>
      </c>
      <c r="FV224" s="15">
        <f>((FR224*FR224)/(AR224*FP224*FP224)+(FO224*FO224)/(AR224*FM224*FM224))</f>
        <v>1.8381234362460031E-2</v>
      </c>
      <c r="HY224" s="15">
        <f t="shared" ref="HY224:IA231" si="232">ES224</f>
        <v>5400</v>
      </c>
      <c r="HZ224" s="15">
        <f t="shared" si="232"/>
        <v>2.4</v>
      </c>
      <c r="IA224" s="15">
        <f t="shared" si="232"/>
        <v>2970.0000000000005</v>
      </c>
    </row>
    <row r="225" spans="1:235" s="15" customFormat="1" x14ac:dyDescent="0.25">
      <c r="A225" s="31">
        <v>223</v>
      </c>
      <c r="B225" s="1">
        <v>38</v>
      </c>
      <c r="C225" s="1">
        <v>41</v>
      </c>
      <c r="D225" s="1" t="s">
        <v>190</v>
      </c>
      <c r="E225" s="1">
        <v>3</v>
      </c>
      <c r="F225" s="15" t="s">
        <v>861</v>
      </c>
      <c r="G225" s="1" t="s">
        <v>929</v>
      </c>
      <c r="H225" s="1" t="s">
        <v>930</v>
      </c>
      <c r="I225" s="1">
        <v>2009</v>
      </c>
      <c r="J225" s="1" t="s">
        <v>801</v>
      </c>
      <c r="K225" s="1">
        <v>2006</v>
      </c>
      <c r="L225" s="15" t="s">
        <v>820</v>
      </c>
      <c r="M225" s="15" t="s">
        <v>480</v>
      </c>
      <c r="N225" s="15" t="s">
        <v>23</v>
      </c>
      <c r="O225" s="31">
        <v>2</v>
      </c>
      <c r="P225" s="15">
        <v>26.25</v>
      </c>
      <c r="Q225" s="15">
        <v>116.92</v>
      </c>
      <c r="U225" s="15" t="s">
        <v>807</v>
      </c>
      <c r="V225" s="31">
        <v>2</v>
      </c>
      <c r="W225" s="16" t="s">
        <v>1166</v>
      </c>
      <c r="Y225" s="1"/>
      <c r="Z225" s="1">
        <v>4.54</v>
      </c>
      <c r="AA225" s="15" t="s">
        <v>574</v>
      </c>
      <c r="AB225" s="15">
        <f t="shared" si="225"/>
        <v>4.54</v>
      </c>
      <c r="AC225" s="1">
        <v>2</v>
      </c>
      <c r="AD225" s="1">
        <v>25.74</v>
      </c>
      <c r="AE225" s="1"/>
      <c r="AF225" s="1">
        <v>8.7200000000000006</v>
      </c>
      <c r="AG225" s="1"/>
      <c r="AH225" s="15">
        <f t="shared" si="224"/>
        <v>30.160550458715594</v>
      </c>
      <c r="AM225" s="1"/>
      <c r="AQ225" s="1"/>
      <c r="AR225" s="1">
        <v>3</v>
      </c>
      <c r="BP225" s="16"/>
      <c r="BQ225" s="16"/>
      <c r="BR225" s="16"/>
      <c r="BU225" s="16"/>
      <c r="DV225" s="1">
        <v>8.48</v>
      </c>
      <c r="DW225" s="1" t="s">
        <v>938</v>
      </c>
      <c r="DX225" s="1">
        <v>4.8</v>
      </c>
      <c r="DY225" s="15">
        <f t="shared" si="228"/>
        <v>10800</v>
      </c>
      <c r="DZ225" s="15" t="s">
        <v>766</v>
      </c>
      <c r="EA225" s="1"/>
      <c r="EB225" s="1"/>
      <c r="EC225" s="1">
        <v>242.46</v>
      </c>
      <c r="ED225" s="1">
        <v>59.34</v>
      </c>
      <c r="EE225" s="1">
        <v>0.03</v>
      </c>
      <c r="EF225" s="1">
        <v>39.159999999999997</v>
      </c>
      <c r="EG225" s="1">
        <v>0.59</v>
      </c>
      <c r="EH225" s="1">
        <v>121.49</v>
      </c>
      <c r="EI225" s="1"/>
      <c r="ES225" s="15">
        <f t="shared" si="229"/>
        <v>10800</v>
      </c>
      <c r="ET225" s="15">
        <f t="shared" si="230"/>
        <v>4.8</v>
      </c>
      <c r="EU225" s="15">
        <f t="shared" si="231"/>
        <v>5940.0000000000009</v>
      </c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>
        <f t="shared" si="226"/>
        <v>4.29</v>
      </c>
      <c r="FL225" s="16">
        <f t="shared" si="227"/>
        <v>6.16</v>
      </c>
      <c r="FM225" s="15">
        <v>4.29</v>
      </c>
      <c r="FN225" s="1">
        <v>0.4</v>
      </c>
      <c r="FO225" s="15">
        <f>FN225*SQRT(AR225)</f>
        <v>0.69282032302755092</v>
      </c>
      <c r="FP225" s="15">
        <v>6.16</v>
      </c>
      <c r="FQ225" s="15">
        <v>0.6</v>
      </c>
      <c r="FR225" s="15">
        <f>FQ225*SQRT(AR225)</f>
        <v>1.0392304845413263</v>
      </c>
      <c r="FS225" s="15">
        <f t="shared" si="191"/>
        <v>1.4358974358974359</v>
      </c>
      <c r="FT225" s="15">
        <f t="shared" si="192"/>
        <v>1.87</v>
      </c>
      <c r="FU225" s="15">
        <f t="shared" si="193"/>
        <v>0.3617900446055029</v>
      </c>
      <c r="FV225" s="15">
        <f>((FR225*FR225)/(AR225*FP225*FP225)+(FO225*FO225)/(AR225*FM225*FM225))</f>
        <v>1.8180980968193754E-2</v>
      </c>
      <c r="HY225" s="15">
        <f t="shared" si="232"/>
        <v>10800</v>
      </c>
      <c r="HZ225" s="15">
        <f t="shared" si="232"/>
        <v>4.8</v>
      </c>
      <c r="IA225" s="15">
        <f t="shared" si="232"/>
        <v>5940.0000000000009</v>
      </c>
    </row>
    <row r="226" spans="1:235" s="15" customFormat="1" x14ac:dyDescent="0.25">
      <c r="A226" s="31">
        <v>224</v>
      </c>
      <c r="B226" s="1">
        <v>38</v>
      </c>
      <c r="C226" s="1">
        <v>41</v>
      </c>
      <c r="D226" s="1" t="s">
        <v>191</v>
      </c>
      <c r="E226" s="1">
        <v>3</v>
      </c>
      <c r="F226" s="15" t="s">
        <v>861</v>
      </c>
      <c r="G226" s="1" t="s">
        <v>929</v>
      </c>
      <c r="H226" s="1" t="s">
        <v>930</v>
      </c>
      <c r="I226" s="1">
        <v>2009</v>
      </c>
      <c r="J226" s="1" t="s">
        <v>801</v>
      </c>
      <c r="K226" s="1">
        <v>2006</v>
      </c>
      <c r="L226" s="15" t="s">
        <v>820</v>
      </c>
      <c r="M226" s="15" t="s">
        <v>480</v>
      </c>
      <c r="N226" s="15" t="s">
        <v>23</v>
      </c>
      <c r="O226" s="31">
        <v>2</v>
      </c>
      <c r="P226" s="15">
        <v>26.25</v>
      </c>
      <c r="Q226" s="15">
        <v>116.92</v>
      </c>
      <c r="U226" s="15" t="s">
        <v>807</v>
      </c>
      <c r="V226" s="31">
        <v>2</v>
      </c>
      <c r="W226" s="16" t="s">
        <v>1166</v>
      </c>
      <c r="Y226" s="1"/>
      <c r="Z226" s="1">
        <v>4.54</v>
      </c>
      <c r="AA226" s="15" t="s">
        <v>574</v>
      </c>
      <c r="AB226" s="15">
        <f t="shared" si="225"/>
        <v>4.54</v>
      </c>
      <c r="AC226" s="1">
        <v>2</v>
      </c>
      <c r="AD226" s="1">
        <v>25.74</v>
      </c>
      <c r="AE226" s="1"/>
      <c r="AF226" s="1">
        <v>8.7200000000000006</v>
      </c>
      <c r="AG226" s="1"/>
      <c r="AH226" s="15">
        <f t="shared" si="224"/>
        <v>30.160550458715594</v>
      </c>
      <c r="AM226" s="1"/>
      <c r="AQ226" s="1"/>
      <c r="AR226" s="1">
        <v>3</v>
      </c>
      <c r="BP226" s="16"/>
      <c r="BQ226" s="16"/>
      <c r="BR226" s="16"/>
      <c r="BU226" s="16"/>
      <c r="DV226" s="1">
        <v>8.48</v>
      </c>
      <c r="DW226" s="1" t="s">
        <v>938</v>
      </c>
      <c r="DX226" s="1">
        <v>7.2</v>
      </c>
      <c r="DY226" s="15">
        <f t="shared" si="228"/>
        <v>16200</v>
      </c>
      <c r="DZ226" s="15" t="s">
        <v>766</v>
      </c>
      <c r="EA226" s="1"/>
      <c r="EB226" s="1"/>
      <c r="EC226" s="1">
        <v>242.46</v>
      </c>
      <c r="ED226" s="1">
        <v>59.34</v>
      </c>
      <c r="EE226" s="1">
        <v>0.03</v>
      </c>
      <c r="EF226" s="1">
        <v>39.159999999999997</v>
      </c>
      <c r="EG226" s="1">
        <v>0.59</v>
      </c>
      <c r="EH226" s="1">
        <v>121.49</v>
      </c>
      <c r="EI226" s="1"/>
      <c r="ES226" s="15">
        <f t="shared" si="229"/>
        <v>16200</v>
      </c>
      <c r="ET226" s="15">
        <f t="shared" si="230"/>
        <v>7.2</v>
      </c>
      <c r="EU226" s="15">
        <f t="shared" si="231"/>
        <v>8910</v>
      </c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>
        <f t="shared" si="226"/>
        <v>4.29</v>
      </c>
      <c r="FL226" s="16">
        <f t="shared" si="227"/>
        <v>7.1</v>
      </c>
      <c r="FM226" s="15">
        <v>4.29</v>
      </c>
      <c r="FN226" s="1">
        <v>0.4</v>
      </c>
      <c r="FO226" s="15">
        <f>FN226*SQRT(AR226)</f>
        <v>0.69282032302755092</v>
      </c>
      <c r="FP226" s="15">
        <v>7.1</v>
      </c>
      <c r="FQ226" s="15">
        <v>0.7</v>
      </c>
      <c r="FR226" s="15">
        <f>FQ226*SQRT(AR226)</f>
        <v>1.2124355652982139</v>
      </c>
      <c r="FS226" s="15">
        <f t="shared" si="191"/>
        <v>1.6550116550116549</v>
      </c>
      <c r="FT226" s="15">
        <f t="shared" si="192"/>
        <v>2.8099999999999996</v>
      </c>
      <c r="FU226" s="15">
        <f t="shared" si="193"/>
        <v>0.50380805110734417</v>
      </c>
      <c r="FV226" s="15">
        <f>((FR226*FR226)/(AR226*FP226*FP226)+(FO226*FO226)/(AR226*FM226*FM226))</f>
        <v>1.8414008579962442E-2</v>
      </c>
      <c r="HY226" s="15">
        <f t="shared" si="232"/>
        <v>16200</v>
      </c>
      <c r="HZ226" s="15">
        <f t="shared" si="232"/>
        <v>7.2</v>
      </c>
      <c r="IA226" s="15">
        <f t="shared" si="232"/>
        <v>8910</v>
      </c>
    </row>
    <row r="227" spans="1:235" s="15" customFormat="1" x14ac:dyDescent="0.25">
      <c r="A227" s="31">
        <v>225</v>
      </c>
      <c r="B227" s="1">
        <v>38</v>
      </c>
      <c r="C227" s="1">
        <v>41</v>
      </c>
      <c r="D227" s="1" t="s">
        <v>192</v>
      </c>
      <c r="E227" s="1">
        <v>3</v>
      </c>
      <c r="F227" s="15" t="s">
        <v>861</v>
      </c>
      <c r="G227" s="1" t="s">
        <v>929</v>
      </c>
      <c r="H227" s="1" t="s">
        <v>930</v>
      </c>
      <c r="I227" s="1">
        <v>2009</v>
      </c>
      <c r="J227" s="1" t="s">
        <v>801</v>
      </c>
      <c r="K227" s="1">
        <v>2006</v>
      </c>
      <c r="L227" s="15" t="s">
        <v>820</v>
      </c>
      <c r="M227" s="15" t="s">
        <v>480</v>
      </c>
      <c r="N227" s="15" t="s">
        <v>23</v>
      </c>
      <c r="O227" s="31">
        <v>2</v>
      </c>
      <c r="P227" s="15">
        <v>26.25</v>
      </c>
      <c r="Q227" s="15">
        <v>116.92</v>
      </c>
      <c r="U227" s="15" t="s">
        <v>807</v>
      </c>
      <c r="V227" s="31">
        <v>2</v>
      </c>
      <c r="W227" s="16" t="s">
        <v>1166</v>
      </c>
      <c r="Y227" s="1"/>
      <c r="Z227" s="1">
        <v>4.54</v>
      </c>
      <c r="AA227" s="15" t="s">
        <v>574</v>
      </c>
      <c r="AB227" s="15">
        <f t="shared" si="225"/>
        <v>4.54</v>
      </c>
      <c r="AC227" s="1">
        <v>2</v>
      </c>
      <c r="AD227" s="1">
        <v>25.74</v>
      </c>
      <c r="AE227" s="1"/>
      <c r="AF227" s="1">
        <v>8.7200000000000006</v>
      </c>
      <c r="AG227" s="1"/>
      <c r="AH227" s="15">
        <f t="shared" si="224"/>
        <v>30.160550458715594</v>
      </c>
      <c r="AM227" s="1"/>
      <c r="AQ227" s="1"/>
      <c r="AR227" s="1">
        <v>3</v>
      </c>
      <c r="BP227" s="16"/>
      <c r="BQ227" s="16"/>
      <c r="BR227" s="16"/>
      <c r="BU227" s="16"/>
      <c r="DV227" s="1">
        <v>8.48</v>
      </c>
      <c r="DW227" s="1" t="s">
        <v>938</v>
      </c>
      <c r="DX227" s="1">
        <v>9.6</v>
      </c>
      <c r="DY227" s="15">
        <f t="shared" si="228"/>
        <v>21600</v>
      </c>
      <c r="DZ227" s="15" t="s">
        <v>766</v>
      </c>
      <c r="EA227" s="1"/>
      <c r="EB227" s="1"/>
      <c r="EC227" s="1">
        <v>242.46</v>
      </c>
      <c r="ED227" s="1">
        <v>59.34</v>
      </c>
      <c r="EE227" s="1">
        <v>0.03</v>
      </c>
      <c r="EF227" s="1">
        <v>39.159999999999997</v>
      </c>
      <c r="EG227" s="1">
        <v>0.59</v>
      </c>
      <c r="EH227" s="1">
        <v>121.49</v>
      </c>
      <c r="EI227" s="1"/>
      <c r="ES227" s="15">
        <f t="shared" si="229"/>
        <v>21600</v>
      </c>
      <c r="ET227" s="15">
        <f t="shared" si="230"/>
        <v>9.6</v>
      </c>
      <c r="EU227" s="15">
        <f t="shared" si="231"/>
        <v>11880.000000000002</v>
      </c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>
        <f t="shared" si="226"/>
        <v>4.29</v>
      </c>
      <c r="FL227" s="16">
        <f t="shared" si="227"/>
        <v>7.42</v>
      </c>
      <c r="FM227" s="15">
        <v>4.29</v>
      </c>
      <c r="FN227" s="1">
        <v>0.4</v>
      </c>
      <c r="FO227" s="15">
        <f>FN227*SQRT(AR227)</f>
        <v>0.69282032302755092</v>
      </c>
      <c r="FP227" s="15">
        <v>7.42</v>
      </c>
      <c r="FQ227" s="15">
        <v>0.7</v>
      </c>
      <c r="FR227" s="15">
        <f>FQ227*SQRT(AR227)</f>
        <v>1.2124355652982139</v>
      </c>
      <c r="FS227" s="15">
        <f t="shared" si="191"/>
        <v>1.7296037296037297</v>
      </c>
      <c r="FT227" s="15">
        <f t="shared" si="192"/>
        <v>3.13</v>
      </c>
      <c r="FU227" s="15">
        <f t="shared" si="193"/>
        <v>0.5478923242393634</v>
      </c>
      <c r="FV227" s="15">
        <f>((FR227*FR227)/(AR227*FP227*FP227)+(FO227*FO227)/(AR227*FM227*FM227))</f>
        <v>1.7593679387563677E-2</v>
      </c>
      <c r="HY227" s="15">
        <f t="shared" si="232"/>
        <v>21600</v>
      </c>
      <c r="HZ227" s="15">
        <f t="shared" si="232"/>
        <v>9.6</v>
      </c>
      <c r="IA227" s="15">
        <f t="shared" si="232"/>
        <v>11880.000000000002</v>
      </c>
    </row>
    <row r="228" spans="1:235" s="15" customFormat="1" x14ac:dyDescent="0.25">
      <c r="A228" s="31">
        <v>226</v>
      </c>
      <c r="B228" s="1">
        <v>38</v>
      </c>
      <c r="C228" s="1">
        <v>41</v>
      </c>
      <c r="D228" s="1" t="s">
        <v>193</v>
      </c>
      <c r="E228" s="1">
        <v>3</v>
      </c>
      <c r="F228" s="1" t="s">
        <v>927</v>
      </c>
      <c r="G228" s="1" t="s">
        <v>929</v>
      </c>
      <c r="H228" s="1" t="s">
        <v>930</v>
      </c>
      <c r="I228" s="1">
        <v>2009</v>
      </c>
      <c r="J228" s="1" t="s">
        <v>801</v>
      </c>
      <c r="K228" s="1">
        <v>2006</v>
      </c>
      <c r="L228" s="15" t="s">
        <v>820</v>
      </c>
      <c r="M228" s="15" t="s">
        <v>480</v>
      </c>
      <c r="N228" s="15" t="s">
        <v>23</v>
      </c>
      <c r="O228" s="31">
        <v>2</v>
      </c>
      <c r="P228" s="15">
        <v>26.25</v>
      </c>
      <c r="Q228" s="15">
        <v>116.92</v>
      </c>
      <c r="U228" s="15" t="s">
        <v>807</v>
      </c>
      <c r="V228" s="31">
        <v>2</v>
      </c>
      <c r="W228" s="16" t="s">
        <v>1166</v>
      </c>
      <c r="Y228" s="1"/>
      <c r="Z228" s="1">
        <v>4.54</v>
      </c>
      <c r="AA228" s="15" t="s">
        <v>574</v>
      </c>
      <c r="AB228" s="15">
        <f t="shared" si="225"/>
        <v>4.54</v>
      </c>
      <c r="AC228" s="1">
        <v>2</v>
      </c>
      <c r="AD228" s="1">
        <v>25.74</v>
      </c>
      <c r="AE228" s="1"/>
      <c r="AF228" s="1">
        <v>8.7200000000000006</v>
      </c>
      <c r="AG228" s="1"/>
      <c r="AH228" s="15">
        <f t="shared" si="224"/>
        <v>30.160550458715594</v>
      </c>
      <c r="AM228" s="1"/>
      <c r="AQ228" s="1"/>
      <c r="AR228" s="1">
        <v>3</v>
      </c>
      <c r="BP228" s="16"/>
      <c r="BQ228" s="16"/>
      <c r="BR228" s="16"/>
      <c r="BU228" s="16"/>
      <c r="DV228" s="1">
        <v>11.87</v>
      </c>
      <c r="DW228" s="1" t="s">
        <v>939</v>
      </c>
      <c r="DX228" s="1">
        <v>1.5</v>
      </c>
      <c r="DY228" s="15">
        <f t="shared" si="228"/>
        <v>3375</v>
      </c>
      <c r="DZ228" s="15" t="s">
        <v>766</v>
      </c>
      <c r="EA228" s="1"/>
      <c r="EB228" s="1"/>
      <c r="EC228" s="1">
        <v>306.02</v>
      </c>
      <c r="ED228" s="1">
        <v>36.020000000000003</v>
      </c>
      <c r="EE228" s="1">
        <v>2.71</v>
      </c>
      <c r="EF228" s="1">
        <v>63.69</v>
      </c>
      <c r="EG228" s="1">
        <v>2.5099999999999998</v>
      </c>
      <c r="EH228" s="1">
        <v>7.76</v>
      </c>
      <c r="EI228" s="1"/>
      <c r="ES228" s="15">
        <f t="shared" si="229"/>
        <v>3375</v>
      </c>
      <c r="ET228" s="15">
        <f t="shared" si="230"/>
        <v>1.5</v>
      </c>
      <c r="EU228" s="15">
        <f t="shared" si="231"/>
        <v>1856.2500000000002</v>
      </c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>
        <f t="shared" si="226"/>
        <v>4.29</v>
      </c>
      <c r="FL228" s="16">
        <f t="shared" si="227"/>
        <v>5.07</v>
      </c>
      <c r="FM228" s="15">
        <v>4.29</v>
      </c>
      <c r="FN228" s="1">
        <v>0.4</v>
      </c>
      <c r="FO228" s="15">
        <f>FN228*SQRT(AR228)</f>
        <v>0.69282032302755092</v>
      </c>
      <c r="FP228" s="15">
        <v>5.07</v>
      </c>
      <c r="FQ228" s="15">
        <v>0.5</v>
      </c>
      <c r="FR228" s="15">
        <f>FQ228*SQRT(AR228)</f>
        <v>0.8660254037844386</v>
      </c>
      <c r="FS228" s="15">
        <f t="shared" si="191"/>
        <v>1.1818181818181819</v>
      </c>
      <c r="FT228" s="15">
        <f t="shared" si="192"/>
        <v>0.78000000000000025</v>
      </c>
      <c r="FU228" s="15">
        <f t="shared" si="193"/>
        <v>0.16705408466316629</v>
      </c>
      <c r="FV228" s="15">
        <f>((FR228*FR228)/(AR228*FP228*FP228)+(FO228*FO228)/(AR228*FM228*FM228))</f>
        <v>1.8419487116470602E-2</v>
      </c>
      <c r="HY228" s="15">
        <f t="shared" si="232"/>
        <v>3375</v>
      </c>
      <c r="HZ228" s="15">
        <f t="shared" si="232"/>
        <v>1.5</v>
      </c>
      <c r="IA228" s="15">
        <f t="shared" si="232"/>
        <v>1856.2500000000002</v>
      </c>
    </row>
    <row r="229" spans="1:235" s="15" customFormat="1" x14ac:dyDescent="0.25">
      <c r="A229" s="31">
        <v>227</v>
      </c>
      <c r="B229" s="1">
        <v>38</v>
      </c>
      <c r="C229" s="1">
        <v>41</v>
      </c>
      <c r="D229" s="1" t="s">
        <v>194</v>
      </c>
      <c r="E229" s="1">
        <v>3</v>
      </c>
      <c r="F229" s="1" t="s">
        <v>927</v>
      </c>
      <c r="G229" s="1" t="s">
        <v>929</v>
      </c>
      <c r="H229" s="1" t="s">
        <v>930</v>
      </c>
      <c r="I229" s="1">
        <v>2009</v>
      </c>
      <c r="J229" s="1" t="s">
        <v>801</v>
      </c>
      <c r="K229" s="1">
        <v>2006</v>
      </c>
      <c r="L229" s="15" t="s">
        <v>820</v>
      </c>
      <c r="M229" s="15" t="s">
        <v>480</v>
      </c>
      <c r="N229" s="15" t="s">
        <v>23</v>
      </c>
      <c r="O229" s="31">
        <v>2</v>
      </c>
      <c r="P229" s="15">
        <v>26.25</v>
      </c>
      <c r="Q229" s="15">
        <v>116.92</v>
      </c>
      <c r="U229" s="15" t="s">
        <v>807</v>
      </c>
      <c r="V229" s="31">
        <v>2</v>
      </c>
      <c r="W229" s="16" t="s">
        <v>1166</v>
      </c>
      <c r="Y229" s="1"/>
      <c r="Z229" s="1">
        <v>4.54</v>
      </c>
      <c r="AA229" s="15" t="s">
        <v>574</v>
      </c>
      <c r="AB229" s="15">
        <f t="shared" si="225"/>
        <v>4.54</v>
      </c>
      <c r="AC229" s="1">
        <v>2</v>
      </c>
      <c r="AD229" s="1">
        <v>25.74</v>
      </c>
      <c r="AE229" s="1"/>
      <c r="AF229" s="1">
        <v>8.7200000000000006</v>
      </c>
      <c r="AG229" s="1"/>
      <c r="AH229" s="15">
        <f t="shared" si="224"/>
        <v>30.160550458715594</v>
      </c>
      <c r="AM229" s="1"/>
      <c r="AQ229" s="1"/>
      <c r="AR229" s="1">
        <v>3</v>
      </c>
      <c r="BP229" s="16"/>
      <c r="BQ229" s="16"/>
      <c r="BR229" s="16"/>
      <c r="BU229" s="16"/>
      <c r="DV229" s="1">
        <v>11.87</v>
      </c>
      <c r="DW229" s="1" t="s">
        <v>939</v>
      </c>
      <c r="DX229" s="1">
        <v>3</v>
      </c>
      <c r="DY229" s="15">
        <f t="shared" si="228"/>
        <v>6750</v>
      </c>
      <c r="DZ229" s="15" t="s">
        <v>766</v>
      </c>
      <c r="EA229" s="1"/>
      <c r="EB229" s="1"/>
      <c r="EC229" s="1">
        <v>306.02</v>
      </c>
      <c r="ED229" s="1">
        <v>36.020000000000003</v>
      </c>
      <c r="EE229" s="1">
        <v>2.71</v>
      </c>
      <c r="EF229" s="1">
        <v>63.69</v>
      </c>
      <c r="EG229" s="1">
        <v>2.5099999999999998</v>
      </c>
      <c r="EH229" s="1">
        <v>7.76</v>
      </c>
      <c r="EI229" s="1"/>
      <c r="ES229" s="15">
        <f t="shared" si="229"/>
        <v>6750</v>
      </c>
      <c r="ET229" s="15">
        <f t="shared" si="230"/>
        <v>3</v>
      </c>
      <c r="EU229" s="15">
        <f t="shared" si="231"/>
        <v>3712.5000000000005</v>
      </c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>
        <f t="shared" si="226"/>
        <v>4.29</v>
      </c>
      <c r="FL229" s="16">
        <f t="shared" si="227"/>
        <v>5.72</v>
      </c>
      <c r="FM229" s="15">
        <v>4.29</v>
      </c>
      <c r="FN229" s="1">
        <v>0.4</v>
      </c>
      <c r="FO229" s="15">
        <f>FN229*SQRT(AR229)</f>
        <v>0.69282032302755092</v>
      </c>
      <c r="FP229" s="15">
        <v>5.72</v>
      </c>
      <c r="FQ229" s="15">
        <v>0.5</v>
      </c>
      <c r="FR229" s="15">
        <f>FQ229*SQRT(AR229)</f>
        <v>0.8660254037844386</v>
      </c>
      <c r="FS229" s="15">
        <f t="shared" si="191"/>
        <v>1.3333333333333333</v>
      </c>
      <c r="FT229" s="15">
        <f t="shared" si="192"/>
        <v>1.4299999999999997</v>
      </c>
      <c r="FU229" s="15">
        <f t="shared" si="193"/>
        <v>0.28768207245178079</v>
      </c>
      <c r="FV229" s="15">
        <f>((FR229*FR229)/(AR229*FP229*FP229)+(FO229*FO229)/(AR229*FM229*FM229))</f>
        <v>1.6334675425584515E-2</v>
      </c>
      <c r="HY229" s="15">
        <f t="shared" si="232"/>
        <v>6750</v>
      </c>
      <c r="HZ229" s="15">
        <f t="shared" si="232"/>
        <v>3</v>
      </c>
      <c r="IA229" s="15">
        <f t="shared" si="232"/>
        <v>3712.5000000000005</v>
      </c>
    </row>
    <row r="230" spans="1:235" s="15" customFormat="1" x14ac:dyDescent="0.25">
      <c r="A230" s="31">
        <v>228</v>
      </c>
      <c r="B230" s="1">
        <v>38</v>
      </c>
      <c r="C230" s="1">
        <v>41</v>
      </c>
      <c r="D230" s="1" t="s">
        <v>195</v>
      </c>
      <c r="E230" s="1">
        <v>3</v>
      </c>
      <c r="F230" s="1" t="s">
        <v>927</v>
      </c>
      <c r="G230" s="1" t="s">
        <v>929</v>
      </c>
      <c r="H230" s="1" t="s">
        <v>930</v>
      </c>
      <c r="I230" s="1">
        <v>2009</v>
      </c>
      <c r="J230" s="1" t="s">
        <v>801</v>
      </c>
      <c r="K230" s="1">
        <v>2006</v>
      </c>
      <c r="L230" s="15" t="s">
        <v>820</v>
      </c>
      <c r="M230" s="15" t="s">
        <v>480</v>
      </c>
      <c r="N230" s="15" t="s">
        <v>23</v>
      </c>
      <c r="O230" s="31">
        <v>2</v>
      </c>
      <c r="P230" s="15">
        <v>26.25</v>
      </c>
      <c r="Q230" s="15">
        <v>116.92</v>
      </c>
      <c r="U230" s="15" t="s">
        <v>807</v>
      </c>
      <c r="V230" s="31">
        <v>2</v>
      </c>
      <c r="W230" s="16" t="s">
        <v>1166</v>
      </c>
      <c r="Y230" s="1"/>
      <c r="Z230" s="1">
        <v>4.54</v>
      </c>
      <c r="AA230" s="15" t="s">
        <v>574</v>
      </c>
      <c r="AB230" s="15">
        <f t="shared" si="225"/>
        <v>4.54</v>
      </c>
      <c r="AC230" s="1">
        <v>2</v>
      </c>
      <c r="AD230" s="1">
        <v>25.74</v>
      </c>
      <c r="AE230" s="1"/>
      <c r="AF230" s="1">
        <v>8.7200000000000006</v>
      </c>
      <c r="AG230" s="1"/>
      <c r="AH230" s="15">
        <f t="shared" si="224"/>
        <v>30.160550458715594</v>
      </c>
      <c r="AM230" s="1"/>
      <c r="AQ230" s="1"/>
      <c r="AR230" s="1">
        <v>3</v>
      </c>
      <c r="BP230" s="16"/>
      <c r="BQ230" s="16"/>
      <c r="BR230" s="16"/>
      <c r="BU230" s="16"/>
      <c r="DV230" s="1">
        <v>11.87</v>
      </c>
      <c r="DW230" s="1" t="s">
        <v>939</v>
      </c>
      <c r="DX230" s="1">
        <v>4.5</v>
      </c>
      <c r="DY230" s="15">
        <f t="shared" si="228"/>
        <v>10125</v>
      </c>
      <c r="DZ230" s="15" t="s">
        <v>766</v>
      </c>
      <c r="EA230" s="1"/>
      <c r="EB230" s="1"/>
      <c r="EC230" s="1">
        <v>306.02</v>
      </c>
      <c r="ED230" s="1">
        <v>36.020000000000003</v>
      </c>
      <c r="EE230" s="1">
        <v>2.71</v>
      </c>
      <c r="EF230" s="1">
        <v>63.69</v>
      </c>
      <c r="EG230" s="1">
        <v>2.5099999999999998</v>
      </c>
      <c r="EH230" s="1">
        <v>7.76</v>
      </c>
      <c r="EI230" s="1"/>
      <c r="ES230" s="15">
        <f t="shared" si="229"/>
        <v>10125</v>
      </c>
      <c r="ET230" s="15">
        <f t="shared" si="230"/>
        <v>4.5</v>
      </c>
      <c r="EU230" s="15">
        <f t="shared" si="231"/>
        <v>5568.75</v>
      </c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>
        <f t="shared" si="226"/>
        <v>4.29</v>
      </c>
      <c r="FL230" s="16">
        <f t="shared" si="227"/>
        <v>6.26</v>
      </c>
      <c r="FM230" s="15">
        <v>4.29</v>
      </c>
      <c r="FN230" s="1">
        <v>0.4</v>
      </c>
      <c r="FO230" s="15">
        <f>FN230*SQRT(AR230)</f>
        <v>0.69282032302755092</v>
      </c>
      <c r="FP230" s="15">
        <v>6.26</v>
      </c>
      <c r="FQ230" s="15">
        <v>0.6</v>
      </c>
      <c r="FR230" s="15">
        <f>FQ230*SQRT(AR230)</f>
        <v>1.0392304845413263</v>
      </c>
      <c r="FS230" s="15">
        <f t="shared" si="191"/>
        <v>1.4592074592074591</v>
      </c>
      <c r="FT230" s="15">
        <f t="shared" si="192"/>
        <v>1.9699999999999998</v>
      </c>
      <c r="FU230" s="15">
        <f t="shared" si="193"/>
        <v>0.37789345217208159</v>
      </c>
      <c r="FV230" s="15">
        <f>((FR230*FR230)/(AR230*FP230*FP230)+(FO230*FO230)/(AR230*FM230*FM230))</f>
        <v>1.7880294415607748E-2</v>
      </c>
      <c r="HY230" s="15">
        <f t="shared" si="232"/>
        <v>10125</v>
      </c>
      <c r="HZ230" s="15">
        <f t="shared" si="232"/>
        <v>4.5</v>
      </c>
      <c r="IA230" s="15">
        <f t="shared" si="232"/>
        <v>5568.75</v>
      </c>
    </row>
    <row r="231" spans="1:235" s="15" customFormat="1" x14ac:dyDescent="0.25">
      <c r="A231" s="31">
        <v>229</v>
      </c>
      <c r="B231" s="1">
        <v>38</v>
      </c>
      <c r="C231" s="1">
        <v>41</v>
      </c>
      <c r="D231" s="1" t="s">
        <v>196</v>
      </c>
      <c r="E231" s="1">
        <v>3</v>
      </c>
      <c r="F231" s="1" t="s">
        <v>927</v>
      </c>
      <c r="G231" s="1" t="s">
        <v>929</v>
      </c>
      <c r="H231" s="1" t="s">
        <v>930</v>
      </c>
      <c r="I231" s="1">
        <v>2009</v>
      </c>
      <c r="J231" s="1" t="s">
        <v>801</v>
      </c>
      <c r="K231" s="1">
        <v>2006</v>
      </c>
      <c r="L231" s="15" t="s">
        <v>820</v>
      </c>
      <c r="M231" s="15" t="s">
        <v>480</v>
      </c>
      <c r="N231" s="15" t="s">
        <v>23</v>
      </c>
      <c r="O231" s="31">
        <v>2</v>
      </c>
      <c r="P231" s="15">
        <v>26.25</v>
      </c>
      <c r="Q231" s="15">
        <v>116.92</v>
      </c>
      <c r="U231" s="15" t="s">
        <v>807</v>
      </c>
      <c r="V231" s="31">
        <v>2</v>
      </c>
      <c r="W231" s="16" t="s">
        <v>1166</v>
      </c>
      <c r="Y231" s="1"/>
      <c r="Z231" s="1">
        <v>4.54</v>
      </c>
      <c r="AA231" s="15" t="s">
        <v>574</v>
      </c>
      <c r="AB231" s="15">
        <f t="shared" si="225"/>
        <v>4.54</v>
      </c>
      <c r="AC231" s="1">
        <v>2</v>
      </c>
      <c r="AD231" s="1">
        <v>25.74</v>
      </c>
      <c r="AE231" s="1"/>
      <c r="AF231" s="1">
        <v>8.7200000000000006</v>
      </c>
      <c r="AG231" s="1"/>
      <c r="AH231" s="15">
        <f t="shared" si="224"/>
        <v>30.160550458715594</v>
      </c>
      <c r="AM231" s="1"/>
      <c r="AQ231" s="1"/>
      <c r="AR231" s="1">
        <v>3</v>
      </c>
      <c r="BP231" s="16"/>
      <c r="BQ231" s="16"/>
      <c r="BR231" s="16"/>
      <c r="BU231" s="16"/>
      <c r="DV231" s="1">
        <v>11.87</v>
      </c>
      <c r="DW231" s="1" t="s">
        <v>939</v>
      </c>
      <c r="DX231" s="1">
        <v>6</v>
      </c>
      <c r="DY231" s="15">
        <f t="shared" si="228"/>
        <v>13500</v>
      </c>
      <c r="DZ231" s="15" t="s">
        <v>766</v>
      </c>
      <c r="EA231" s="1"/>
      <c r="EB231" s="1"/>
      <c r="EC231" s="1">
        <v>306.02</v>
      </c>
      <c r="ED231" s="1">
        <v>36.020000000000003</v>
      </c>
      <c r="EE231" s="1">
        <v>2.71</v>
      </c>
      <c r="EF231" s="1">
        <v>63.69</v>
      </c>
      <c r="EG231" s="1">
        <v>2.5099999999999998</v>
      </c>
      <c r="EH231" s="1">
        <v>7.76</v>
      </c>
      <c r="EI231" s="1"/>
      <c r="ES231" s="15">
        <f t="shared" si="229"/>
        <v>13500</v>
      </c>
      <c r="ET231" s="15">
        <f t="shared" si="230"/>
        <v>6</v>
      </c>
      <c r="EU231" s="15">
        <f t="shared" si="231"/>
        <v>7425.0000000000009</v>
      </c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>
        <f t="shared" si="226"/>
        <v>4.29</v>
      </c>
      <c r="FL231" s="16">
        <f t="shared" si="227"/>
        <v>6.74</v>
      </c>
      <c r="FM231" s="15">
        <v>4.29</v>
      </c>
      <c r="FN231" s="1">
        <v>0.4</v>
      </c>
      <c r="FO231" s="15">
        <f>FN231*SQRT(AR231)</f>
        <v>0.69282032302755092</v>
      </c>
      <c r="FP231" s="15">
        <v>6.74</v>
      </c>
      <c r="FQ231" s="15">
        <v>0.6</v>
      </c>
      <c r="FR231" s="15">
        <f>FQ231*SQRT(AR231)</f>
        <v>1.0392304845413263</v>
      </c>
      <c r="FS231" s="15">
        <f t="shared" si="191"/>
        <v>1.5710955710955712</v>
      </c>
      <c r="FT231" s="15">
        <f t="shared" si="192"/>
        <v>2.4500000000000002</v>
      </c>
      <c r="FU231" s="15">
        <f t="shared" si="193"/>
        <v>0.45177319198429</v>
      </c>
      <c r="FV231" s="15">
        <f>((FR231*FR231)/(AR231*FP231*FP231)+(FO231*FO231)/(AR231*FM231*FM231))</f>
        <v>1.6618412748253902E-2</v>
      </c>
      <c r="HY231" s="15">
        <f t="shared" si="232"/>
        <v>13500</v>
      </c>
      <c r="HZ231" s="15">
        <f t="shared" si="232"/>
        <v>6</v>
      </c>
      <c r="IA231" s="15">
        <f t="shared" si="232"/>
        <v>7425.0000000000009</v>
      </c>
    </row>
    <row r="232" spans="1:235" s="15" customFormat="1" x14ac:dyDescent="0.25">
      <c r="A232" s="31">
        <v>230</v>
      </c>
      <c r="B232" s="1">
        <v>38</v>
      </c>
      <c r="C232" s="1">
        <v>41</v>
      </c>
      <c r="D232" s="1" t="s">
        <v>197</v>
      </c>
      <c r="E232" s="1">
        <v>1</v>
      </c>
      <c r="F232" s="15" t="s">
        <v>761</v>
      </c>
      <c r="G232" s="1" t="s">
        <v>929</v>
      </c>
      <c r="H232" s="1" t="s">
        <v>930</v>
      </c>
      <c r="I232" s="1">
        <v>2009</v>
      </c>
      <c r="J232" s="1" t="s">
        <v>801</v>
      </c>
      <c r="K232" s="1">
        <v>2006</v>
      </c>
      <c r="L232" s="15" t="s">
        <v>820</v>
      </c>
      <c r="M232" s="15" t="s">
        <v>480</v>
      </c>
      <c r="N232" s="15" t="s">
        <v>23</v>
      </c>
      <c r="O232" s="31">
        <v>2</v>
      </c>
      <c r="P232" s="15">
        <v>26.25</v>
      </c>
      <c r="Q232" s="15">
        <v>116.92</v>
      </c>
      <c r="U232" s="15" t="s">
        <v>807</v>
      </c>
      <c r="V232" s="31">
        <v>2</v>
      </c>
      <c r="W232" s="16" t="s">
        <v>1166</v>
      </c>
      <c r="Y232" s="1"/>
      <c r="Z232" s="1">
        <v>4.54</v>
      </c>
      <c r="AA232" s="15" t="s">
        <v>574</v>
      </c>
      <c r="AB232" s="15">
        <f t="shared" si="225"/>
        <v>4.54</v>
      </c>
      <c r="AC232" s="1">
        <v>2</v>
      </c>
      <c r="AD232" s="1">
        <v>25.74</v>
      </c>
      <c r="AE232" s="1"/>
      <c r="AF232" s="1">
        <v>8.7200000000000006</v>
      </c>
      <c r="AG232" s="1"/>
      <c r="AH232" s="15">
        <f t="shared" si="224"/>
        <v>30.160550458715594</v>
      </c>
      <c r="AM232" s="1"/>
      <c r="AQ232" s="1"/>
      <c r="AR232" s="1">
        <v>3</v>
      </c>
      <c r="AT232" s="15" t="s">
        <v>576</v>
      </c>
      <c r="AW232" s="15">
        <v>1</v>
      </c>
      <c r="AX232" s="15">
        <f>AW232*4*1000/1.8</f>
        <v>2222.2222222222222</v>
      </c>
      <c r="AY232" s="15" t="s">
        <v>766</v>
      </c>
      <c r="AZ232" s="15">
        <f>AX232</f>
        <v>2222.2222222222222</v>
      </c>
      <c r="BA232" s="15">
        <f>AZ232/2.93/1000</f>
        <v>0.75843761850587788</v>
      </c>
      <c r="BB232" s="15">
        <f>AZ232*0.6</f>
        <v>1333.3333333333333</v>
      </c>
      <c r="BP232" s="16"/>
      <c r="BQ232" s="16"/>
      <c r="BR232" s="16"/>
      <c r="BU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>
        <f t="shared" si="226"/>
        <v>4.29</v>
      </c>
      <c r="FL232" s="16">
        <f t="shared" si="227"/>
        <v>5.0199999999999996</v>
      </c>
      <c r="FM232" s="15">
        <v>4.29</v>
      </c>
      <c r="FN232" s="1">
        <v>0.4</v>
      </c>
      <c r="FO232" s="15">
        <f>FN232*SQRT(AR232)</f>
        <v>0.69282032302755092</v>
      </c>
      <c r="FP232" s="15">
        <v>5.0199999999999996</v>
      </c>
      <c r="FQ232" s="15">
        <v>0.5</v>
      </c>
      <c r="FR232" s="15">
        <f>FQ232*SQRT(AR232)</f>
        <v>0.8660254037844386</v>
      </c>
      <c r="FS232" s="15">
        <f t="shared" si="191"/>
        <v>1.1701631701631701</v>
      </c>
      <c r="FT232" s="15">
        <f t="shared" si="192"/>
        <v>0.72999999999999954</v>
      </c>
      <c r="FU232" s="15">
        <f t="shared" si="193"/>
        <v>0.15714320076371213</v>
      </c>
      <c r="FV232" s="15">
        <f>((FR232*FR232)/(AR232*FP232*FP232)+(FO232*FO232)/(AR232*FM232*FM232))</f>
        <v>1.8614192440160125E-2</v>
      </c>
      <c r="HY232" s="15">
        <f>AZ232</f>
        <v>2222.2222222222222</v>
      </c>
      <c r="HZ232" s="15">
        <f>BA232</f>
        <v>0.75843761850587788</v>
      </c>
      <c r="IA232" s="15">
        <f>BB232</f>
        <v>1333.3333333333333</v>
      </c>
    </row>
    <row r="233" spans="1:235" s="15" customFormat="1" x14ac:dyDescent="0.25">
      <c r="A233" s="31">
        <v>231</v>
      </c>
      <c r="B233" s="1">
        <v>38</v>
      </c>
      <c r="C233" s="1">
        <v>41</v>
      </c>
      <c r="D233" s="1" t="s">
        <v>198</v>
      </c>
      <c r="E233" s="1">
        <v>1</v>
      </c>
      <c r="F233" s="15" t="s">
        <v>761</v>
      </c>
      <c r="G233" s="1" t="s">
        <v>929</v>
      </c>
      <c r="H233" s="1" t="s">
        <v>930</v>
      </c>
      <c r="I233" s="1">
        <v>2009</v>
      </c>
      <c r="J233" s="1" t="s">
        <v>801</v>
      </c>
      <c r="K233" s="1">
        <v>2006</v>
      </c>
      <c r="L233" s="15" t="s">
        <v>820</v>
      </c>
      <c r="M233" s="15" t="s">
        <v>480</v>
      </c>
      <c r="N233" s="15" t="s">
        <v>23</v>
      </c>
      <c r="O233" s="31">
        <v>2</v>
      </c>
      <c r="P233" s="15">
        <v>26.25</v>
      </c>
      <c r="Q233" s="15">
        <v>116.92</v>
      </c>
      <c r="U233" s="15" t="s">
        <v>807</v>
      </c>
      <c r="V233" s="31">
        <v>2</v>
      </c>
      <c r="W233" s="16" t="s">
        <v>1166</v>
      </c>
      <c r="Y233" s="1"/>
      <c r="Z233" s="1">
        <v>4.54</v>
      </c>
      <c r="AA233" s="15" t="s">
        <v>574</v>
      </c>
      <c r="AB233" s="15">
        <f t="shared" si="225"/>
        <v>4.54</v>
      </c>
      <c r="AC233" s="1">
        <v>2</v>
      </c>
      <c r="AD233" s="1">
        <v>25.74</v>
      </c>
      <c r="AE233" s="1"/>
      <c r="AF233" s="1">
        <v>8.7200000000000006</v>
      </c>
      <c r="AG233" s="1"/>
      <c r="AH233" s="15">
        <f t="shared" si="224"/>
        <v>30.160550458715594</v>
      </c>
      <c r="AM233" s="1"/>
      <c r="AQ233" s="1"/>
      <c r="AR233" s="1">
        <v>3</v>
      </c>
      <c r="AT233" s="15" t="s">
        <v>576</v>
      </c>
      <c r="AW233" s="15">
        <v>2</v>
      </c>
      <c r="AX233" s="15">
        <f>AW233*4*1000/1.8</f>
        <v>4444.4444444444443</v>
      </c>
      <c r="AY233" s="15" t="s">
        <v>766</v>
      </c>
      <c r="AZ233" s="15">
        <f>AX233</f>
        <v>4444.4444444444443</v>
      </c>
      <c r="BA233" s="15">
        <f>AZ233/2.93/1000</f>
        <v>1.5168752370117558</v>
      </c>
      <c r="BB233" s="15">
        <f>AZ233*0.6</f>
        <v>2666.6666666666665</v>
      </c>
      <c r="BP233" s="16"/>
      <c r="BQ233" s="16"/>
      <c r="BR233" s="16"/>
      <c r="BU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>
        <f t="shared" si="226"/>
        <v>4.29</v>
      </c>
      <c r="FL233" s="16">
        <f t="shared" si="227"/>
        <v>5.81</v>
      </c>
      <c r="FM233" s="15">
        <v>4.29</v>
      </c>
      <c r="FN233" s="1">
        <v>0.4</v>
      </c>
      <c r="FO233" s="15">
        <f>FN233*SQRT(AR233)</f>
        <v>0.69282032302755092</v>
      </c>
      <c r="FP233" s="15">
        <v>5.81</v>
      </c>
      <c r="FQ233" s="15">
        <v>0.5</v>
      </c>
      <c r="FR233" s="15">
        <f>FQ233*SQRT(AR233)</f>
        <v>0.8660254037844386</v>
      </c>
      <c r="FS233" s="15">
        <f t="shared" si="191"/>
        <v>1.3543123543123543</v>
      </c>
      <c r="FT233" s="15">
        <f t="shared" si="192"/>
        <v>1.5199999999999996</v>
      </c>
      <c r="FU233" s="15">
        <f t="shared" si="193"/>
        <v>0.30329383792389408</v>
      </c>
      <c r="FV233" s="15">
        <f>((FR233*FR233)/(AR233*FP233*FP233)+(FO233*FO233)/(AR233*FM233*FM233))</f>
        <v>1.609978381646255E-2</v>
      </c>
      <c r="HY233" s="15">
        <f>AZ233</f>
        <v>4444.4444444444443</v>
      </c>
      <c r="HZ233" s="15">
        <f>BA233</f>
        <v>1.5168752370117558</v>
      </c>
      <c r="IA233" s="15">
        <f>BB233</f>
        <v>2666.6666666666665</v>
      </c>
    </row>
    <row r="234" spans="1:235" s="15" customFormat="1" x14ac:dyDescent="0.25">
      <c r="A234" s="31">
        <v>232</v>
      </c>
      <c r="B234" s="1">
        <v>38</v>
      </c>
      <c r="C234" s="1">
        <v>41</v>
      </c>
      <c r="D234" s="1" t="s">
        <v>199</v>
      </c>
      <c r="E234" s="1">
        <v>1</v>
      </c>
      <c r="F234" s="15" t="s">
        <v>761</v>
      </c>
      <c r="G234" s="1" t="s">
        <v>929</v>
      </c>
      <c r="H234" s="1" t="s">
        <v>930</v>
      </c>
      <c r="I234" s="1">
        <v>2009</v>
      </c>
      <c r="J234" s="1" t="s">
        <v>801</v>
      </c>
      <c r="K234" s="1">
        <v>2006</v>
      </c>
      <c r="L234" s="15" t="s">
        <v>820</v>
      </c>
      <c r="M234" s="15" t="s">
        <v>480</v>
      </c>
      <c r="N234" s="15" t="s">
        <v>23</v>
      </c>
      <c r="O234" s="31">
        <v>2</v>
      </c>
      <c r="P234" s="15">
        <v>26.25</v>
      </c>
      <c r="Q234" s="15">
        <v>116.92</v>
      </c>
      <c r="U234" s="15" t="s">
        <v>807</v>
      </c>
      <c r="V234" s="31">
        <v>2</v>
      </c>
      <c r="W234" s="16" t="s">
        <v>1166</v>
      </c>
      <c r="Y234" s="1"/>
      <c r="Z234" s="1">
        <v>4.54</v>
      </c>
      <c r="AA234" s="15" t="s">
        <v>574</v>
      </c>
      <c r="AB234" s="15">
        <f t="shared" si="225"/>
        <v>4.54</v>
      </c>
      <c r="AC234" s="1">
        <v>2</v>
      </c>
      <c r="AD234" s="1">
        <v>25.74</v>
      </c>
      <c r="AE234" s="1"/>
      <c r="AF234" s="1">
        <v>8.7200000000000006</v>
      </c>
      <c r="AG234" s="1"/>
      <c r="AH234" s="15">
        <f t="shared" si="224"/>
        <v>30.160550458715594</v>
      </c>
      <c r="AM234" s="1"/>
      <c r="AQ234" s="1"/>
      <c r="AR234" s="1">
        <v>3</v>
      </c>
      <c r="AT234" s="15" t="s">
        <v>576</v>
      </c>
      <c r="AW234" s="15">
        <v>3</v>
      </c>
      <c r="AX234" s="15">
        <f>AW234*4*1000/1.8</f>
        <v>6666.6666666666661</v>
      </c>
      <c r="AY234" s="15" t="s">
        <v>766</v>
      </c>
      <c r="AZ234" s="15">
        <f>AX234</f>
        <v>6666.6666666666661</v>
      </c>
      <c r="BA234" s="15">
        <f>AZ234/2.93/1000</f>
        <v>2.2753128555176332</v>
      </c>
      <c r="BB234" s="15">
        <f>AZ234*0.6</f>
        <v>3999.9999999999995</v>
      </c>
      <c r="BP234" s="16"/>
      <c r="BQ234" s="16"/>
      <c r="BR234" s="16"/>
      <c r="BU234" s="16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>
        <f t="shared" si="226"/>
        <v>4.29</v>
      </c>
      <c r="FL234" s="16">
        <f t="shared" si="227"/>
        <v>6.24</v>
      </c>
      <c r="FM234" s="15">
        <v>4.29</v>
      </c>
      <c r="FN234" s="1">
        <v>0.4</v>
      </c>
      <c r="FO234" s="15">
        <f>FN234*SQRT(AR234)</f>
        <v>0.69282032302755092</v>
      </c>
      <c r="FP234" s="15">
        <v>6.24</v>
      </c>
      <c r="FQ234" s="15">
        <v>0.6</v>
      </c>
      <c r="FR234" s="15">
        <f>FQ234*SQRT(AR234)</f>
        <v>1.0392304845413263</v>
      </c>
      <c r="FS234" s="15">
        <f t="shared" si="191"/>
        <v>1.4545454545454546</v>
      </c>
      <c r="FT234" s="15">
        <f t="shared" si="192"/>
        <v>1.9500000000000002</v>
      </c>
      <c r="FU234" s="15">
        <f t="shared" si="193"/>
        <v>0.3746934494414107</v>
      </c>
      <c r="FV234" s="15">
        <f>((FR234*FR234)/(AR234*FP234*FP234)+(FO234*FO234)/(AR234*FM234*FM234))</f>
        <v>1.7939277117598795E-2</v>
      </c>
      <c r="HY234" s="15">
        <f>AZ234</f>
        <v>6666.6666666666661</v>
      </c>
      <c r="HZ234" s="15">
        <f>BA234</f>
        <v>2.2753128555176332</v>
      </c>
      <c r="IA234" s="15">
        <f>BB234</f>
        <v>3999.9999999999995</v>
      </c>
    </row>
    <row r="235" spans="1:235" s="15" customFormat="1" x14ac:dyDescent="0.25">
      <c r="A235" s="31">
        <v>233</v>
      </c>
      <c r="B235" s="1">
        <v>38</v>
      </c>
      <c r="C235" s="1">
        <v>41</v>
      </c>
      <c r="D235" s="1" t="s">
        <v>200</v>
      </c>
      <c r="E235" s="1">
        <v>1</v>
      </c>
      <c r="F235" s="15" t="s">
        <v>761</v>
      </c>
      <c r="G235" s="1" t="s">
        <v>929</v>
      </c>
      <c r="H235" s="1" t="s">
        <v>930</v>
      </c>
      <c r="I235" s="1">
        <v>2009</v>
      </c>
      <c r="J235" s="1" t="s">
        <v>801</v>
      </c>
      <c r="K235" s="1">
        <v>2006</v>
      </c>
      <c r="L235" s="15" t="s">
        <v>820</v>
      </c>
      <c r="M235" s="15" t="s">
        <v>480</v>
      </c>
      <c r="N235" s="15" t="s">
        <v>23</v>
      </c>
      <c r="O235" s="31">
        <v>2</v>
      </c>
      <c r="P235" s="15">
        <v>26.25</v>
      </c>
      <c r="Q235" s="15">
        <v>116.92</v>
      </c>
      <c r="U235" s="15" t="s">
        <v>807</v>
      </c>
      <c r="V235" s="31">
        <v>2</v>
      </c>
      <c r="W235" s="16" t="s">
        <v>1166</v>
      </c>
      <c r="Y235" s="1"/>
      <c r="Z235" s="1">
        <v>4.54</v>
      </c>
      <c r="AA235" s="15" t="s">
        <v>574</v>
      </c>
      <c r="AB235" s="15">
        <f t="shared" si="225"/>
        <v>4.54</v>
      </c>
      <c r="AC235" s="1">
        <v>2</v>
      </c>
      <c r="AD235" s="1">
        <v>25.74</v>
      </c>
      <c r="AE235" s="1"/>
      <c r="AF235" s="1">
        <v>8.7200000000000006</v>
      </c>
      <c r="AG235" s="1"/>
      <c r="AH235" s="15">
        <f t="shared" si="224"/>
        <v>30.160550458715594</v>
      </c>
      <c r="AM235" s="1"/>
      <c r="AQ235" s="1"/>
      <c r="AR235" s="1">
        <v>3</v>
      </c>
      <c r="AT235" s="15" t="s">
        <v>576</v>
      </c>
      <c r="AW235" s="15">
        <v>4</v>
      </c>
      <c r="AX235" s="15">
        <f>AW235*4*1000/1.8</f>
        <v>8888.8888888888887</v>
      </c>
      <c r="AY235" s="15" t="s">
        <v>766</v>
      </c>
      <c r="AZ235" s="15">
        <f>AX235</f>
        <v>8888.8888888888887</v>
      </c>
      <c r="BA235" s="15">
        <f>AZ235/2.93/1000</f>
        <v>3.0337504740235115</v>
      </c>
      <c r="BB235" s="15">
        <f>AZ235*0.6</f>
        <v>5333.333333333333</v>
      </c>
      <c r="BP235" s="16"/>
      <c r="BQ235" s="16"/>
      <c r="BR235" s="16"/>
      <c r="BU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>
        <f t="shared" si="226"/>
        <v>4.29</v>
      </c>
      <c r="FL235" s="16">
        <f t="shared" si="227"/>
        <v>6.67</v>
      </c>
      <c r="FM235" s="15">
        <v>4.29</v>
      </c>
      <c r="FN235" s="1">
        <v>0.4</v>
      </c>
      <c r="FO235" s="15">
        <f>FN235*SQRT(AR235)</f>
        <v>0.69282032302755092</v>
      </c>
      <c r="FP235" s="15">
        <v>6.67</v>
      </c>
      <c r="FQ235" s="15">
        <v>0.6</v>
      </c>
      <c r="FR235" s="15">
        <f>FQ235*SQRT(AR235)</f>
        <v>1.0392304845413263</v>
      </c>
      <c r="FS235" s="15">
        <f t="shared" si="191"/>
        <v>1.5547785547785546</v>
      </c>
      <c r="FT235" s="15">
        <f t="shared" si="192"/>
        <v>2.38</v>
      </c>
      <c r="FU235" s="15">
        <f t="shared" si="193"/>
        <v>0.44133312698760663</v>
      </c>
      <c r="FV235" s="15">
        <f>((FR235*FR235)/(AR235*FP235*FP235)+(FO235*FO235)/(AR235*FM235*FM235))</f>
        <v>1.678562105837381E-2</v>
      </c>
      <c r="HY235" s="15">
        <f>AZ235</f>
        <v>8888.8888888888887</v>
      </c>
      <c r="HZ235" s="15">
        <f>BA235</f>
        <v>3.0337504740235115</v>
      </c>
      <c r="IA235" s="15">
        <f>BB235</f>
        <v>5333.333333333333</v>
      </c>
    </row>
    <row r="236" spans="1:235" s="15" customFormat="1" x14ac:dyDescent="0.25">
      <c r="A236" s="31">
        <v>234</v>
      </c>
      <c r="B236" s="1">
        <v>39</v>
      </c>
      <c r="C236" s="1">
        <v>42</v>
      </c>
      <c r="D236" s="1" t="s">
        <v>201</v>
      </c>
      <c r="E236" s="1">
        <v>2</v>
      </c>
      <c r="F236" s="15" t="s">
        <v>943</v>
      </c>
      <c r="G236" s="1" t="s">
        <v>940</v>
      </c>
      <c r="H236" s="15" t="s">
        <v>941</v>
      </c>
      <c r="I236" s="1">
        <v>2019</v>
      </c>
      <c r="J236" s="15" t="s">
        <v>942</v>
      </c>
      <c r="K236" s="1">
        <v>2018</v>
      </c>
      <c r="L236" s="15" t="s">
        <v>945</v>
      </c>
      <c r="M236" s="15" t="s">
        <v>480</v>
      </c>
      <c r="N236" s="15" t="s">
        <v>23</v>
      </c>
      <c r="O236" s="31">
        <v>2</v>
      </c>
      <c r="P236" s="15">
        <v>25.09</v>
      </c>
      <c r="Q236" s="15">
        <v>113.75</v>
      </c>
      <c r="S236" s="15">
        <v>1665</v>
      </c>
      <c r="T236" s="15">
        <v>19.600000000000001</v>
      </c>
      <c r="U236" s="15" t="s">
        <v>549</v>
      </c>
      <c r="V236" s="31">
        <v>1</v>
      </c>
      <c r="W236" s="16" t="s">
        <v>1170</v>
      </c>
      <c r="X236" s="15" t="s">
        <v>822</v>
      </c>
      <c r="Y236" s="1">
        <v>5</v>
      </c>
      <c r="Z236" s="15">
        <v>6.2</v>
      </c>
      <c r="AA236" s="15" t="s">
        <v>574</v>
      </c>
      <c r="AB236" s="15">
        <f t="shared" si="225"/>
        <v>6.2</v>
      </c>
      <c r="AC236" s="1">
        <v>5</v>
      </c>
      <c r="AD236" s="15">
        <v>36.4</v>
      </c>
      <c r="AF236" s="15">
        <v>12.35</v>
      </c>
      <c r="AH236" s="15">
        <f>11.5*100/12.35</f>
        <v>93.117408906882588</v>
      </c>
      <c r="AM236" s="1"/>
      <c r="AQ236" s="1"/>
      <c r="AR236" s="1">
        <v>3</v>
      </c>
      <c r="BP236" s="16"/>
      <c r="BQ236" s="16"/>
      <c r="BR236" s="16"/>
      <c r="BU236" s="16"/>
      <c r="CC236" s="15" t="s">
        <v>947</v>
      </c>
      <c r="CE236" s="15">
        <v>20</v>
      </c>
      <c r="CF236" s="15">
        <f>CE236*1000</f>
        <v>20000</v>
      </c>
      <c r="CG236" s="15" t="s">
        <v>766</v>
      </c>
      <c r="CH236" s="15">
        <v>7.34</v>
      </c>
      <c r="CI236" s="15" t="s">
        <v>948</v>
      </c>
      <c r="CK236" s="15">
        <v>786</v>
      </c>
      <c r="CP236" s="15">
        <v>11.9</v>
      </c>
      <c r="CY236" s="25">
        <f>CF236</f>
        <v>20000</v>
      </c>
      <c r="CZ236" s="25">
        <f>CY236/0.78/1000</f>
        <v>25.641025641025642</v>
      </c>
      <c r="DA236" s="25">
        <f>CY236*3</f>
        <v>60000</v>
      </c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>
        <f t="shared" si="226"/>
        <v>5.62</v>
      </c>
      <c r="FL236" s="16">
        <f t="shared" si="227"/>
        <v>5.79</v>
      </c>
      <c r="FM236" s="15">
        <v>5.62</v>
      </c>
      <c r="FN236" s="15">
        <v>0.2</v>
      </c>
      <c r="FO236" s="15">
        <f>FN236*SQRT(AR236)</f>
        <v>0.34641016151377546</v>
      </c>
      <c r="FP236" s="15">
        <v>5.79</v>
      </c>
      <c r="FQ236" s="15">
        <v>0.2</v>
      </c>
      <c r="FR236" s="15">
        <f>FQ236*SQRT(AR236)</f>
        <v>0.34641016151377546</v>
      </c>
      <c r="FS236" s="15">
        <f t="shared" si="191"/>
        <v>1.0302491103202847</v>
      </c>
      <c r="FT236" s="15">
        <f t="shared" si="192"/>
        <v>0.16999999999999993</v>
      </c>
      <c r="FU236" s="15">
        <f t="shared" si="193"/>
        <v>2.9800627679304137E-2</v>
      </c>
      <c r="FV236" s="15">
        <f>((FR236*FR236)/(AR236*FP236*FP236)+(FO236*FO236)/(AR236*FM236*FM236))</f>
        <v>2.459619472935277E-3</v>
      </c>
      <c r="HE236" s="15">
        <f>259*15</f>
        <v>3885</v>
      </c>
      <c r="HF236" s="15">
        <f>6.5*15</f>
        <v>97.5</v>
      </c>
      <c r="HG236" s="15">
        <f>HF236*SQRT(AR166)</f>
        <v>168.87495373796551</v>
      </c>
      <c r="HH236" s="15">
        <f>258*15</f>
        <v>3870</v>
      </c>
      <c r="HI236" s="15">
        <f>6.5*15</f>
        <v>97.5</v>
      </c>
      <c r="HJ236" s="15">
        <f>HI236*SQRT(AR236)</f>
        <v>168.87495373796551</v>
      </c>
      <c r="HK236" s="15">
        <f>HH236/HE236</f>
        <v>0.99613899613899615</v>
      </c>
      <c r="HL236" s="15">
        <f>HH236-HE236</f>
        <v>-15</v>
      </c>
      <c r="HM236" s="15">
        <f>LN(HH236)-LN(HE236)</f>
        <v>-3.8684767779209039E-3</v>
      </c>
      <c r="HN236" s="15">
        <f>((HJ236*HJ236)/(AR166*HH236*HH236)+(HG236*HG236)/(AR166*HE236*HE236))</f>
        <v>1.2645630522402059E-3</v>
      </c>
      <c r="HP236" s="15" t="s">
        <v>604</v>
      </c>
      <c r="HV236" s="15">
        <f>HX236/HW236/100</f>
        <v>-155099.80657618615</v>
      </c>
      <c r="HW236" s="15">
        <f>HM236</f>
        <v>-3.8684767779209039E-3</v>
      </c>
      <c r="HX236" s="25">
        <f>DA236</f>
        <v>60000</v>
      </c>
      <c r="HY236" s="25">
        <f>CY236</f>
        <v>20000</v>
      </c>
      <c r="HZ236" s="25">
        <f>CZ236</f>
        <v>25.641025641025642</v>
      </c>
      <c r="IA236" s="25">
        <f>DA236</f>
        <v>60000</v>
      </c>
    </row>
    <row r="237" spans="1:235" s="15" customFormat="1" x14ac:dyDescent="0.25">
      <c r="A237" s="31">
        <v>235</v>
      </c>
      <c r="B237" s="1">
        <v>39</v>
      </c>
      <c r="C237" s="1">
        <v>42</v>
      </c>
      <c r="D237" s="1" t="s">
        <v>202</v>
      </c>
      <c r="E237" s="1">
        <v>3</v>
      </c>
      <c r="F237" s="15" t="s">
        <v>861</v>
      </c>
      <c r="G237" s="1" t="s">
        <v>940</v>
      </c>
      <c r="H237" s="15" t="s">
        <v>941</v>
      </c>
      <c r="I237" s="1">
        <v>2019</v>
      </c>
      <c r="J237" s="15" t="s">
        <v>942</v>
      </c>
      <c r="K237" s="1">
        <v>2018</v>
      </c>
      <c r="L237" s="15" t="s">
        <v>945</v>
      </c>
      <c r="M237" s="15" t="s">
        <v>480</v>
      </c>
      <c r="N237" s="15" t="s">
        <v>23</v>
      </c>
      <c r="O237" s="31">
        <v>2</v>
      </c>
      <c r="P237" s="15">
        <v>25.09</v>
      </c>
      <c r="Q237" s="15">
        <v>113.75</v>
      </c>
      <c r="S237" s="15">
        <v>1665</v>
      </c>
      <c r="T237" s="15">
        <v>19.600000000000001</v>
      </c>
      <c r="U237" s="15" t="s">
        <v>549</v>
      </c>
      <c r="V237" s="31">
        <v>1</v>
      </c>
      <c r="W237" s="16" t="s">
        <v>1170</v>
      </c>
      <c r="X237" s="15" t="s">
        <v>822</v>
      </c>
      <c r="Y237" s="1">
        <v>5</v>
      </c>
      <c r="Z237" s="15">
        <v>6.2</v>
      </c>
      <c r="AA237" s="15" t="s">
        <v>574</v>
      </c>
      <c r="AB237" s="15">
        <f t="shared" si="225"/>
        <v>6.2</v>
      </c>
      <c r="AC237" s="1">
        <v>5</v>
      </c>
      <c r="AD237" s="15">
        <v>36.4</v>
      </c>
      <c r="AF237" s="15">
        <v>12.35</v>
      </c>
      <c r="AH237" s="15">
        <f>11.5*100/12.35</f>
        <v>93.117408906882588</v>
      </c>
      <c r="AM237" s="1"/>
      <c r="AQ237" s="1"/>
      <c r="AR237" s="1">
        <v>3</v>
      </c>
      <c r="BP237" s="16"/>
      <c r="BQ237" s="16"/>
      <c r="BR237" s="16"/>
      <c r="BU237" s="16"/>
      <c r="DV237" s="15">
        <v>8.52</v>
      </c>
      <c r="DW237" s="15" t="s">
        <v>867</v>
      </c>
      <c r="DX237" s="15">
        <v>3</v>
      </c>
      <c r="DY237" s="15">
        <f>DX237*1000</f>
        <v>3000</v>
      </c>
      <c r="DZ237" s="15" t="s">
        <v>785</v>
      </c>
      <c r="EC237" s="15">
        <v>282</v>
      </c>
      <c r="ED237" s="15">
        <v>71</v>
      </c>
      <c r="ES237" s="15">
        <f>DY237</f>
        <v>3000</v>
      </c>
      <c r="ET237" s="15">
        <f>ES237/2.25/1000</f>
        <v>1.3333333333333333</v>
      </c>
      <c r="EU237" s="15">
        <f>ES237*0.55</f>
        <v>1650.0000000000002</v>
      </c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>
        <f t="shared" si="226"/>
        <v>5.62</v>
      </c>
      <c r="FL237" s="16">
        <f t="shared" si="227"/>
        <v>6.08</v>
      </c>
      <c r="FM237" s="15">
        <v>5.62</v>
      </c>
      <c r="FN237" s="15">
        <v>0.2</v>
      </c>
      <c r="FO237" s="15">
        <f>FN237*SQRT(AR237)</f>
        <v>0.34641016151377546</v>
      </c>
      <c r="FP237" s="15">
        <v>6.08</v>
      </c>
      <c r="FQ237" s="15">
        <v>0.2</v>
      </c>
      <c r="FR237" s="15">
        <f>FQ237*SQRT(AR237)</f>
        <v>0.34641016151377546</v>
      </c>
      <c r="FS237" s="15">
        <f t="shared" si="191"/>
        <v>1.0818505338078293</v>
      </c>
      <c r="FT237" s="15">
        <f t="shared" si="192"/>
        <v>0.45999999999999996</v>
      </c>
      <c r="FU237" s="15">
        <f t="shared" si="193"/>
        <v>7.8673032072476001E-2</v>
      </c>
      <c r="FV237" s="15">
        <f>((FR237*FR237)/(AR237*FP237*FP237)+(FO237*FO237)/(AR237*FM237*FM237))</f>
        <v>2.3485117052245118E-3</v>
      </c>
      <c r="HE237" s="15">
        <f>259*15</f>
        <v>3885</v>
      </c>
      <c r="HF237" s="15">
        <f>6.5*15</f>
        <v>97.5</v>
      </c>
      <c r="HG237" s="15">
        <f>HF237*SQRT(AR167)</f>
        <v>168.87495373796551</v>
      </c>
      <c r="HH237" s="15">
        <f>259*15</f>
        <v>3885</v>
      </c>
      <c r="HI237" s="15">
        <f>6.5*15</f>
        <v>97.5</v>
      </c>
      <c r="HJ237" s="15">
        <f>HI237*SQRT(AR237)</f>
        <v>168.87495373796551</v>
      </c>
      <c r="HK237" s="15">
        <f>HH237/HE237</f>
        <v>1</v>
      </c>
      <c r="HL237" s="15">
        <f>HH237-HE237</f>
        <v>0</v>
      </c>
      <c r="HM237" s="15">
        <f>LN(HH237)-LN(HE237)</f>
        <v>0</v>
      </c>
      <c r="HN237" s="15">
        <f>((HJ237*HJ237)/(AR167*HH237*HH237)+(HG237*HG237)/(AR167*HE237*HE237))</f>
        <v>1.2596711438410276E-3</v>
      </c>
      <c r="HP237" s="15" t="s">
        <v>604</v>
      </c>
      <c r="HV237" s="15" t="e">
        <f>HX237/HW237/100</f>
        <v>#DIV/0!</v>
      </c>
      <c r="HW237" s="15">
        <f>HM237</f>
        <v>0</v>
      </c>
      <c r="HX237" s="15">
        <f>EU237</f>
        <v>1650.0000000000002</v>
      </c>
      <c r="HY237" s="15">
        <f>ES237</f>
        <v>3000</v>
      </c>
      <c r="HZ237" s="15">
        <f>ET237</f>
        <v>1.3333333333333333</v>
      </c>
      <c r="IA237" s="15">
        <f>EU237</f>
        <v>1650.0000000000002</v>
      </c>
    </row>
    <row r="238" spans="1:235" s="15" customFormat="1" x14ac:dyDescent="0.25">
      <c r="A238" s="31">
        <v>236</v>
      </c>
      <c r="B238" s="1">
        <v>39</v>
      </c>
      <c r="C238" s="1">
        <v>42</v>
      </c>
      <c r="D238" s="1" t="s">
        <v>203</v>
      </c>
      <c r="E238" s="1">
        <v>6</v>
      </c>
      <c r="F238" s="15" t="s">
        <v>944</v>
      </c>
      <c r="G238" s="1" t="s">
        <v>940</v>
      </c>
      <c r="H238" s="15" t="s">
        <v>941</v>
      </c>
      <c r="I238" s="1">
        <v>2019</v>
      </c>
      <c r="J238" s="15" t="s">
        <v>942</v>
      </c>
      <c r="K238" s="1">
        <v>2018</v>
      </c>
      <c r="L238" s="15" t="s">
        <v>945</v>
      </c>
      <c r="M238" s="15" t="s">
        <v>480</v>
      </c>
      <c r="N238" s="15" t="s">
        <v>23</v>
      </c>
      <c r="O238" s="31">
        <v>2</v>
      </c>
      <c r="P238" s="15">
        <v>25.09</v>
      </c>
      <c r="Q238" s="15">
        <v>113.75</v>
      </c>
      <c r="S238" s="15">
        <v>1665</v>
      </c>
      <c r="T238" s="15">
        <v>19.600000000000001</v>
      </c>
      <c r="U238" s="15" t="s">
        <v>549</v>
      </c>
      <c r="V238" s="31">
        <v>1</v>
      </c>
      <c r="W238" s="16" t="s">
        <v>1170</v>
      </c>
      <c r="X238" s="15" t="s">
        <v>822</v>
      </c>
      <c r="Y238" s="1">
        <v>5</v>
      </c>
      <c r="Z238" s="15">
        <v>6.2</v>
      </c>
      <c r="AA238" s="15" t="s">
        <v>574</v>
      </c>
      <c r="AB238" s="15">
        <f t="shared" si="225"/>
        <v>6.2</v>
      </c>
      <c r="AC238" s="1">
        <v>5</v>
      </c>
      <c r="AD238" s="15">
        <v>36.4</v>
      </c>
      <c r="AF238" s="15">
        <v>12.35</v>
      </c>
      <c r="AH238" s="15">
        <f>11.5*100/12.35</f>
        <v>93.117408906882588</v>
      </c>
      <c r="AM238" s="1"/>
      <c r="AQ238" s="1"/>
      <c r="AR238" s="1">
        <v>3</v>
      </c>
      <c r="BP238" s="16"/>
      <c r="BQ238" s="16"/>
      <c r="BR238" s="16"/>
      <c r="BU238" s="16"/>
      <c r="CC238" s="15" t="s">
        <v>947</v>
      </c>
      <c r="CE238" s="15">
        <v>20</v>
      </c>
      <c r="CF238" s="15">
        <f>CE238*1000</f>
        <v>20000</v>
      </c>
      <c r="CG238" s="15" t="s">
        <v>766</v>
      </c>
      <c r="CH238" s="15">
        <v>7.34</v>
      </c>
      <c r="CI238" s="15" t="s">
        <v>948</v>
      </c>
      <c r="CK238" s="15">
        <v>786</v>
      </c>
      <c r="CP238" s="15">
        <v>11.9</v>
      </c>
      <c r="CY238" s="25">
        <f>CF238</f>
        <v>20000</v>
      </c>
      <c r="CZ238" s="25">
        <f>CY238/0.78/1000</f>
        <v>25.641025641025642</v>
      </c>
      <c r="DA238" s="25">
        <f>CY238*3</f>
        <v>60000</v>
      </c>
      <c r="EW238" s="46">
        <f>AX238+BT238+CF238+DE238+DY238</f>
        <v>20000</v>
      </c>
      <c r="EX238" s="46">
        <f>BA238+BZ238+CZ238+DT238+ET238</f>
        <v>25.641025641025642</v>
      </c>
      <c r="EY238" s="46">
        <f>BB238+CA238+DA238+DU238+EU238</f>
        <v>60000</v>
      </c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>
        <f t="shared" si="226"/>
        <v>5.62</v>
      </c>
      <c r="FL238" s="16">
        <f t="shared" si="227"/>
        <v>6.66</v>
      </c>
      <c r="FM238" s="15">
        <v>5.62</v>
      </c>
      <c r="FN238" s="15">
        <v>0.2</v>
      </c>
      <c r="FO238" s="15">
        <f>FN238*SQRT(AR238)</f>
        <v>0.34641016151377546</v>
      </c>
      <c r="FP238" s="15">
        <v>6.66</v>
      </c>
      <c r="FQ238" s="15">
        <v>0.2</v>
      </c>
      <c r="FR238" s="15">
        <f>FQ238*SQRT(AR238)</f>
        <v>0.34641016151377546</v>
      </c>
      <c r="FS238" s="15">
        <f t="shared" si="191"/>
        <v>1.1850533807829182</v>
      </c>
      <c r="FT238" s="15">
        <f t="shared" si="192"/>
        <v>1.04</v>
      </c>
      <c r="FU238" s="15">
        <f t="shared" si="193"/>
        <v>0.16978782064669806</v>
      </c>
      <c r="FV238" s="15">
        <f>((FR238*FR238)/(AR238*FP238*FP238)+(FO238*FO238)/(AR238*FM238*FM238))</f>
        <v>2.1682506969176599E-3</v>
      </c>
      <c r="HE238" s="15">
        <f>259*15</f>
        <v>3885</v>
      </c>
      <c r="HF238" s="15">
        <f>6.5*15</f>
        <v>97.5</v>
      </c>
      <c r="HG238" s="15">
        <f>HF238*SQRT(AR168)</f>
        <v>168.87495373796551</v>
      </c>
      <c r="HH238" s="15">
        <f>283*15</f>
        <v>4245</v>
      </c>
      <c r="HI238" s="15">
        <f>6.5*15</f>
        <v>97.5</v>
      </c>
      <c r="HJ238" s="15">
        <f>HI238*SQRT(AR238)</f>
        <v>168.87495373796551</v>
      </c>
      <c r="HK238" s="15">
        <f>HH238/HE238</f>
        <v>1.0926640926640927</v>
      </c>
      <c r="HL238" s="15">
        <f>HH238-HE238</f>
        <v>360</v>
      </c>
      <c r="HM238" s="15">
        <f>LN(HH238)-LN(HE238)</f>
        <v>8.8618835943700347E-2</v>
      </c>
      <c r="HN238" s="15">
        <f>((HJ238*HJ238)/(AR168*HH238*HH238)+(HG238*HG238)/(AR168*HE238*HE238))</f>
        <v>1.1573736857688572E-3</v>
      </c>
      <c r="HP238" s="15" t="s">
        <v>604</v>
      </c>
      <c r="HV238" s="15">
        <f>HX238/HW238/100</f>
        <v>6770.5696380528025</v>
      </c>
      <c r="HW238" s="15">
        <f>HM238</f>
        <v>8.8618835943700347E-2</v>
      </c>
      <c r="HX238" s="15">
        <f>EY238</f>
        <v>60000</v>
      </c>
      <c r="HY238" s="15">
        <f>EW238</f>
        <v>20000</v>
      </c>
      <c r="HZ238" s="15">
        <f>EX238</f>
        <v>25.641025641025642</v>
      </c>
      <c r="IA238" s="15">
        <f>EY238</f>
        <v>60000</v>
      </c>
    </row>
    <row r="239" spans="1:235" s="25" customFormat="1" ht="14.4" x14ac:dyDescent="0.25">
      <c r="A239" s="40">
        <v>237</v>
      </c>
      <c r="B239" s="57">
        <v>40</v>
      </c>
      <c r="C239" s="57">
        <v>43</v>
      </c>
      <c r="D239" s="57" t="s">
        <v>204</v>
      </c>
      <c r="E239" s="57">
        <v>3</v>
      </c>
      <c r="F239" s="57" t="s">
        <v>949</v>
      </c>
      <c r="G239" s="25" t="s">
        <v>950</v>
      </c>
      <c r="H239" s="25" t="s">
        <v>951</v>
      </c>
      <c r="I239" s="57">
        <v>2019</v>
      </c>
      <c r="J239" s="41" t="s">
        <v>953</v>
      </c>
      <c r="K239" s="57">
        <v>2018</v>
      </c>
      <c r="L239" s="25" t="s">
        <v>952</v>
      </c>
      <c r="M239" s="25" t="s">
        <v>480</v>
      </c>
      <c r="N239" s="25" t="s">
        <v>23</v>
      </c>
      <c r="O239" s="40">
        <v>2</v>
      </c>
      <c r="P239" s="25">
        <v>31.53</v>
      </c>
      <c r="Q239" s="25">
        <v>104.7</v>
      </c>
      <c r="U239" s="25" t="s">
        <v>807</v>
      </c>
      <c r="V239" s="40">
        <v>2</v>
      </c>
      <c r="W239" s="42"/>
      <c r="X239" s="25" t="s">
        <v>731</v>
      </c>
      <c r="Y239" s="1">
        <v>12</v>
      </c>
      <c r="Z239" s="25">
        <v>7.34</v>
      </c>
      <c r="AA239" s="25" t="s">
        <v>574</v>
      </c>
      <c r="AB239" s="25">
        <f t="shared" si="225"/>
        <v>7.34</v>
      </c>
      <c r="AC239" s="64">
        <v>6</v>
      </c>
      <c r="AD239" s="25">
        <v>5.93</v>
      </c>
      <c r="AM239" s="57"/>
      <c r="AQ239" s="57"/>
      <c r="AR239" s="57">
        <v>3</v>
      </c>
      <c r="BP239" s="42"/>
      <c r="BQ239" s="42"/>
      <c r="BR239" s="42"/>
      <c r="BU239" s="42"/>
      <c r="DW239" s="25" t="s">
        <v>954</v>
      </c>
      <c r="DX239" s="25">
        <v>50</v>
      </c>
      <c r="DY239" s="25">
        <f t="shared" ref="DY239:DY249" si="233">DX239*2250</f>
        <v>112500</v>
      </c>
      <c r="DZ239" s="15" t="s">
        <v>766</v>
      </c>
      <c r="ES239" s="15">
        <f t="shared" ref="ES239:ES249" si="234">DY239</f>
        <v>112500</v>
      </c>
      <c r="ET239" s="15">
        <f t="shared" ref="ET239:ET249" si="235">ES239/2.25/1000</f>
        <v>50</v>
      </c>
      <c r="EU239" s="15">
        <f t="shared" ref="EU239:EU249" si="236">ES239*0.55</f>
        <v>61875.000000000007</v>
      </c>
      <c r="EV239" s="15"/>
      <c r="EZ239" s="42"/>
      <c r="FA239" s="42"/>
      <c r="FB239" s="42"/>
      <c r="FC239" s="42"/>
      <c r="FD239" s="42"/>
      <c r="FE239" s="42"/>
      <c r="FF239" s="42"/>
      <c r="FG239" s="42"/>
      <c r="FH239" s="42"/>
      <c r="FI239" s="42"/>
      <c r="FJ239" s="42"/>
      <c r="FK239" s="42">
        <f t="shared" si="226"/>
        <v>7.36</v>
      </c>
      <c r="FL239" s="42">
        <f t="shared" si="227"/>
        <v>7.11</v>
      </c>
      <c r="FM239" s="25">
        <v>7.36</v>
      </c>
      <c r="FN239" s="25">
        <v>0.15</v>
      </c>
      <c r="FO239" s="25">
        <f>FN239*SQRT(AR239)</f>
        <v>0.25980762113533157</v>
      </c>
      <c r="FP239" s="25">
        <v>7.11</v>
      </c>
      <c r="FQ239" s="25">
        <v>0.1</v>
      </c>
      <c r="FR239" s="25">
        <f>FQ239*SQRT(AR239)</f>
        <v>0.17320508075688773</v>
      </c>
      <c r="FS239" s="25">
        <f t="shared" si="191"/>
        <v>0.96603260869565222</v>
      </c>
      <c r="FT239" s="25">
        <f t="shared" si="192"/>
        <v>-0.25</v>
      </c>
      <c r="FU239" s="25">
        <f t="shared" si="193"/>
        <v>-3.4557688925635377E-2</v>
      </c>
      <c r="FV239" s="25">
        <f>((FR239*FR239)/(AR239*FP239*FP239)+(FO239*FO239)/(AR239*FM239*FM239))</f>
        <v>6.1317784076081613E-4</v>
      </c>
      <c r="HY239" s="15">
        <f t="shared" ref="HY239:HY247" si="237">ES239</f>
        <v>112500</v>
      </c>
      <c r="HZ239" s="15">
        <f t="shared" ref="HZ239:HZ247" si="238">ET239</f>
        <v>50</v>
      </c>
      <c r="IA239" s="15">
        <f t="shared" ref="IA239:IA247" si="239">EU239</f>
        <v>61875.000000000007</v>
      </c>
    </row>
    <row r="240" spans="1:235" s="25" customFormat="1" ht="14.4" x14ac:dyDescent="0.25">
      <c r="A240" s="40">
        <v>238</v>
      </c>
      <c r="B240" s="57">
        <v>40</v>
      </c>
      <c r="C240" s="57">
        <v>43</v>
      </c>
      <c r="D240" s="57" t="s">
        <v>205</v>
      </c>
      <c r="E240" s="57">
        <v>3</v>
      </c>
      <c r="F240" s="57" t="s">
        <v>949</v>
      </c>
      <c r="G240" s="25" t="s">
        <v>950</v>
      </c>
      <c r="H240" s="25" t="s">
        <v>951</v>
      </c>
      <c r="I240" s="57">
        <v>2019</v>
      </c>
      <c r="J240" s="41" t="s">
        <v>953</v>
      </c>
      <c r="K240" s="57">
        <v>2018</v>
      </c>
      <c r="L240" s="25" t="s">
        <v>952</v>
      </c>
      <c r="M240" s="25" t="s">
        <v>480</v>
      </c>
      <c r="N240" s="25" t="s">
        <v>23</v>
      </c>
      <c r="O240" s="40">
        <v>2</v>
      </c>
      <c r="P240" s="25">
        <v>31.53</v>
      </c>
      <c r="Q240" s="25">
        <v>104.7</v>
      </c>
      <c r="U240" s="25" t="s">
        <v>807</v>
      </c>
      <c r="V240" s="40">
        <v>2</v>
      </c>
      <c r="W240" s="42"/>
      <c r="X240" s="25" t="s">
        <v>731</v>
      </c>
      <c r="Y240" s="1">
        <v>12</v>
      </c>
      <c r="Z240" s="25">
        <v>7.34</v>
      </c>
      <c r="AA240" s="25" t="s">
        <v>574</v>
      </c>
      <c r="AB240" s="25">
        <f t="shared" si="225"/>
        <v>7.34</v>
      </c>
      <c r="AC240" s="64">
        <v>6</v>
      </c>
      <c r="AD240" s="25">
        <v>5.93</v>
      </c>
      <c r="AM240" s="57"/>
      <c r="AQ240" s="57"/>
      <c r="AR240" s="57">
        <v>3</v>
      </c>
      <c r="BP240" s="42"/>
      <c r="BQ240" s="42"/>
      <c r="BR240" s="42"/>
      <c r="BU240" s="42"/>
      <c r="DW240" s="25" t="s">
        <v>954</v>
      </c>
      <c r="DX240" s="25">
        <v>100</v>
      </c>
      <c r="DY240" s="25">
        <f t="shared" si="233"/>
        <v>225000</v>
      </c>
      <c r="DZ240" s="15" t="s">
        <v>766</v>
      </c>
      <c r="ES240" s="15">
        <f t="shared" si="234"/>
        <v>225000</v>
      </c>
      <c r="ET240" s="15">
        <f t="shared" si="235"/>
        <v>100</v>
      </c>
      <c r="EU240" s="15">
        <f t="shared" si="236"/>
        <v>123750.00000000001</v>
      </c>
      <c r="EV240" s="15"/>
      <c r="EZ240" s="42"/>
      <c r="FA240" s="42"/>
      <c r="FB240" s="42"/>
      <c r="FC240" s="42"/>
      <c r="FD240" s="42"/>
      <c r="FE240" s="42"/>
      <c r="FF240" s="42"/>
      <c r="FG240" s="42"/>
      <c r="FH240" s="42"/>
      <c r="FI240" s="42"/>
      <c r="FJ240" s="42"/>
      <c r="FK240" s="42">
        <f t="shared" si="226"/>
        <v>7.36</v>
      </c>
      <c r="FL240" s="42">
        <f t="shared" si="227"/>
        <v>7.09</v>
      </c>
      <c r="FM240" s="25">
        <v>7.36</v>
      </c>
      <c r="FN240" s="25">
        <v>0.15</v>
      </c>
      <c r="FO240" s="25">
        <f>FN240*SQRT(AR240)</f>
        <v>0.25980762113533157</v>
      </c>
      <c r="FP240" s="25">
        <v>7.09</v>
      </c>
      <c r="FQ240" s="25">
        <v>0.1</v>
      </c>
      <c r="FR240" s="25">
        <f>FQ240*SQRT(AR240)</f>
        <v>0.17320508075688773</v>
      </c>
      <c r="FS240" s="25">
        <f t="shared" si="191"/>
        <v>0.96331521739130432</v>
      </c>
      <c r="FT240" s="25">
        <f t="shared" si="192"/>
        <v>-0.27000000000000046</v>
      </c>
      <c r="FU240" s="25">
        <f t="shared" si="193"/>
        <v>-3.7374592196748768E-2</v>
      </c>
      <c r="FV240" s="25">
        <f>((FR240*FR240)/(AR240*FP240*FP240)+(FO240*FO240)/(AR240*FM240*FM240))</f>
        <v>6.1429544146878942E-4</v>
      </c>
      <c r="HY240" s="15">
        <f t="shared" si="237"/>
        <v>225000</v>
      </c>
      <c r="HZ240" s="15">
        <f t="shared" si="238"/>
        <v>100</v>
      </c>
      <c r="IA240" s="15">
        <f t="shared" si="239"/>
        <v>123750.00000000001</v>
      </c>
    </row>
    <row r="241" spans="1:235" s="25" customFormat="1" ht="14.4" x14ac:dyDescent="0.25">
      <c r="A241" s="40">
        <v>239</v>
      </c>
      <c r="B241" s="57">
        <v>40</v>
      </c>
      <c r="C241" s="57">
        <v>43</v>
      </c>
      <c r="D241" s="57" t="s">
        <v>206</v>
      </c>
      <c r="E241" s="57">
        <v>3</v>
      </c>
      <c r="F241" s="57" t="s">
        <v>949</v>
      </c>
      <c r="G241" s="25" t="s">
        <v>950</v>
      </c>
      <c r="H241" s="25" t="s">
        <v>951</v>
      </c>
      <c r="I241" s="57">
        <v>2019</v>
      </c>
      <c r="J241" s="41" t="s">
        <v>953</v>
      </c>
      <c r="K241" s="57">
        <v>2018</v>
      </c>
      <c r="L241" s="25" t="s">
        <v>952</v>
      </c>
      <c r="M241" s="25" t="s">
        <v>480</v>
      </c>
      <c r="N241" s="25" t="s">
        <v>23</v>
      </c>
      <c r="O241" s="40">
        <v>2</v>
      </c>
      <c r="P241" s="25">
        <v>31.53</v>
      </c>
      <c r="Q241" s="25">
        <v>104.7</v>
      </c>
      <c r="U241" s="25" t="s">
        <v>807</v>
      </c>
      <c r="V241" s="40">
        <v>2</v>
      </c>
      <c r="W241" s="42"/>
      <c r="X241" s="25" t="s">
        <v>731</v>
      </c>
      <c r="Y241" s="1">
        <v>12</v>
      </c>
      <c r="Z241" s="25">
        <v>7.34</v>
      </c>
      <c r="AA241" s="25" t="s">
        <v>574</v>
      </c>
      <c r="AB241" s="25">
        <f t="shared" si="225"/>
        <v>7.34</v>
      </c>
      <c r="AC241" s="64">
        <v>6</v>
      </c>
      <c r="AD241" s="25">
        <v>5.93</v>
      </c>
      <c r="AM241" s="57"/>
      <c r="AQ241" s="57"/>
      <c r="AR241" s="57">
        <v>3</v>
      </c>
      <c r="BP241" s="42"/>
      <c r="BQ241" s="42"/>
      <c r="BR241" s="42"/>
      <c r="BU241" s="42"/>
      <c r="DW241" s="25" t="s">
        <v>954</v>
      </c>
      <c r="DX241" s="25">
        <v>200</v>
      </c>
      <c r="DY241" s="25">
        <f t="shared" si="233"/>
        <v>450000</v>
      </c>
      <c r="DZ241" s="15" t="s">
        <v>766</v>
      </c>
      <c r="ES241" s="15">
        <f t="shared" si="234"/>
        <v>450000</v>
      </c>
      <c r="ET241" s="15">
        <f t="shared" si="235"/>
        <v>200</v>
      </c>
      <c r="EU241" s="15">
        <f t="shared" si="236"/>
        <v>247500.00000000003</v>
      </c>
      <c r="EV241" s="15"/>
      <c r="EZ241" s="42"/>
      <c r="FA241" s="42"/>
      <c r="FB241" s="42"/>
      <c r="FC241" s="42"/>
      <c r="FD241" s="42"/>
      <c r="FE241" s="42"/>
      <c r="FF241" s="42"/>
      <c r="FG241" s="42"/>
      <c r="FH241" s="42"/>
      <c r="FI241" s="42"/>
      <c r="FJ241" s="42"/>
      <c r="FK241" s="42">
        <f t="shared" si="226"/>
        <v>7.36</v>
      </c>
      <c r="FL241" s="42">
        <f t="shared" si="227"/>
        <v>6.81</v>
      </c>
      <c r="FM241" s="25">
        <v>7.36</v>
      </c>
      <c r="FN241" s="25">
        <v>0.15</v>
      </c>
      <c r="FO241" s="25">
        <f>FN241*SQRT(AR241)</f>
        <v>0.25980762113533157</v>
      </c>
      <c r="FP241" s="25">
        <v>6.81</v>
      </c>
      <c r="FQ241" s="25">
        <v>0.1</v>
      </c>
      <c r="FR241" s="25">
        <f>FQ241*SQRT(AR241)</f>
        <v>0.17320508075688773</v>
      </c>
      <c r="FS241" s="25">
        <f t="shared" si="191"/>
        <v>0.9252717391304347</v>
      </c>
      <c r="FT241" s="25">
        <f t="shared" si="192"/>
        <v>-0.55000000000000071</v>
      </c>
      <c r="FU241" s="25">
        <f t="shared" si="193"/>
        <v>-7.7667812579363948E-2</v>
      </c>
      <c r="FV241" s="25">
        <f>((FR241*FR241)/(AR241*FP241*FP241)+(FO241*FO241)/(AR241*FM241*FM241))</f>
        <v>6.3099043047502553E-4</v>
      </c>
      <c r="HY241" s="15">
        <f t="shared" si="237"/>
        <v>450000</v>
      </c>
      <c r="HZ241" s="15">
        <f t="shared" si="238"/>
        <v>200</v>
      </c>
      <c r="IA241" s="15">
        <f t="shared" si="239"/>
        <v>247500.00000000003</v>
      </c>
    </row>
    <row r="242" spans="1:235" s="25" customFormat="1" ht="14.4" x14ac:dyDescent="0.25">
      <c r="A242" s="40">
        <v>240</v>
      </c>
      <c r="B242" s="57">
        <v>40</v>
      </c>
      <c r="C242" s="57">
        <v>43</v>
      </c>
      <c r="D242" s="57" t="s">
        <v>207</v>
      </c>
      <c r="E242" s="57">
        <v>3</v>
      </c>
      <c r="F242" s="57" t="s">
        <v>949</v>
      </c>
      <c r="G242" s="25" t="s">
        <v>950</v>
      </c>
      <c r="H242" s="25" t="s">
        <v>951</v>
      </c>
      <c r="I242" s="57">
        <v>2019</v>
      </c>
      <c r="J242" s="41" t="s">
        <v>953</v>
      </c>
      <c r="K242" s="57">
        <v>2018</v>
      </c>
      <c r="L242" s="25" t="s">
        <v>952</v>
      </c>
      <c r="M242" s="25" t="s">
        <v>480</v>
      </c>
      <c r="N242" s="25" t="s">
        <v>23</v>
      </c>
      <c r="O242" s="40">
        <v>2</v>
      </c>
      <c r="P242" s="25">
        <v>31.53</v>
      </c>
      <c r="Q242" s="25">
        <v>104.7</v>
      </c>
      <c r="U242" s="25" t="s">
        <v>807</v>
      </c>
      <c r="V242" s="40">
        <v>2</v>
      </c>
      <c r="W242" s="42"/>
      <c r="X242" s="25" t="s">
        <v>731</v>
      </c>
      <c r="Y242" s="1">
        <v>12</v>
      </c>
      <c r="Z242" s="25">
        <v>7.34</v>
      </c>
      <c r="AA242" s="25" t="s">
        <v>574</v>
      </c>
      <c r="AB242" s="25">
        <f t="shared" si="225"/>
        <v>7.34</v>
      </c>
      <c r="AC242" s="64">
        <v>6</v>
      </c>
      <c r="AD242" s="25">
        <v>5.93</v>
      </c>
      <c r="AM242" s="57"/>
      <c r="AQ242" s="57"/>
      <c r="AR242" s="57">
        <v>3</v>
      </c>
      <c r="BP242" s="42"/>
      <c r="BQ242" s="42"/>
      <c r="BR242" s="42"/>
      <c r="BU242" s="42"/>
      <c r="DW242" s="25" t="s">
        <v>954</v>
      </c>
      <c r="DX242" s="25">
        <v>400</v>
      </c>
      <c r="DY242" s="25">
        <f t="shared" si="233"/>
        <v>900000</v>
      </c>
      <c r="DZ242" s="15" t="s">
        <v>766</v>
      </c>
      <c r="ES242" s="15">
        <f t="shared" si="234"/>
        <v>900000</v>
      </c>
      <c r="ET242" s="15">
        <f t="shared" si="235"/>
        <v>400</v>
      </c>
      <c r="EU242" s="15">
        <f t="shared" si="236"/>
        <v>495000.00000000006</v>
      </c>
      <c r="EV242" s="15"/>
      <c r="EZ242" s="42"/>
      <c r="FA242" s="42"/>
      <c r="FB242" s="42"/>
      <c r="FC242" s="42"/>
      <c r="FD242" s="42"/>
      <c r="FE242" s="42"/>
      <c r="FF242" s="42"/>
      <c r="FG242" s="42"/>
      <c r="FH242" s="42"/>
      <c r="FI242" s="42"/>
      <c r="FJ242" s="42"/>
      <c r="FK242" s="42">
        <f t="shared" si="226"/>
        <v>7.36</v>
      </c>
      <c r="FL242" s="42">
        <f t="shared" si="227"/>
        <v>5.82</v>
      </c>
      <c r="FM242" s="25">
        <v>7.36</v>
      </c>
      <c r="FN242" s="25">
        <v>0.15</v>
      </c>
      <c r="FO242" s="25">
        <f>FN242*SQRT(AR242)</f>
        <v>0.25980762113533157</v>
      </c>
      <c r="FP242" s="25">
        <v>5.82</v>
      </c>
      <c r="FQ242" s="25">
        <v>0.1</v>
      </c>
      <c r="FR242" s="25">
        <f>FQ242*SQRT(AR242)</f>
        <v>0.17320508075688773</v>
      </c>
      <c r="FS242" s="25">
        <f t="shared" si="191"/>
        <v>0.79076086956521741</v>
      </c>
      <c r="FT242" s="25">
        <f t="shared" si="192"/>
        <v>-1.54</v>
      </c>
      <c r="FU242" s="25">
        <f t="shared" si="193"/>
        <v>-0.23475967099743844</v>
      </c>
      <c r="FV242" s="25">
        <f>((FR242*FR242)/(AR242*FP242*FP242)+(FO242*FO242)/(AR242*FM242*FM242))</f>
        <v>7.1058773334040743E-4</v>
      </c>
      <c r="HY242" s="15">
        <f t="shared" si="237"/>
        <v>900000</v>
      </c>
      <c r="HZ242" s="15">
        <f t="shared" si="238"/>
        <v>400</v>
      </c>
      <c r="IA242" s="15">
        <f t="shared" si="239"/>
        <v>495000.00000000006</v>
      </c>
    </row>
    <row r="243" spans="1:235" s="25" customFormat="1" ht="14.4" x14ac:dyDescent="0.25">
      <c r="A243" s="40">
        <v>241</v>
      </c>
      <c r="B243" s="57">
        <v>40</v>
      </c>
      <c r="C243" s="57">
        <v>43</v>
      </c>
      <c r="D243" s="57" t="s">
        <v>208</v>
      </c>
      <c r="E243" s="57">
        <v>3</v>
      </c>
      <c r="F243" s="57" t="s">
        <v>949</v>
      </c>
      <c r="G243" s="25" t="s">
        <v>950</v>
      </c>
      <c r="H243" s="25" t="s">
        <v>951</v>
      </c>
      <c r="I243" s="57">
        <v>2019</v>
      </c>
      <c r="J243" s="41" t="s">
        <v>953</v>
      </c>
      <c r="K243" s="57">
        <v>2018</v>
      </c>
      <c r="L243" s="25" t="s">
        <v>952</v>
      </c>
      <c r="M243" s="25" t="s">
        <v>480</v>
      </c>
      <c r="N243" s="25" t="s">
        <v>23</v>
      </c>
      <c r="O243" s="40">
        <v>2</v>
      </c>
      <c r="P243" s="25">
        <v>31.53</v>
      </c>
      <c r="Q243" s="25">
        <v>104.7</v>
      </c>
      <c r="U243" s="25" t="s">
        <v>807</v>
      </c>
      <c r="V243" s="40">
        <v>2</v>
      </c>
      <c r="W243" s="42"/>
      <c r="X243" s="25" t="s">
        <v>731</v>
      </c>
      <c r="Y243" s="1">
        <v>12</v>
      </c>
      <c r="Z243" s="25">
        <v>7.34</v>
      </c>
      <c r="AA243" s="25" t="s">
        <v>574</v>
      </c>
      <c r="AB243" s="25">
        <f t="shared" si="225"/>
        <v>7.34</v>
      </c>
      <c r="AC243" s="64">
        <v>6</v>
      </c>
      <c r="AD243" s="25">
        <v>5.93</v>
      </c>
      <c r="AM243" s="57"/>
      <c r="AQ243" s="57"/>
      <c r="AR243" s="57">
        <v>3</v>
      </c>
      <c r="BP243" s="42"/>
      <c r="BQ243" s="42"/>
      <c r="BR243" s="42"/>
      <c r="BU243" s="42"/>
      <c r="DW243" s="25" t="s">
        <v>954</v>
      </c>
      <c r="DX243" s="25">
        <v>800</v>
      </c>
      <c r="DY243" s="25">
        <f t="shared" si="233"/>
        <v>1800000</v>
      </c>
      <c r="DZ243" s="15" t="s">
        <v>766</v>
      </c>
      <c r="ES243" s="15">
        <f t="shared" si="234"/>
        <v>1800000</v>
      </c>
      <c r="ET243" s="15">
        <f t="shared" si="235"/>
        <v>800</v>
      </c>
      <c r="EU243" s="15">
        <f t="shared" si="236"/>
        <v>990000.00000000012</v>
      </c>
      <c r="EV243" s="15"/>
      <c r="EZ243" s="42"/>
      <c r="FA243" s="42"/>
      <c r="FB243" s="42"/>
      <c r="FC243" s="42"/>
      <c r="FD243" s="42"/>
      <c r="FE243" s="42"/>
      <c r="FF243" s="42"/>
      <c r="FG243" s="42"/>
      <c r="FH243" s="42"/>
      <c r="FI243" s="42"/>
      <c r="FJ243" s="42"/>
      <c r="FK243" s="42">
        <f t="shared" si="226"/>
        <v>7.36</v>
      </c>
      <c r="FL243" s="42">
        <f t="shared" si="227"/>
        <v>5.13</v>
      </c>
      <c r="FM243" s="25">
        <v>7.36</v>
      </c>
      <c r="FN243" s="25">
        <v>0.15</v>
      </c>
      <c r="FO243" s="25">
        <f>FN243*SQRT(AR243)</f>
        <v>0.25980762113533157</v>
      </c>
      <c r="FP243" s="25">
        <v>5.13</v>
      </c>
      <c r="FQ243" s="25">
        <v>0.1</v>
      </c>
      <c r="FR243" s="25">
        <f>FQ243*SQRT(AR243)</f>
        <v>0.17320508075688773</v>
      </c>
      <c r="FS243" s="25">
        <f t="shared" si="191"/>
        <v>0.69701086956521729</v>
      </c>
      <c r="FT243" s="25">
        <f t="shared" si="192"/>
        <v>-2.2300000000000004</v>
      </c>
      <c r="FU243" s="25">
        <f t="shared" si="193"/>
        <v>-0.36095427355810661</v>
      </c>
      <c r="FV243" s="25">
        <f>((FR243*FR243)/(AR243*FP243*FP243)+(FO243*FO243)/(AR243*FM243*FM243))</f>
        <v>7.9534608660485691E-4</v>
      </c>
      <c r="HY243" s="15">
        <f t="shared" si="237"/>
        <v>1800000</v>
      </c>
      <c r="HZ243" s="15">
        <f t="shared" si="238"/>
        <v>800</v>
      </c>
      <c r="IA243" s="15">
        <f t="shared" si="239"/>
        <v>990000.00000000012</v>
      </c>
    </row>
    <row r="244" spans="1:235" s="15" customFormat="1" x14ac:dyDescent="0.25">
      <c r="A244" s="31">
        <v>242</v>
      </c>
      <c r="B244" s="1">
        <v>41</v>
      </c>
      <c r="C244" s="1">
        <v>44</v>
      </c>
      <c r="D244" s="15" t="s">
        <v>958</v>
      </c>
      <c r="E244" s="1">
        <v>3</v>
      </c>
      <c r="F244" s="15" t="s">
        <v>955</v>
      </c>
      <c r="G244" s="15" t="s">
        <v>957</v>
      </c>
      <c r="H244" s="15" t="s">
        <v>930</v>
      </c>
      <c r="I244" s="1">
        <v>2015</v>
      </c>
      <c r="J244" s="15" t="s">
        <v>964</v>
      </c>
      <c r="K244" s="1"/>
      <c r="L244" s="15" t="s">
        <v>865</v>
      </c>
      <c r="M244" s="15" t="s">
        <v>73</v>
      </c>
      <c r="N244" s="15" t="s">
        <v>23</v>
      </c>
      <c r="O244" s="31">
        <v>2</v>
      </c>
      <c r="P244" s="15">
        <v>31.1</v>
      </c>
      <c r="Q244" s="15">
        <v>119.13</v>
      </c>
      <c r="U244" s="15" t="s">
        <v>807</v>
      </c>
      <c r="V244" s="31">
        <v>2</v>
      </c>
      <c r="Y244" s="1"/>
      <c r="Z244" s="15">
        <v>3.92</v>
      </c>
      <c r="AA244" s="15" t="s">
        <v>574</v>
      </c>
      <c r="AB244" s="15">
        <f t="shared" si="225"/>
        <v>3.92</v>
      </c>
      <c r="AC244" s="1">
        <v>1</v>
      </c>
      <c r="AD244" s="15">
        <v>16.100000000000001</v>
      </c>
      <c r="AF244" s="15">
        <v>9.4</v>
      </c>
      <c r="AJ244" s="15">
        <v>41</v>
      </c>
      <c r="AK244" s="15">
        <v>26</v>
      </c>
      <c r="AL244" s="15">
        <v>33</v>
      </c>
      <c r="AM244" s="1">
        <v>2</v>
      </c>
      <c r="AQ244" s="1"/>
      <c r="AR244" s="1">
        <v>3</v>
      </c>
      <c r="DV244" s="15">
        <v>8.48</v>
      </c>
      <c r="DW244" s="1" t="s">
        <v>938</v>
      </c>
      <c r="DX244" s="15">
        <v>4</v>
      </c>
      <c r="DY244" s="15">
        <f t="shared" si="233"/>
        <v>9000</v>
      </c>
      <c r="DZ244" s="15" t="s">
        <v>766</v>
      </c>
      <c r="EC244" s="1">
        <v>242.46</v>
      </c>
      <c r="ED244" s="1">
        <v>59.34</v>
      </c>
      <c r="EE244" s="1">
        <v>0.03</v>
      </c>
      <c r="EF244" s="1">
        <v>39.159999999999997</v>
      </c>
      <c r="EG244" s="1">
        <v>0.59</v>
      </c>
      <c r="EH244" s="1">
        <v>121.49</v>
      </c>
      <c r="EI244" s="1"/>
      <c r="ES244" s="15">
        <f t="shared" si="234"/>
        <v>9000</v>
      </c>
      <c r="ET244" s="15">
        <f t="shared" si="235"/>
        <v>4</v>
      </c>
      <c r="EU244" s="15">
        <f t="shared" si="236"/>
        <v>4950</v>
      </c>
      <c r="FK244" s="16">
        <f t="shared" si="226"/>
        <v>3.97</v>
      </c>
      <c r="FL244" s="16">
        <f t="shared" si="227"/>
        <v>4.71</v>
      </c>
      <c r="FM244" s="15">
        <v>3.97</v>
      </c>
      <c r="FN244" s="15">
        <f t="shared" ref="FN244:FN255" si="240">FM244*0.05</f>
        <v>0.19850000000000001</v>
      </c>
      <c r="FO244" s="15">
        <f>FN244*SQRT(AR244)</f>
        <v>0.34381208530242213</v>
      </c>
      <c r="FP244" s="15">
        <v>4.71</v>
      </c>
      <c r="FQ244" s="15">
        <f t="shared" ref="FQ244:FQ255" si="241">FP244*0.055</f>
        <v>0.25905</v>
      </c>
      <c r="FR244" s="15">
        <f>FQ244*SQRT(AR244)</f>
        <v>0.44868776170071767</v>
      </c>
      <c r="FS244" s="15">
        <f t="shared" si="191"/>
        <v>1.1863979848866497</v>
      </c>
      <c r="FT244" s="15">
        <f t="shared" si="192"/>
        <v>0.73999999999999977</v>
      </c>
      <c r="FU244" s="15">
        <f t="shared" si="193"/>
        <v>0.17092181332922718</v>
      </c>
      <c r="FV244" s="15">
        <f>((FR244*FR244)/(AR244*FP244*FP244)+(FO244*FO244)/(AR244*FM244*FM244))</f>
        <v>5.5250000000000004E-3</v>
      </c>
      <c r="HY244" s="15">
        <f t="shared" si="237"/>
        <v>9000</v>
      </c>
      <c r="HZ244" s="15">
        <f t="shared" si="238"/>
        <v>4</v>
      </c>
      <c r="IA244" s="15">
        <f t="shared" si="239"/>
        <v>4950</v>
      </c>
    </row>
    <row r="245" spans="1:235" s="15" customFormat="1" x14ac:dyDescent="0.25">
      <c r="A245" s="31">
        <v>243</v>
      </c>
      <c r="B245" s="1">
        <v>41</v>
      </c>
      <c r="C245" s="1">
        <v>44</v>
      </c>
      <c r="D245" s="15" t="s">
        <v>959</v>
      </c>
      <c r="E245" s="1">
        <v>3</v>
      </c>
      <c r="F245" s="15" t="s">
        <v>955</v>
      </c>
      <c r="G245" s="15" t="s">
        <v>957</v>
      </c>
      <c r="H245" s="15" t="s">
        <v>930</v>
      </c>
      <c r="I245" s="1">
        <v>2015</v>
      </c>
      <c r="J245" s="15" t="s">
        <v>964</v>
      </c>
      <c r="K245" s="1"/>
      <c r="L245" s="15" t="s">
        <v>865</v>
      </c>
      <c r="M245" s="15" t="s">
        <v>73</v>
      </c>
      <c r="N245" s="15" t="s">
        <v>23</v>
      </c>
      <c r="O245" s="31">
        <v>2</v>
      </c>
      <c r="P245" s="15">
        <v>31.1</v>
      </c>
      <c r="Q245" s="15">
        <v>119.13</v>
      </c>
      <c r="U245" s="15" t="s">
        <v>807</v>
      </c>
      <c r="V245" s="31">
        <v>2</v>
      </c>
      <c r="Y245" s="1"/>
      <c r="Z245" s="15">
        <v>3.92</v>
      </c>
      <c r="AA245" s="15" t="s">
        <v>574</v>
      </c>
      <c r="AB245" s="15">
        <f t="shared" si="225"/>
        <v>3.92</v>
      </c>
      <c r="AC245" s="1">
        <v>1</v>
      </c>
      <c r="AD245" s="15">
        <v>16.100000000000001</v>
      </c>
      <c r="AF245" s="15">
        <v>9.4</v>
      </c>
      <c r="AJ245" s="15">
        <v>41</v>
      </c>
      <c r="AK245" s="15">
        <v>26</v>
      </c>
      <c r="AL245" s="15">
        <v>33</v>
      </c>
      <c r="AM245" s="1">
        <v>2</v>
      </c>
      <c r="AQ245" s="1"/>
      <c r="AR245" s="1">
        <v>3</v>
      </c>
      <c r="DV245" s="15">
        <v>8.48</v>
      </c>
      <c r="DW245" s="1" t="s">
        <v>938</v>
      </c>
      <c r="DX245" s="15">
        <v>8</v>
      </c>
      <c r="DY245" s="15">
        <f t="shared" si="233"/>
        <v>18000</v>
      </c>
      <c r="DZ245" s="15" t="s">
        <v>766</v>
      </c>
      <c r="EC245" s="1">
        <v>242.46</v>
      </c>
      <c r="ED245" s="1">
        <v>59.34</v>
      </c>
      <c r="EE245" s="1">
        <v>0.03</v>
      </c>
      <c r="EF245" s="1">
        <v>39.159999999999997</v>
      </c>
      <c r="EG245" s="1">
        <v>0.59</v>
      </c>
      <c r="EH245" s="1">
        <v>121.49</v>
      </c>
      <c r="EI245" s="1"/>
      <c r="ES245" s="15">
        <f t="shared" si="234"/>
        <v>18000</v>
      </c>
      <c r="ET245" s="15">
        <f t="shared" si="235"/>
        <v>8</v>
      </c>
      <c r="EU245" s="15">
        <f t="shared" si="236"/>
        <v>9900</v>
      </c>
      <c r="FK245" s="16">
        <f t="shared" si="226"/>
        <v>3.97</v>
      </c>
      <c r="FL245" s="16">
        <f t="shared" si="227"/>
        <v>5.63</v>
      </c>
      <c r="FM245" s="15">
        <v>3.97</v>
      </c>
      <c r="FN245" s="15">
        <f t="shared" si="240"/>
        <v>0.19850000000000001</v>
      </c>
      <c r="FO245" s="15">
        <f>FN245*SQRT(AR245)</f>
        <v>0.34381208530242213</v>
      </c>
      <c r="FP245" s="15">
        <v>5.63</v>
      </c>
      <c r="FQ245" s="15">
        <f t="shared" si="241"/>
        <v>0.30964999999999998</v>
      </c>
      <c r="FR245" s="15">
        <f>FQ245*SQRT(AR245)</f>
        <v>0.53632953256370275</v>
      </c>
      <c r="FS245" s="15">
        <f t="shared" si="191"/>
        <v>1.4181360201511335</v>
      </c>
      <c r="FT245" s="15">
        <f t="shared" si="192"/>
        <v>1.6599999999999997</v>
      </c>
      <c r="FU245" s="15">
        <f t="shared" si="193"/>
        <v>0.34934334745249984</v>
      </c>
      <c r="FV245" s="15">
        <f>((FR245*FR245)/(AR245*FP245*FP245)+(FO245*FO245)/(AR245*FM245*FM245))</f>
        <v>5.5249999999999987E-3</v>
      </c>
      <c r="HY245" s="15">
        <f t="shared" si="237"/>
        <v>18000</v>
      </c>
      <c r="HZ245" s="15">
        <f t="shared" si="238"/>
        <v>8</v>
      </c>
      <c r="IA245" s="15">
        <f t="shared" si="239"/>
        <v>9900</v>
      </c>
    </row>
    <row r="246" spans="1:235" s="15" customFormat="1" x14ac:dyDescent="0.25">
      <c r="A246" s="31">
        <v>244</v>
      </c>
      <c r="B246" s="1">
        <v>41</v>
      </c>
      <c r="C246" s="1">
        <v>44</v>
      </c>
      <c r="D246" s="15" t="s">
        <v>960</v>
      </c>
      <c r="E246" s="1">
        <v>3</v>
      </c>
      <c r="F246" s="15" t="s">
        <v>949</v>
      </c>
      <c r="G246" s="15" t="s">
        <v>957</v>
      </c>
      <c r="H246" s="15" t="s">
        <v>930</v>
      </c>
      <c r="I246" s="1">
        <v>2015</v>
      </c>
      <c r="J246" s="15" t="s">
        <v>964</v>
      </c>
      <c r="K246" s="1"/>
      <c r="L246" s="15" t="s">
        <v>865</v>
      </c>
      <c r="M246" s="15" t="s">
        <v>73</v>
      </c>
      <c r="N246" s="15" t="s">
        <v>23</v>
      </c>
      <c r="O246" s="31">
        <v>2</v>
      </c>
      <c r="P246" s="15">
        <v>31.1</v>
      </c>
      <c r="Q246" s="15">
        <v>119.13</v>
      </c>
      <c r="U246" s="15" t="s">
        <v>807</v>
      </c>
      <c r="V246" s="31">
        <v>2</v>
      </c>
      <c r="Y246" s="1"/>
      <c r="Z246" s="15">
        <v>3.92</v>
      </c>
      <c r="AA246" s="15" t="s">
        <v>574</v>
      </c>
      <c r="AB246" s="15">
        <f t="shared" si="225"/>
        <v>3.92</v>
      </c>
      <c r="AC246" s="1">
        <v>1</v>
      </c>
      <c r="AD246" s="15">
        <v>16.100000000000001</v>
      </c>
      <c r="AF246" s="15">
        <v>9.4</v>
      </c>
      <c r="AJ246" s="15">
        <v>41</v>
      </c>
      <c r="AK246" s="15">
        <v>26</v>
      </c>
      <c r="AL246" s="15">
        <v>33</v>
      </c>
      <c r="AM246" s="1">
        <v>2</v>
      </c>
      <c r="AQ246" s="1"/>
      <c r="AR246" s="1">
        <v>3</v>
      </c>
      <c r="DV246" s="15">
        <v>2.12</v>
      </c>
      <c r="DW246" s="15" t="s">
        <v>954</v>
      </c>
      <c r="DX246" s="15">
        <v>4</v>
      </c>
      <c r="DY246" s="15">
        <f t="shared" si="233"/>
        <v>9000</v>
      </c>
      <c r="DZ246" s="15" t="s">
        <v>766</v>
      </c>
      <c r="EC246" s="1">
        <v>242.04</v>
      </c>
      <c r="ED246" s="1">
        <v>2.0299999999999998</v>
      </c>
      <c r="EE246" s="1">
        <v>0.08</v>
      </c>
      <c r="EF246" s="1">
        <v>1.68</v>
      </c>
      <c r="EG246" s="1">
        <v>27.75</v>
      </c>
      <c r="EH246" s="1">
        <v>416.71</v>
      </c>
      <c r="EI246" s="1"/>
      <c r="ES246" s="15">
        <f t="shared" si="234"/>
        <v>9000</v>
      </c>
      <c r="ET246" s="15">
        <f t="shared" si="235"/>
        <v>4</v>
      </c>
      <c r="EU246" s="15">
        <f t="shared" si="236"/>
        <v>4950</v>
      </c>
      <c r="FK246" s="16">
        <f t="shared" si="226"/>
        <v>3.97</v>
      </c>
      <c r="FL246" s="16">
        <f t="shared" si="227"/>
        <v>4.01</v>
      </c>
      <c r="FM246" s="15">
        <v>3.97</v>
      </c>
      <c r="FN246" s="15">
        <f t="shared" si="240"/>
        <v>0.19850000000000001</v>
      </c>
      <c r="FO246" s="15">
        <f>FN246*SQRT(AR246)</f>
        <v>0.34381208530242213</v>
      </c>
      <c r="FP246" s="15">
        <v>4.01</v>
      </c>
      <c r="FQ246" s="15">
        <f t="shared" si="241"/>
        <v>0.22055</v>
      </c>
      <c r="FR246" s="15">
        <f>FQ246*SQRT(AR246)</f>
        <v>0.38200380560931585</v>
      </c>
      <c r="FS246" s="15">
        <f t="shared" si="191"/>
        <v>1.0100755667506296</v>
      </c>
      <c r="FT246" s="15">
        <f t="shared" si="192"/>
        <v>3.9999999999999591E-2</v>
      </c>
      <c r="FU246" s="15">
        <f t="shared" si="193"/>
        <v>1.0025146619378589E-2</v>
      </c>
      <c r="FV246" s="15">
        <f>((FR246*FR246)/(AR246*FP246*FP246)+(FO246*FO246)/(AR246*FM246*FM246))</f>
        <v>5.5249999999999995E-3</v>
      </c>
      <c r="HY246" s="15">
        <f t="shared" si="237"/>
        <v>9000</v>
      </c>
      <c r="HZ246" s="15">
        <f t="shared" si="238"/>
        <v>4</v>
      </c>
      <c r="IA246" s="15">
        <f t="shared" si="239"/>
        <v>4950</v>
      </c>
    </row>
    <row r="247" spans="1:235" s="15" customFormat="1" x14ac:dyDescent="0.25">
      <c r="A247" s="31">
        <v>245</v>
      </c>
      <c r="B247" s="1">
        <v>41</v>
      </c>
      <c r="C247" s="1">
        <v>44</v>
      </c>
      <c r="D247" s="15" t="s">
        <v>961</v>
      </c>
      <c r="E247" s="1">
        <v>3</v>
      </c>
      <c r="F247" s="15" t="s">
        <v>949</v>
      </c>
      <c r="G247" s="15" t="s">
        <v>957</v>
      </c>
      <c r="H247" s="15" t="s">
        <v>930</v>
      </c>
      <c r="I247" s="1">
        <v>2015</v>
      </c>
      <c r="J247" s="15" t="s">
        <v>964</v>
      </c>
      <c r="K247" s="1"/>
      <c r="L247" s="15" t="s">
        <v>865</v>
      </c>
      <c r="M247" s="15" t="s">
        <v>73</v>
      </c>
      <c r="N247" s="15" t="s">
        <v>23</v>
      </c>
      <c r="O247" s="31">
        <v>2</v>
      </c>
      <c r="P247" s="15">
        <v>31.1</v>
      </c>
      <c r="Q247" s="15">
        <v>119.13</v>
      </c>
      <c r="U247" s="15" t="s">
        <v>807</v>
      </c>
      <c r="V247" s="31">
        <v>2</v>
      </c>
      <c r="Y247" s="1"/>
      <c r="Z247" s="15">
        <v>3.92</v>
      </c>
      <c r="AA247" s="15" t="s">
        <v>574</v>
      </c>
      <c r="AB247" s="15">
        <f t="shared" si="225"/>
        <v>3.92</v>
      </c>
      <c r="AC247" s="1">
        <v>1</v>
      </c>
      <c r="AD247" s="15">
        <v>16.100000000000001</v>
      </c>
      <c r="AF247" s="15">
        <v>9.4</v>
      </c>
      <c r="AJ247" s="15">
        <v>41</v>
      </c>
      <c r="AK247" s="15">
        <v>26</v>
      </c>
      <c r="AL247" s="15">
        <v>33</v>
      </c>
      <c r="AM247" s="1">
        <v>2</v>
      </c>
      <c r="AQ247" s="1"/>
      <c r="AR247" s="1">
        <v>3</v>
      </c>
      <c r="DV247" s="15">
        <v>2.12</v>
      </c>
      <c r="DW247" s="15" t="s">
        <v>965</v>
      </c>
      <c r="DX247" s="15">
        <v>8</v>
      </c>
      <c r="DY247" s="15">
        <f t="shared" si="233"/>
        <v>18000</v>
      </c>
      <c r="DZ247" s="15" t="s">
        <v>766</v>
      </c>
      <c r="EC247" s="1">
        <v>242.04</v>
      </c>
      <c r="ED247" s="1">
        <v>2.0299999999999998</v>
      </c>
      <c r="EE247" s="1">
        <v>0.08</v>
      </c>
      <c r="EF247" s="1">
        <v>1.68</v>
      </c>
      <c r="EG247" s="1">
        <v>27.75</v>
      </c>
      <c r="EH247" s="1">
        <v>416.71</v>
      </c>
      <c r="EI247" s="1"/>
      <c r="ES247" s="15">
        <f t="shared" si="234"/>
        <v>18000</v>
      </c>
      <c r="ET247" s="15">
        <f t="shared" si="235"/>
        <v>8</v>
      </c>
      <c r="EU247" s="15">
        <f t="shared" si="236"/>
        <v>9900</v>
      </c>
      <c r="FK247" s="16">
        <f t="shared" si="226"/>
        <v>3.97</v>
      </c>
      <c r="FL247" s="16">
        <f t="shared" si="227"/>
        <v>4.03</v>
      </c>
      <c r="FM247" s="15">
        <v>3.97</v>
      </c>
      <c r="FN247" s="15">
        <f t="shared" si="240"/>
        <v>0.19850000000000001</v>
      </c>
      <c r="FO247" s="15">
        <f>FN247*SQRT(AR247)</f>
        <v>0.34381208530242213</v>
      </c>
      <c r="FP247" s="15">
        <v>4.03</v>
      </c>
      <c r="FQ247" s="15">
        <f t="shared" si="241"/>
        <v>0.22165000000000001</v>
      </c>
      <c r="FR247" s="15">
        <f>FQ247*SQRT(AR247)</f>
        <v>0.38390906149764165</v>
      </c>
      <c r="FS247" s="15">
        <f t="shared" si="191"/>
        <v>1.0151133501259446</v>
      </c>
      <c r="FT247" s="15">
        <f t="shared" si="192"/>
        <v>6.0000000000000053E-2</v>
      </c>
      <c r="FU247" s="15">
        <f t="shared" si="193"/>
        <v>1.5000281259492487E-2</v>
      </c>
      <c r="FV247" s="15">
        <f>((FR247*FR247)/(AR247*FP247*FP247)+(FO247*FO247)/(AR247*FM247*FM247))</f>
        <v>5.5249999999999995E-3</v>
      </c>
      <c r="HY247" s="15">
        <f t="shared" si="237"/>
        <v>18000</v>
      </c>
      <c r="HZ247" s="15">
        <f t="shared" si="238"/>
        <v>8</v>
      </c>
      <c r="IA247" s="15">
        <f t="shared" si="239"/>
        <v>9900</v>
      </c>
    </row>
    <row r="248" spans="1:235" s="15" customFormat="1" x14ac:dyDescent="0.25">
      <c r="A248" s="31">
        <v>246</v>
      </c>
      <c r="B248" s="1">
        <v>41</v>
      </c>
      <c r="C248" s="1">
        <v>44</v>
      </c>
      <c r="D248" s="15" t="s">
        <v>962</v>
      </c>
      <c r="E248" s="1">
        <v>6</v>
      </c>
      <c r="F248" s="15" t="s">
        <v>956</v>
      </c>
      <c r="G248" s="15" t="s">
        <v>957</v>
      </c>
      <c r="H248" s="15" t="s">
        <v>930</v>
      </c>
      <c r="I248" s="1">
        <v>2015</v>
      </c>
      <c r="J248" s="15" t="s">
        <v>964</v>
      </c>
      <c r="K248" s="1"/>
      <c r="L248" s="15" t="s">
        <v>865</v>
      </c>
      <c r="M248" s="15" t="s">
        <v>73</v>
      </c>
      <c r="N248" s="15" t="s">
        <v>23</v>
      </c>
      <c r="O248" s="31">
        <v>2</v>
      </c>
      <c r="P248" s="15">
        <v>31.1</v>
      </c>
      <c r="Q248" s="15">
        <v>119.13</v>
      </c>
      <c r="U248" s="15" t="s">
        <v>807</v>
      </c>
      <c r="V248" s="31">
        <v>2</v>
      </c>
      <c r="Y248" s="1"/>
      <c r="Z248" s="15">
        <v>3.92</v>
      </c>
      <c r="AA248" s="15" t="s">
        <v>574</v>
      </c>
      <c r="AB248" s="15">
        <f t="shared" si="225"/>
        <v>3.92</v>
      </c>
      <c r="AC248" s="1">
        <v>1</v>
      </c>
      <c r="AD248" s="15">
        <v>16.100000000000001</v>
      </c>
      <c r="AF248" s="15">
        <v>9.4</v>
      </c>
      <c r="AJ248" s="15">
        <v>41</v>
      </c>
      <c r="AK248" s="15">
        <v>26</v>
      </c>
      <c r="AL248" s="15">
        <v>33</v>
      </c>
      <c r="AM248" s="1">
        <v>2</v>
      </c>
      <c r="AQ248" s="1"/>
      <c r="AR248" s="1">
        <v>3</v>
      </c>
      <c r="DV248" s="15" t="s">
        <v>968</v>
      </c>
      <c r="DW248" s="1" t="s">
        <v>967</v>
      </c>
      <c r="DX248" s="15">
        <v>2.2000000000000002</v>
      </c>
      <c r="DY248" s="15">
        <f t="shared" si="233"/>
        <v>4950</v>
      </c>
      <c r="DZ248" s="15" t="s">
        <v>766</v>
      </c>
      <c r="ES248" s="15">
        <f t="shared" si="234"/>
        <v>4950</v>
      </c>
      <c r="ET248" s="15">
        <f t="shared" si="235"/>
        <v>2.2000000000000002</v>
      </c>
      <c r="EU248" s="15">
        <f t="shared" si="236"/>
        <v>2722.5</v>
      </c>
      <c r="EW248" s="46">
        <f>AX248+BT248+CF248+DE248+DY248</f>
        <v>4950</v>
      </c>
      <c r="EX248" s="46">
        <f>BA248+BZ248+CZ248+DT248+ET248</f>
        <v>2.2000000000000002</v>
      </c>
      <c r="EY248" s="46">
        <f>BB248+CA248+DA248+DU248+EU248</f>
        <v>2722.5</v>
      </c>
      <c r="FK248" s="16">
        <f t="shared" si="226"/>
        <v>3.97</v>
      </c>
      <c r="FL248" s="16">
        <f t="shared" si="227"/>
        <v>4.4800000000000004</v>
      </c>
      <c r="FM248" s="15">
        <v>3.97</v>
      </c>
      <c r="FN248" s="15">
        <f t="shared" si="240"/>
        <v>0.19850000000000001</v>
      </c>
      <c r="FO248" s="15">
        <f>FN248*SQRT(AR248)</f>
        <v>0.34381208530242213</v>
      </c>
      <c r="FP248" s="15">
        <v>4.4800000000000004</v>
      </c>
      <c r="FQ248" s="15">
        <f t="shared" si="241"/>
        <v>0.24640000000000004</v>
      </c>
      <c r="FR248" s="15">
        <f>FQ248*SQRT(AR248)</f>
        <v>0.4267773189849714</v>
      </c>
      <c r="FS248" s="15">
        <f t="shared" si="191"/>
        <v>1.128463476070529</v>
      </c>
      <c r="FT248" s="15">
        <f t="shared" si="192"/>
        <v>0.51000000000000023</v>
      </c>
      <c r="FU248" s="15">
        <f t="shared" si="193"/>
        <v>0.12085695172779465</v>
      </c>
      <c r="FV248" s="15">
        <f>((FR248*FR248)/(AR248*FP248*FP248)+(FO248*FO248)/(AR248*FM248*FM248))</f>
        <v>5.5249999999999995E-3</v>
      </c>
      <c r="HY248" s="15">
        <f t="shared" ref="HY248:IA249" si="242">EW248</f>
        <v>4950</v>
      </c>
      <c r="HZ248" s="15">
        <f t="shared" si="242"/>
        <v>2.2000000000000002</v>
      </c>
      <c r="IA248" s="15">
        <f t="shared" si="242"/>
        <v>2722.5</v>
      </c>
    </row>
    <row r="249" spans="1:235" s="15" customFormat="1" x14ac:dyDescent="0.25">
      <c r="A249" s="31">
        <v>247</v>
      </c>
      <c r="B249" s="1">
        <v>41</v>
      </c>
      <c r="C249" s="1">
        <v>44</v>
      </c>
      <c r="D249" s="15" t="s">
        <v>963</v>
      </c>
      <c r="E249" s="1">
        <v>6</v>
      </c>
      <c r="F249" s="15" t="s">
        <v>956</v>
      </c>
      <c r="G249" s="15" t="s">
        <v>957</v>
      </c>
      <c r="H249" s="15" t="s">
        <v>930</v>
      </c>
      <c r="I249" s="1">
        <v>2015</v>
      </c>
      <c r="J249" s="15" t="s">
        <v>964</v>
      </c>
      <c r="K249" s="1"/>
      <c r="L249" s="15" t="s">
        <v>865</v>
      </c>
      <c r="M249" s="15" t="s">
        <v>73</v>
      </c>
      <c r="N249" s="15" t="s">
        <v>23</v>
      </c>
      <c r="O249" s="31">
        <v>2</v>
      </c>
      <c r="P249" s="15">
        <v>31.1</v>
      </c>
      <c r="Q249" s="15">
        <v>119.13</v>
      </c>
      <c r="U249" s="15" t="s">
        <v>807</v>
      </c>
      <c r="V249" s="31">
        <v>2</v>
      </c>
      <c r="Y249" s="1"/>
      <c r="Z249" s="15">
        <v>3.92</v>
      </c>
      <c r="AA249" s="15" t="s">
        <v>573</v>
      </c>
      <c r="AB249" s="15">
        <f t="shared" si="225"/>
        <v>3.92</v>
      </c>
      <c r="AC249" s="1">
        <v>1</v>
      </c>
      <c r="AD249" s="15">
        <v>16.100000000000001</v>
      </c>
      <c r="AF249" s="15">
        <v>9.4</v>
      </c>
      <c r="AJ249" s="15">
        <v>41</v>
      </c>
      <c r="AK249" s="15">
        <v>26</v>
      </c>
      <c r="AL249" s="15">
        <v>33</v>
      </c>
      <c r="AM249" s="1">
        <v>2</v>
      </c>
      <c r="AQ249" s="1"/>
      <c r="AR249" s="1">
        <v>3</v>
      </c>
      <c r="DV249" s="15" t="s">
        <v>968</v>
      </c>
      <c r="DW249" s="1" t="s">
        <v>966</v>
      </c>
      <c r="DX249" s="15">
        <v>4.4000000000000004</v>
      </c>
      <c r="DY249" s="15">
        <f t="shared" si="233"/>
        <v>9900</v>
      </c>
      <c r="DZ249" s="15" t="s">
        <v>766</v>
      </c>
      <c r="ES249" s="15">
        <f t="shared" si="234"/>
        <v>9900</v>
      </c>
      <c r="ET249" s="15">
        <f t="shared" si="235"/>
        <v>4.4000000000000004</v>
      </c>
      <c r="EU249" s="15">
        <f t="shared" si="236"/>
        <v>5445</v>
      </c>
      <c r="EW249" s="46">
        <f>AX249+BT249+CF249+DE249+DY249</f>
        <v>9900</v>
      </c>
      <c r="EX249" s="46">
        <f>BA249+BZ249+CZ249+DT249+ET249</f>
        <v>4.4000000000000004</v>
      </c>
      <c r="EY249" s="46">
        <f>BB249+CA249+DA249+DU249+EU249</f>
        <v>5445</v>
      </c>
      <c r="FK249" s="16">
        <f t="shared" si="226"/>
        <v>3.97</v>
      </c>
      <c r="FL249" s="16">
        <f t="shared" si="227"/>
        <v>4.7</v>
      </c>
      <c r="FM249" s="15">
        <v>3.97</v>
      </c>
      <c r="FN249" s="15">
        <f t="shared" si="240"/>
        <v>0.19850000000000001</v>
      </c>
      <c r="FO249" s="15">
        <f>FN249*SQRT(AR249)</f>
        <v>0.34381208530242213</v>
      </c>
      <c r="FP249" s="15">
        <v>4.7</v>
      </c>
      <c r="FQ249" s="15">
        <f t="shared" si="241"/>
        <v>0.25850000000000001</v>
      </c>
      <c r="FR249" s="15">
        <f>FQ249*SQRT(AR249)</f>
        <v>0.44773513375655477</v>
      </c>
      <c r="FS249" s="15">
        <f t="shared" si="191"/>
        <v>1.1838790931989924</v>
      </c>
      <c r="FT249" s="15">
        <f t="shared" si="192"/>
        <v>0.73</v>
      </c>
      <c r="FU249" s="15">
        <f t="shared" si="193"/>
        <v>0.16879641401691381</v>
      </c>
      <c r="FV249" s="15">
        <f>((FR249*FR249)/(AR249*FP249*FP249)+(FO249*FO249)/(AR249*FM249*FM249))</f>
        <v>5.5249999999999987E-3</v>
      </c>
      <c r="HY249" s="15">
        <f t="shared" si="242"/>
        <v>9900</v>
      </c>
      <c r="HZ249" s="15">
        <f t="shared" si="242"/>
        <v>4.4000000000000004</v>
      </c>
      <c r="IA249" s="15">
        <f t="shared" si="242"/>
        <v>5445</v>
      </c>
    </row>
    <row r="250" spans="1:235" s="15" customFormat="1" x14ac:dyDescent="0.25">
      <c r="A250" s="31">
        <v>248</v>
      </c>
      <c r="B250" s="1">
        <v>42</v>
      </c>
      <c r="C250" s="1">
        <v>45</v>
      </c>
      <c r="D250" s="15" t="s">
        <v>209</v>
      </c>
      <c r="E250" s="1">
        <v>1</v>
      </c>
      <c r="F250" s="15" t="s">
        <v>761</v>
      </c>
      <c r="G250" s="15" t="s">
        <v>969</v>
      </c>
      <c r="H250" s="15" t="s">
        <v>970</v>
      </c>
      <c r="I250" s="1">
        <v>2008</v>
      </c>
      <c r="J250" s="15" t="s">
        <v>971</v>
      </c>
      <c r="K250" s="1">
        <v>2007</v>
      </c>
      <c r="L250" s="15" t="s">
        <v>972</v>
      </c>
      <c r="M250" s="15" t="s">
        <v>73</v>
      </c>
      <c r="N250" s="15" t="s">
        <v>23</v>
      </c>
      <c r="O250" s="31">
        <v>2</v>
      </c>
      <c r="P250" s="15">
        <v>26.5</v>
      </c>
      <c r="Q250" s="15">
        <v>106.66</v>
      </c>
      <c r="U250" s="15" t="s">
        <v>807</v>
      </c>
      <c r="V250" s="31">
        <v>2</v>
      </c>
      <c r="W250" s="16"/>
      <c r="X250" s="15" t="s">
        <v>974</v>
      </c>
      <c r="Y250" s="1">
        <v>12</v>
      </c>
      <c r="Z250" s="15">
        <v>4.3</v>
      </c>
      <c r="AA250" s="15" t="s">
        <v>573</v>
      </c>
      <c r="AB250" s="15">
        <f t="shared" si="225"/>
        <v>4.3</v>
      </c>
      <c r="AC250" s="1">
        <v>1</v>
      </c>
      <c r="AD250" s="15">
        <v>32</v>
      </c>
      <c r="AM250" s="1"/>
      <c r="AQ250" s="1"/>
      <c r="AR250" s="1">
        <v>3</v>
      </c>
      <c r="AT250" s="15" t="s">
        <v>664</v>
      </c>
      <c r="AW250" s="15">
        <v>0.75</v>
      </c>
      <c r="AX250" s="15">
        <f>AW250*1.35*2250</f>
        <v>2278.1250000000005</v>
      </c>
      <c r="AY250" s="15" t="s">
        <v>766</v>
      </c>
      <c r="AZ250" s="15">
        <f>AX250</f>
        <v>2278.1250000000005</v>
      </c>
      <c r="BA250" s="15">
        <f>AZ250/2.93/1000</f>
        <v>0.77751706484641647</v>
      </c>
      <c r="BB250" s="15">
        <f>AZ250*0.6</f>
        <v>1366.8750000000002</v>
      </c>
      <c r="BP250" s="16"/>
      <c r="BQ250" s="16"/>
      <c r="BR250" s="16"/>
      <c r="BU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>
        <f t="shared" si="226"/>
        <v>4.32</v>
      </c>
      <c r="FL250" s="16">
        <f t="shared" si="227"/>
        <v>4.43</v>
      </c>
      <c r="FM250" s="15">
        <v>4.32</v>
      </c>
      <c r="FN250" s="15">
        <f t="shared" si="240"/>
        <v>0.21600000000000003</v>
      </c>
      <c r="FO250" s="15">
        <f>FN250*SQRT(AR250)</f>
        <v>0.37412297443487752</v>
      </c>
      <c r="FP250" s="15">
        <v>4.43</v>
      </c>
      <c r="FQ250" s="15">
        <f t="shared" si="241"/>
        <v>0.24364999999999998</v>
      </c>
      <c r="FR250" s="15">
        <f>FQ250*SQRT(AR250)</f>
        <v>0.42201417926415691</v>
      </c>
      <c r="FS250" s="15">
        <f t="shared" si="191"/>
        <v>1.0254629629629628</v>
      </c>
      <c r="FT250" s="15">
        <f t="shared" si="192"/>
        <v>0.10999999999999943</v>
      </c>
      <c r="FU250" s="15">
        <f t="shared" si="193"/>
        <v>2.51441818010254E-2</v>
      </c>
      <c r="FV250" s="15">
        <f>((FR250*FR250)/(AR250*FP250*FP250)+(FO250*FO250)/(AR250*FM250*FM250))</f>
        <v>5.5249999999999995E-3</v>
      </c>
      <c r="HE250" s="15">
        <v>6.4</v>
      </c>
      <c r="HF250" s="15">
        <v>0.15</v>
      </c>
      <c r="HG250" s="15">
        <f>HF250*SQRT(AR166)</f>
        <v>0.25980762113533157</v>
      </c>
      <c r="HH250" s="15">
        <v>14.3</v>
      </c>
      <c r="HI250" s="15">
        <v>0.31</v>
      </c>
      <c r="HJ250" s="15">
        <f>HI250*SQRT(AR250)</f>
        <v>0.53693575034635188</v>
      </c>
      <c r="HK250" s="15">
        <f t="shared" ref="HK250:HK258" si="243">HH250/HE250</f>
        <v>2.234375</v>
      </c>
      <c r="HL250" s="15">
        <f t="shared" ref="HL250:HL258" si="244">HH250-HE250</f>
        <v>7.9</v>
      </c>
      <c r="HM250" s="15">
        <f t="shared" ref="HM250:HM258" si="245">LN(HH250)-LN(HE250)</f>
        <v>0.80396154690023525</v>
      </c>
      <c r="HN250" s="15">
        <f>((HJ250*HJ250)/(AR166*HH250*HH250)+(HG250*HG250)/(AR166*HE250*HE250))</f>
        <v>1.0192660370387911E-3</v>
      </c>
      <c r="HP250" s="15" t="s">
        <v>809</v>
      </c>
      <c r="HV250" s="15">
        <f t="shared" ref="HV250:HV258" si="246">HX250/HW250/100</f>
        <v>17.001745982381141</v>
      </c>
      <c r="HW250" s="15">
        <f t="shared" ref="HW250:HW258" si="247">HM250</f>
        <v>0.80396154690023525</v>
      </c>
      <c r="HX250" s="15">
        <f>BB250</f>
        <v>1366.8750000000002</v>
      </c>
      <c r="HY250" s="15">
        <f>AZ250</f>
        <v>2278.1250000000005</v>
      </c>
      <c r="HZ250" s="15">
        <f>BA250</f>
        <v>0.77751706484641647</v>
      </c>
      <c r="IA250" s="15">
        <f>BB250</f>
        <v>1366.8750000000002</v>
      </c>
    </row>
    <row r="251" spans="1:235" s="15" customFormat="1" x14ac:dyDescent="0.25">
      <c r="A251" s="31">
        <v>249</v>
      </c>
      <c r="B251" s="1">
        <v>42</v>
      </c>
      <c r="C251" s="1">
        <v>45</v>
      </c>
      <c r="D251" s="15" t="s">
        <v>210</v>
      </c>
      <c r="E251" s="1">
        <v>1</v>
      </c>
      <c r="F251" s="15" t="s">
        <v>761</v>
      </c>
      <c r="G251" s="15" t="s">
        <v>969</v>
      </c>
      <c r="H251" s="15" t="s">
        <v>970</v>
      </c>
      <c r="I251" s="1">
        <v>2008</v>
      </c>
      <c r="J251" s="15" t="s">
        <v>971</v>
      </c>
      <c r="K251" s="1">
        <v>2007</v>
      </c>
      <c r="L251" s="15" t="s">
        <v>972</v>
      </c>
      <c r="M251" s="15" t="s">
        <v>73</v>
      </c>
      <c r="N251" s="15" t="s">
        <v>23</v>
      </c>
      <c r="O251" s="31">
        <v>2</v>
      </c>
      <c r="P251" s="15">
        <v>26.5</v>
      </c>
      <c r="Q251" s="15">
        <v>106.66</v>
      </c>
      <c r="U251" s="15" t="s">
        <v>807</v>
      </c>
      <c r="V251" s="31">
        <v>2</v>
      </c>
      <c r="W251" s="16"/>
      <c r="X251" s="15" t="s">
        <v>974</v>
      </c>
      <c r="Y251" s="1">
        <v>12</v>
      </c>
      <c r="Z251" s="15">
        <v>4.3</v>
      </c>
      <c r="AA251" s="15" t="s">
        <v>573</v>
      </c>
      <c r="AB251" s="15">
        <f t="shared" si="225"/>
        <v>4.3</v>
      </c>
      <c r="AC251" s="1">
        <v>1</v>
      </c>
      <c r="AD251" s="15">
        <v>32</v>
      </c>
      <c r="AM251" s="1"/>
      <c r="AQ251" s="1"/>
      <c r="AR251" s="1">
        <v>3</v>
      </c>
      <c r="AT251" s="15" t="s">
        <v>664</v>
      </c>
      <c r="AW251" s="15">
        <v>1.5</v>
      </c>
      <c r="AX251" s="15">
        <f>AW251*1.35*2250</f>
        <v>4556.2500000000009</v>
      </c>
      <c r="AY251" s="15" t="s">
        <v>766</v>
      </c>
      <c r="AZ251" s="15">
        <f>AX251</f>
        <v>4556.2500000000009</v>
      </c>
      <c r="BA251" s="15">
        <f>AZ251/2.93/1000</f>
        <v>1.5550341296928329</v>
      </c>
      <c r="BB251" s="15">
        <f>AZ251*0.6</f>
        <v>2733.7500000000005</v>
      </c>
      <c r="BP251" s="16"/>
      <c r="BQ251" s="16"/>
      <c r="BR251" s="16"/>
      <c r="BU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>
        <f t="shared" si="226"/>
        <v>4.32</v>
      </c>
      <c r="FL251" s="16">
        <f t="shared" si="227"/>
        <v>4.4800000000000004</v>
      </c>
      <c r="FM251" s="15">
        <v>4.32</v>
      </c>
      <c r="FN251" s="15">
        <f t="shared" si="240"/>
        <v>0.21600000000000003</v>
      </c>
      <c r="FO251" s="15">
        <f>FN251*SQRT(AR251)</f>
        <v>0.37412297443487752</v>
      </c>
      <c r="FP251" s="15">
        <v>4.4800000000000004</v>
      </c>
      <c r="FQ251" s="15">
        <f t="shared" si="241"/>
        <v>0.24640000000000004</v>
      </c>
      <c r="FR251" s="15">
        <f>FQ251*SQRT(AR251)</f>
        <v>0.4267773189849714</v>
      </c>
      <c r="FS251" s="15">
        <f t="shared" si="191"/>
        <v>1.037037037037037</v>
      </c>
      <c r="FT251" s="15">
        <f t="shared" si="192"/>
        <v>0.16000000000000014</v>
      </c>
      <c r="FU251" s="15">
        <f t="shared" si="193"/>
        <v>3.6367644170874902E-2</v>
      </c>
      <c r="FV251" s="15">
        <f>((FR251*FR251)/(AR251*FP251*FP251)+(FO251*FO251)/(AR251*FM251*FM251))</f>
        <v>5.5249999999999995E-3</v>
      </c>
      <c r="HE251" s="15">
        <v>6.4</v>
      </c>
      <c r="HF251" s="15">
        <v>0.15</v>
      </c>
      <c r="HG251" s="15">
        <f>HF251*SQRT(AR167)</f>
        <v>0.25980762113533157</v>
      </c>
      <c r="HH251" s="15">
        <v>19.100000000000001</v>
      </c>
      <c r="HI251" s="15">
        <v>0.31</v>
      </c>
      <c r="HJ251" s="15">
        <f>HI251*SQRT(AR251)</f>
        <v>0.53693575034635188</v>
      </c>
      <c r="HK251" s="15">
        <f t="shared" si="243"/>
        <v>2.984375</v>
      </c>
      <c r="HL251" s="15">
        <f t="shared" si="244"/>
        <v>12.700000000000001</v>
      </c>
      <c r="HM251" s="15">
        <f t="shared" si="245"/>
        <v>1.0933903446869582</v>
      </c>
      <c r="HN251" s="15">
        <f>((HJ251*HJ251)/(AR167*HH251*HH251)+(HG251*HG251)/(AR167*HE251*HE251))</f>
        <v>8.1274120271939473E-4</v>
      </c>
      <c r="HP251" s="15" t="s">
        <v>809</v>
      </c>
      <c r="HV251" s="15">
        <f t="shared" si="246"/>
        <v>25.002507231602486</v>
      </c>
      <c r="HW251" s="15">
        <f t="shared" si="247"/>
        <v>1.0933903446869582</v>
      </c>
      <c r="HX251" s="15">
        <f>BB251</f>
        <v>2733.7500000000005</v>
      </c>
      <c r="HY251" s="15">
        <f>AZ251</f>
        <v>4556.2500000000009</v>
      </c>
      <c r="HZ251" s="15">
        <f>BA251</f>
        <v>1.5550341296928329</v>
      </c>
      <c r="IA251" s="15">
        <f>BB251</f>
        <v>2733.7500000000005</v>
      </c>
    </row>
    <row r="252" spans="1:235" s="15" customFormat="1" x14ac:dyDescent="0.25">
      <c r="A252" s="31">
        <v>250</v>
      </c>
      <c r="B252" s="1">
        <v>42</v>
      </c>
      <c r="C252" s="1">
        <v>45</v>
      </c>
      <c r="D252" s="15" t="s">
        <v>211</v>
      </c>
      <c r="E252" s="1">
        <v>1</v>
      </c>
      <c r="F252" s="15" t="s">
        <v>761</v>
      </c>
      <c r="G252" s="15" t="s">
        <v>969</v>
      </c>
      <c r="H252" s="15" t="s">
        <v>970</v>
      </c>
      <c r="I252" s="1">
        <v>2008</v>
      </c>
      <c r="J252" s="15" t="s">
        <v>971</v>
      </c>
      <c r="K252" s="1">
        <v>2007</v>
      </c>
      <c r="L252" s="15" t="s">
        <v>972</v>
      </c>
      <c r="M252" s="15" t="s">
        <v>73</v>
      </c>
      <c r="N252" s="15" t="s">
        <v>23</v>
      </c>
      <c r="O252" s="31">
        <v>2</v>
      </c>
      <c r="P252" s="15">
        <v>26.5</v>
      </c>
      <c r="Q252" s="15">
        <v>106.66</v>
      </c>
      <c r="U252" s="15" t="s">
        <v>807</v>
      </c>
      <c r="V252" s="31">
        <v>2</v>
      </c>
      <c r="W252" s="16"/>
      <c r="X252" s="15" t="s">
        <v>974</v>
      </c>
      <c r="Y252" s="1">
        <v>12</v>
      </c>
      <c r="Z252" s="15">
        <v>4.3</v>
      </c>
      <c r="AA252" s="15" t="s">
        <v>573</v>
      </c>
      <c r="AB252" s="15">
        <f t="shared" si="225"/>
        <v>4.3</v>
      </c>
      <c r="AC252" s="1">
        <v>1</v>
      </c>
      <c r="AD252" s="15">
        <v>32</v>
      </c>
      <c r="AM252" s="1"/>
      <c r="AQ252" s="1"/>
      <c r="AR252" s="1">
        <v>3</v>
      </c>
      <c r="AT252" s="15" t="s">
        <v>664</v>
      </c>
      <c r="AW252" s="15">
        <v>2.25</v>
      </c>
      <c r="AX252" s="15">
        <f>AW252*1.35*2250</f>
        <v>6834.375</v>
      </c>
      <c r="AY252" s="15" t="s">
        <v>766</v>
      </c>
      <c r="AZ252" s="15">
        <f>AX252</f>
        <v>6834.375</v>
      </c>
      <c r="BA252" s="15">
        <f>AZ252/2.93/1000</f>
        <v>2.3325511945392492</v>
      </c>
      <c r="BB252" s="15">
        <f>AZ252*0.6</f>
        <v>4100.625</v>
      </c>
      <c r="BP252" s="16"/>
      <c r="BQ252" s="16"/>
      <c r="BR252" s="16"/>
      <c r="BU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>
        <f t="shared" si="226"/>
        <v>4.32</v>
      </c>
      <c r="FL252" s="16">
        <f t="shared" si="227"/>
        <v>4.5199999999999996</v>
      </c>
      <c r="FM252" s="15">
        <v>4.32</v>
      </c>
      <c r="FN252" s="15">
        <f t="shared" si="240"/>
        <v>0.21600000000000003</v>
      </c>
      <c r="FO252" s="15">
        <f>FN252*SQRT(AR252)</f>
        <v>0.37412297443487752</v>
      </c>
      <c r="FP252" s="15">
        <v>4.5199999999999996</v>
      </c>
      <c r="FQ252" s="15">
        <f t="shared" si="241"/>
        <v>0.24859999999999999</v>
      </c>
      <c r="FR252" s="15">
        <f>FQ252*SQRT(AR252)</f>
        <v>0.43058783076162283</v>
      </c>
      <c r="FS252" s="15">
        <f t="shared" ref="FS252:FS281" si="248">FP252/FM252</f>
        <v>1.0462962962962961</v>
      </c>
      <c r="FT252" s="15">
        <f t="shared" ref="FT252:FT281" si="249">FP252-FM252</f>
        <v>0.19999999999999929</v>
      </c>
      <c r="FU252" s="15">
        <f t="shared" si="193"/>
        <v>4.5256591588120898E-2</v>
      </c>
      <c r="FV252" s="15">
        <f>((FR252*FR252)/(AR252*FP252*FP252)+(FO252*FO252)/(AR252*FM252*FM252))</f>
        <v>5.5249999999999987E-3</v>
      </c>
      <c r="HE252" s="15">
        <v>6.4</v>
      </c>
      <c r="HF252" s="15">
        <v>0.15</v>
      </c>
      <c r="HG252" s="15">
        <f>HF252*SQRT(AR168)</f>
        <v>0.25980762113533157</v>
      </c>
      <c r="HH252" s="15">
        <v>20.5</v>
      </c>
      <c r="HI252" s="15">
        <v>0.26</v>
      </c>
      <c r="HJ252" s="15">
        <f>HI252*SQRT(AR252)</f>
        <v>0.4503332099679081</v>
      </c>
      <c r="HK252" s="15">
        <f t="shared" si="243"/>
        <v>3.203125</v>
      </c>
      <c r="HL252" s="15">
        <f t="shared" si="244"/>
        <v>14.1</v>
      </c>
      <c r="HM252" s="15">
        <f t="shared" si="245"/>
        <v>1.1641268957787363</v>
      </c>
      <c r="HN252" s="15">
        <f>((HJ252*HJ252)/(AR168*HH252*HH252)+(HG252*HG252)/(AR168*HE252*HE252))</f>
        <v>7.1017303920657324E-4</v>
      </c>
      <c r="HP252" s="15" t="s">
        <v>809</v>
      </c>
      <c r="HV252" s="15">
        <f t="shared" si="246"/>
        <v>35.224897001086035</v>
      </c>
      <c r="HW252" s="15">
        <f t="shared" si="247"/>
        <v>1.1641268957787363</v>
      </c>
      <c r="HX252" s="15">
        <f>BB252</f>
        <v>4100.625</v>
      </c>
      <c r="HY252" s="15">
        <f>AZ252</f>
        <v>6834.375</v>
      </c>
      <c r="HZ252" s="15">
        <f>BA252</f>
        <v>2.3325511945392492</v>
      </c>
      <c r="IA252" s="15">
        <f>BB252</f>
        <v>4100.625</v>
      </c>
    </row>
    <row r="253" spans="1:235" s="15" customFormat="1" x14ac:dyDescent="0.25">
      <c r="A253" s="31">
        <v>251</v>
      </c>
      <c r="B253" s="1">
        <v>42</v>
      </c>
      <c r="C253" s="1">
        <v>45</v>
      </c>
      <c r="D253" s="15" t="s">
        <v>212</v>
      </c>
      <c r="E253" s="1">
        <v>3</v>
      </c>
      <c r="F253" s="15" t="s">
        <v>949</v>
      </c>
      <c r="G253" s="15" t="s">
        <v>969</v>
      </c>
      <c r="H253" s="15" t="s">
        <v>970</v>
      </c>
      <c r="I253" s="1">
        <v>2008</v>
      </c>
      <c r="J253" s="15" t="s">
        <v>971</v>
      </c>
      <c r="K253" s="1">
        <v>2007</v>
      </c>
      <c r="L253" s="15" t="s">
        <v>972</v>
      </c>
      <c r="M253" s="15" t="s">
        <v>73</v>
      </c>
      <c r="N253" s="15" t="s">
        <v>23</v>
      </c>
      <c r="O253" s="31">
        <v>2</v>
      </c>
      <c r="P253" s="15">
        <v>26.5</v>
      </c>
      <c r="Q253" s="15">
        <v>106.66</v>
      </c>
      <c r="U253" s="15" t="s">
        <v>807</v>
      </c>
      <c r="V253" s="31">
        <v>2</v>
      </c>
      <c r="W253" s="16"/>
      <c r="X253" s="15" t="s">
        <v>974</v>
      </c>
      <c r="Y253" s="1">
        <v>12</v>
      </c>
      <c r="Z253" s="15">
        <v>4.3</v>
      </c>
      <c r="AA253" s="15" t="s">
        <v>573</v>
      </c>
      <c r="AB253" s="15">
        <f t="shared" si="225"/>
        <v>4.3</v>
      </c>
      <c r="AC253" s="1">
        <v>1</v>
      </c>
      <c r="AD253" s="15">
        <v>32</v>
      </c>
      <c r="AM253" s="1"/>
      <c r="AQ253" s="1"/>
      <c r="AR253" s="1">
        <v>3</v>
      </c>
      <c r="BP253" s="16"/>
      <c r="BQ253" s="16"/>
      <c r="BR253" s="16"/>
      <c r="BU253" s="16"/>
      <c r="DW253" s="15" t="s">
        <v>954</v>
      </c>
      <c r="DX253" s="15">
        <v>0.75</v>
      </c>
      <c r="DY253" s="15">
        <f>DX253*2250</f>
        <v>1687.5</v>
      </c>
      <c r="DZ253" s="15" t="s">
        <v>766</v>
      </c>
      <c r="EI253" s="15">
        <v>77.5</v>
      </c>
      <c r="ES253" s="15">
        <f>DY253</f>
        <v>1687.5</v>
      </c>
      <c r="ET253" s="15">
        <f>ES253/2.25/1000</f>
        <v>0.75</v>
      </c>
      <c r="EU253" s="15">
        <f>ES253*0.55</f>
        <v>928.12500000000011</v>
      </c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>
        <f t="shared" si="226"/>
        <v>4.32</v>
      </c>
      <c r="FL253" s="16">
        <f t="shared" si="227"/>
        <v>4.3600000000000003</v>
      </c>
      <c r="FM253" s="15">
        <v>4.32</v>
      </c>
      <c r="FN253" s="15">
        <f t="shared" si="240"/>
        <v>0.21600000000000003</v>
      </c>
      <c r="FO253" s="15">
        <f>FN253*SQRT(AR253)</f>
        <v>0.37412297443487752</v>
      </c>
      <c r="FP253" s="15">
        <v>4.3600000000000003</v>
      </c>
      <c r="FQ253" s="15">
        <f t="shared" si="241"/>
        <v>0.23980000000000001</v>
      </c>
      <c r="FR253" s="15">
        <f>FQ253*SQRT(AR253)</f>
        <v>0.41534578365501679</v>
      </c>
      <c r="FS253" s="15">
        <f t="shared" si="248"/>
        <v>1.0092592592592593</v>
      </c>
      <c r="FT253" s="15">
        <f t="shared" si="249"/>
        <v>4.0000000000000036E-2</v>
      </c>
      <c r="FU253" s="15">
        <f t="shared" si="193"/>
        <v>9.2166551049241985E-3</v>
      </c>
      <c r="FV253" s="15">
        <f>((FR253*FR253)/(AR253*FP253*FP253)+(FO253*FO253)/(AR253*FM253*FM253))</f>
        <v>5.5249999999999995E-3</v>
      </c>
      <c r="HE253" s="15">
        <v>6.4</v>
      </c>
      <c r="HF253" s="15">
        <v>0.15</v>
      </c>
      <c r="HG253" s="15">
        <f>HF253*SQRT(AR169)</f>
        <v>0.25980762113533157</v>
      </c>
      <c r="HH253" s="15">
        <v>22.5</v>
      </c>
      <c r="HI253" s="15">
        <v>0.17</v>
      </c>
      <c r="HJ253" s="15">
        <f>HI253*SQRT(AR253)</f>
        <v>0.29444863728670917</v>
      </c>
      <c r="HK253" s="15">
        <f t="shared" si="243"/>
        <v>3.515625</v>
      </c>
      <c r="HL253" s="15">
        <f t="shared" si="244"/>
        <v>16.100000000000001</v>
      </c>
      <c r="HM253" s="15">
        <f t="shared" si="245"/>
        <v>1.257217318844748</v>
      </c>
      <c r="HN253" s="15">
        <f>((HJ253*HJ253)/(AR169*HH253*HH253)+(HG253*HG253)/(AR169*HE253*HE253))</f>
        <v>6.0640282600308627E-4</v>
      </c>
      <c r="HP253" s="15" t="s">
        <v>809</v>
      </c>
      <c r="HV253" s="15">
        <f t="shared" si="246"/>
        <v>7.3823752352763528</v>
      </c>
      <c r="HW253" s="15">
        <f t="shared" si="247"/>
        <v>1.257217318844748</v>
      </c>
      <c r="HX253" s="15">
        <f>EU253</f>
        <v>928.12500000000011</v>
      </c>
      <c r="HY253" s="15">
        <f t="shared" ref="HY253:IA255" si="250">ES253</f>
        <v>1687.5</v>
      </c>
      <c r="HZ253" s="15">
        <f t="shared" si="250"/>
        <v>0.75</v>
      </c>
      <c r="IA253" s="15">
        <f t="shared" si="250"/>
        <v>928.12500000000011</v>
      </c>
    </row>
    <row r="254" spans="1:235" s="15" customFormat="1" x14ac:dyDescent="0.25">
      <c r="A254" s="31">
        <v>252</v>
      </c>
      <c r="B254" s="1">
        <v>42</v>
      </c>
      <c r="C254" s="1">
        <v>45</v>
      </c>
      <c r="D254" s="15" t="s">
        <v>213</v>
      </c>
      <c r="E254" s="1">
        <v>3</v>
      </c>
      <c r="F254" s="15" t="s">
        <v>949</v>
      </c>
      <c r="G254" s="15" t="s">
        <v>969</v>
      </c>
      <c r="H254" s="15" t="s">
        <v>970</v>
      </c>
      <c r="I254" s="1">
        <v>2008</v>
      </c>
      <c r="J254" s="15" t="s">
        <v>971</v>
      </c>
      <c r="K254" s="1">
        <v>2007</v>
      </c>
      <c r="L254" s="15" t="s">
        <v>972</v>
      </c>
      <c r="M254" s="15" t="s">
        <v>73</v>
      </c>
      <c r="N254" s="15" t="s">
        <v>23</v>
      </c>
      <c r="O254" s="31">
        <v>2</v>
      </c>
      <c r="P254" s="15">
        <v>26.5</v>
      </c>
      <c r="Q254" s="15">
        <v>106.66</v>
      </c>
      <c r="U254" s="15" t="s">
        <v>807</v>
      </c>
      <c r="V254" s="31">
        <v>2</v>
      </c>
      <c r="W254" s="16"/>
      <c r="X254" s="15" t="s">
        <v>974</v>
      </c>
      <c r="Y254" s="1">
        <v>12</v>
      </c>
      <c r="Z254" s="15">
        <v>4.3</v>
      </c>
      <c r="AA254" s="15" t="s">
        <v>573</v>
      </c>
      <c r="AB254" s="15">
        <f t="shared" si="225"/>
        <v>4.3</v>
      </c>
      <c r="AC254" s="1">
        <v>1</v>
      </c>
      <c r="AD254" s="15">
        <v>32</v>
      </c>
      <c r="AM254" s="1"/>
      <c r="AQ254" s="1"/>
      <c r="AR254" s="1">
        <v>3</v>
      </c>
      <c r="BP254" s="16"/>
      <c r="BQ254" s="16"/>
      <c r="BR254" s="16"/>
      <c r="BU254" s="16"/>
      <c r="DW254" s="15" t="s">
        <v>965</v>
      </c>
      <c r="DX254" s="15">
        <v>1.5</v>
      </c>
      <c r="DY254" s="15">
        <f>DX254*2250</f>
        <v>3375</v>
      </c>
      <c r="DZ254" s="15" t="s">
        <v>766</v>
      </c>
      <c r="EI254" s="15">
        <v>77.5</v>
      </c>
      <c r="ES254" s="15">
        <f>DY254</f>
        <v>3375</v>
      </c>
      <c r="ET254" s="15">
        <f>ES254/2.25/1000</f>
        <v>1.5</v>
      </c>
      <c r="EU254" s="15">
        <f>ES254*0.55</f>
        <v>1856.2500000000002</v>
      </c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>
        <f t="shared" si="226"/>
        <v>4.32</v>
      </c>
      <c r="FL254" s="16">
        <f t="shared" si="227"/>
        <v>4.42</v>
      </c>
      <c r="FM254" s="15">
        <v>4.32</v>
      </c>
      <c r="FN254" s="15">
        <f t="shared" si="240"/>
        <v>0.21600000000000003</v>
      </c>
      <c r="FO254" s="15">
        <f>FN254*SQRT(AR254)</f>
        <v>0.37412297443487752</v>
      </c>
      <c r="FP254" s="15">
        <v>4.42</v>
      </c>
      <c r="FQ254" s="15">
        <f t="shared" si="241"/>
        <v>0.24310000000000001</v>
      </c>
      <c r="FR254" s="15">
        <f>FQ254*SQRT(AR254)</f>
        <v>0.42106155131999407</v>
      </c>
      <c r="FS254" s="15">
        <f t="shared" si="248"/>
        <v>1.0231481481481481</v>
      </c>
      <c r="FT254" s="15">
        <f t="shared" si="249"/>
        <v>9.9999999999999645E-2</v>
      </c>
      <c r="FU254" s="15">
        <f t="shared" si="193"/>
        <v>2.288429383358781E-2</v>
      </c>
      <c r="FV254" s="15">
        <f>((FR254*FR254)/(AR254*FP254*FP254)+(FO254*FO254)/(AR254*FM254*FM254))</f>
        <v>5.5249999999999987E-3</v>
      </c>
      <c r="HE254" s="15">
        <v>6.4</v>
      </c>
      <c r="HF254" s="15">
        <v>0.15</v>
      </c>
      <c r="HG254" s="15">
        <f>HF254*SQRT(AR170)</f>
        <v>0.25980762113533157</v>
      </c>
      <c r="HH254" s="15">
        <v>26.3</v>
      </c>
      <c r="HI254" s="15">
        <v>0.25</v>
      </c>
      <c r="HJ254" s="15">
        <f>HI254*SQRT(AR254)</f>
        <v>0.4330127018922193</v>
      </c>
      <c r="HK254" s="15">
        <f t="shared" si="243"/>
        <v>4.109375</v>
      </c>
      <c r="HL254" s="15">
        <f t="shared" si="244"/>
        <v>19.899999999999999</v>
      </c>
      <c r="HM254" s="15">
        <f t="shared" si="245"/>
        <v>1.4132709488180926</v>
      </c>
      <c r="HN254" s="15">
        <f>((HJ254*HJ254)/(AR170*HH254*HH254)+(HG254*HG254)/(AR170*HE254*HE254))</f>
        <v>6.3967480379803433E-4</v>
      </c>
      <c r="HP254" s="15" t="s">
        <v>809</v>
      </c>
      <c r="HV254" s="15">
        <f t="shared" si="246"/>
        <v>13.134424092933966</v>
      </c>
      <c r="HW254" s="15">
        <f t="shared" si="247"/>
        <v>1.4132709488180926</v>
      </c>
      <c r="HX254" s="15">
        <f>EU254</f>
        <v>1856.2500000000002</v>
      </c>
      <c r="HY254" s="15">
        <f t="shared" si="250"/>
        <v>3375</v>
      </c>
      <c r="HZ254" s="15">
        <f t="shared" si="250"/>
        <v>1.5</v>
      </c>
      <c r="IA254" s="15">
        <f t="shared" si="250"/>
        <v>1856.2500000000002</v>
      </c>
    </row>
    <row r="255" spans="1:235" s="15" customFormat="1" x14ac:dyDescent="0.25">
      <c r="A255" s="31">
        <v>253</v>
      </c>
      <c r="B255" s="1">
        <v>42</v>
      </c>
      <c r="C255" s="1">
        <v>45</v>
      </c>
      <c r="D255" s="15" t="s">
        <v>214</v>
      </c>
      <c r="E255" s="1">
        <v>3</v>
      </c>
      <c r="F255" s="15" t="s">
        <v>949</v>
      </c>
      <c r="G255" s="15" t="s">
        <v>969</v>
      </c>
      <c r="H255" s="15" t="s">
        <v>970</v>
      </c>
      <c r="I255" s="1">
        <v>2008</v>
      </c>
      <c r="J255" s="15" t="s">
        <v>971</v>
      </c>
      <c r="K255" s="1">
        <v>2007</v>
      </c>
      <c r="L255" s="15" t="s">
        <v>972</v>
      </c>
      <c r="M255" s="15" t="s">
        <v>73</v>
      </c>
      <c r="N255" s="15" t="s">
        <v>23</v>
      </c>
      <c r="O255" s="31">
        <v>2</v>
      </c>
      <c r="P255" s="15">
        <v>26.5</v>
      </c>
      <c r="Q255" s="15">
        <v>106.66</v>
      </c>
      <c r="U255" s="15" t="s">
        <v>807</v>
      </c>
      <c r="V255" s="31">
        <v>2</v>
      </c>
      <c r="W255" s="16"/>
      <c r="X255" s="15" t="s">
        <v>974</v>
      </c>
      <c r="Y255" s="1">
        <v>12</v>
      </c>
      <c r="Z255" s="15">
        <v>4.3</v>
      </c>
      <c r="AA255" s="15" t="s">
        <v>573</v>
      </c>
      <c r="AB255" s="15">
        <f t="shared" si="225"/>
        <v>4.3</v>
      </c>
      <c r="AC255" s="1">
        <v>1</v>
      </c>
      <c r="AD255" s="15">
        <v>32</v>
      </c>
      <c r="AM255" s="1"/>
      <c r="AQ255" s="1"/>
      <c r="AR255" s="1">
        <v>3</v>
      </c>
      <c r="BP255" s="16"/>
      <c r="BQ255" s="16"/>
      <c r="BR255" s="16"/>
      <c r="BU255" s="16"/>
      <c r="DW255" s="15" t="s">
        <v>954</v>
      </c>
      <c r="DX255" s="15">
        <v>2.25</v>
      </c>
      <c r="DY255" s="15">
        <f>DX255*2250</f>
        <v>5062.5</v>
      </c>
      <c r="DZ255" s="15" t="s">
        <v>766</v>
      </c>
      <c r="EI255" s="15">
        <v>77.5</v>
      </c>
      <c r="ES255" s="15">
        <f>DY255</f>
        <v>5062.5</v>
      </c>
      <c r="ET255" s="15">
        <f>ES255/2.25/1000</f>
        <v>2.25</v>
      </c>
      <c r="EU255" s="15">
        <f>ES255*0.55</f>
        <v>2784.375</v>
      </c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>
        <f t="shared" si="226"/>
        <v>4.32</v>
      </c>
      <c r="FL255" s="16">
        <f t="shared" si="227"/>
        <v>4.4800000000000004</v>
      </c>
      <c r="FM255" s="15">
        <v>4.32</v>
      </c>
      <c r="FN255" s="15">
        <f t="shared" si="240"/>
        <v>0.21600000000000003</v>
      </c>
      <c r="FO255" s="15">
        <f>FN255*SQRT(AR255)</f>
        <v>0.37412297443487752</v>
      </c>
      <c r="FP255" s="15">
        <v>4.4800000000000004</v>
      </c>
      <c r="FQ255" s="15">
        <f t="shared" si="241"/>
        <v>0.24640000000000004</v>
      </c>
      <c r="FR255" s="15">
        <f>FQ255*SQRT(AR255)</f>
        <v>0.4267773189849714</v>
      </c>
      <c r="FS255" s="15">
        <f t="shared" si="248"/>
        <v>1.037037037037037</v>
      </c>
      <c r="FT255" s="15">
        <f t="shared" si="249"/>
        <v>0.16000000000000014</v>
      </c>
      <c r="FU255" s="15">
        <f t="shared" si="193"/>
        <v>3.6367644170874902E-2</v>
      </c>
      <c r="FV255" s="15">
        <f>((FR255*FR255)/(AR255*FP255*FP255)+(FO255*FO255)/(AR255*FM255*FM255))</f>
        <v>5.5249999999999995E-3</v>
      </c>
      <c r="HE255" s="15">
        <v>6.4</v>
      </c>
      <c r="HF255" s="15">
        <v>0.15</v>
      </c>
      <c r="HG255" s="15">
        <f>HF255*SQRT(AR171)</f>
        <v>0.25980762113533157</v>
      </c>
      <c r="HH255" s="15">
        <v>27.5</v>
      </c>
      <c r="HI255" s="15">
        <v>0.26</v>
      </c>
      <c r="HJ255" s="15">
        <f>HI255*SQRT(AR255)</f>
        <v>0.4503332099679081</v>
      </c>
      <c r="HK255" s="15">
        <f t="shared" si="243"/>
        <v>4.296875</v>
      </c>
      <c r="HL255" s="15">
        <f t="shared" si="244"/>
        <v>21.1</v>
      </c>
      <c r="HM255" s="15">
        <f t="shared" si="245"/>
        <v>1.4578880143068995</v>
      </c>
      <c r="HN255" s="15">
        <f>((HJ255*HJ255)/(AR171*HH255*HH255)+(HG255*HG255)/(AR171*HE255*HE255))</f>
        <v>6.3870483600206589E-4</v>
      </c>
      <c r="HP255" s="15" t="s">
        <v>809</v>
      </c>
      <c r="HV255" s="15">
        <f t="shared" si="246"/>
        <v>19.098689149479913</v>
      </c>
      <c r="HW255" s="15">
        <f t="shared" si="247"/>
        <v>1.4578880143068995</v>
      </c>
      <c r="HX255" s="15">
        <f>EU255</f>
        <v>2784.375</v>
      </c>
      <c r="HY255" s="15">
        <f t="shared" si="250"/>
        <v>5062.5</v>
      </c>
      <c r="HZ255" s="15">
        <f t="shared" si="250"/>
        <v>2.25</v>
      </c>
      <c r="IA255" s="15">
        <f t="shared" si="250"/>
        <v>2784.375</v>
      </c>
    </row>
    <row r="256" spans="1:235" s="15" customFormat="1" ht="14.4" x14ac:dyDescent="0.25">
      <c r="A256" s="31">
        <v>254</v>
      </c>
      <c r="B256" s="1">
        <v>43</v>
      </c>
      <c r="C256" s="1">
        <v>46</v>
      </c>
      <c r="D256" s="15" t="s">
        <v>215</v>
      </c>
      <c r="E256" s="1">
        <v>4</v>
      </c>
      <c r="F256" s="15" t="s">
        <v>879</v>
      </c>
      <c r="G256" s="15" t="s">
        <v>977</v>
      </c>
      <c r="H256" s="15" t="s">
        <v>800</v>
      </c>
      <c r="I256" s="1">
        <v>2014</v>
      </c>
      <c r="J256" s="1" t="s">
        <v>801</v>
      </c>
      <c r="K256" s="1" t="s">
        <v>978</v>
      </c>
      <c r="L256" s="15" t="s">
        <v>820</v>
      </c>
      <c r="M256" s="15" t="s">
        <v>480</v>
      </c>
      <c r="N256" s="15" t="s">
        <v>23</v>
      </c>
      <c r="O256" s="31">
        <v>2</v>
      </c>
      <c r="P256" s="15">
        <v>28.25</v>
      </c>
      <c r="Q256" s="15">
        <v>116.92</v>
      </c>
      <c r="R256" s="15" t="s">
        <v>980</v>
      </c>
      <c r="S256" s="15">
        <v>1795</v>
      </c>
      <c r="T256" s="15">
        <v>17.600000000000001</v>
      </c>
      <c r="U256" s="15" t="s">
        <v>549</v>
      </c>
      <c r="V256" s="31">
        <v>1</v>
      </c>
      <c r="W256" s="16" t="s">
        <v>1171</v>
      </c>
      <c r="X256" s="15" t="s">
        <v>731</v>
      </c>
      <c r="Y256" s="1">
        <v>12</v>
      </c>
      <c r="Z256" s="15">
        <v>4.9000000000000004</v>
      </c>
      <c r="AA256" s="15" t="s">
        <v>573</v>
      </c>
      <c r="AB256" s="15">
        <f t="shared" si="225"/>
        <v>4.9000000000000004</v>
      </c>
      <c r="AC256" s="1">
        <v>2</v>
      </c>
      <c r="AD256" s="15">
        <v>6</v>
      </c>
      <c r="AM256" s="1"/>
      <c r="AQ256" s="1"/>
      <c r="AR256" s="1">
        <v>3</v>
      </c>
      <c r="BF256" s="15">
        <v>7.72</v>
      </c>
      <c r="BG256" s="15" t="s">
        <v>981</v>
      </c>
      <c r="BP256" s="16">
        <v>32.9</v>
      </c>
      <c r="BQ256" s="16">
        <v>14</v>
      </c>
      <c r="BR256" s="16">
        <v>20.2</v>
      </c>
      <c r="BS256" s="15">
        <v>4559</v>
      </c>
      <c r="BT256" s="15">
        <f>BS256</f>
        <v>4559</v>
      </c>
      <c r="BU256" s="15" t="s">
        <v>766</v>
      </c>
      <c r="BY256" s="15">
        <f>BT256</f>
        <v>4559</v>
      </c>
      <c r="BZ256" s="15">
        <f>BY256/1.1/1000</f>
        <v>4.1445454545454536</v>
      </c>
      <c r="CA256" s="15">
        <f>BY256*2</f>
        <v>9118</v>
      </c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>
        <f t="shared" si="226"/>
        <v>5.01</v>
      </c>
      <c r="FL256" s="16">
        <f t="shared" si="227"/>
        <v>5.1100000000000003</v>
      </c>
      <c r="FM256" s="15">
        <v>5.01</v>
      </c>
      <c r="FN256" s="15">
        <v>0.06</v>
      </c>
      <c r="FO256" s="15">
        <f>FN256*SQRT(AR256)</f>
        <v>0.10392304845413262</v>
      </c>
      <c r="FP256" s="15">
        <v>5.1100000000000003</v>
      </c>
      <c r="FQ256" s="15">
        <v>0.03</v>
      </c>
      <c r="FR256" s="15">
        <f>FQ256*SQRT(AR256)</f>
        <v>5.1961524227066312E-2</v>
      </c>
      <c r="FS256" s="15">
        <f t="shared" si="248"/>
        <v>1.0199600798403194</v>
      </c>
      <c r="FT256" s="15">
        <f t="shared" si="249"/>
        <v>0.10000000000000053</v>
      </c>
      <c r="FU256" s="15">
        <f t="shared" si="193"/>
        <v>1.9763489118839628E-2</v>
      </c>
      <c r="FV256" s="15">
        <f>((FR256*FR256)/(AR256*FP256*FP256)+(FO256*FO256)/(AR256*FM256*FM256))</f>
        <v>1.7789250317225858E-4</v>
      </c>
      <c r="HE256" s="15">
        <v>124.89</v>
      </c>
      <c r="HF256" s="15">
        <v>21</v>
      </c>
      <c r="HG256" s="15">
        <f>HF256*SQRT(AR172)</f>
        <v>36.373066958946424</v>
      </c>
      <c r="HH256" s="15">
        <v>3679</v>
      </c>
      <c r="HI256" s="15">
        <v>547</v>
      </c>
      <c r="HJ256" s="15">
        <f>HI256*SQRT(AR256)</f>
        <v>947.43179174017587</v>
      </c>
      <c r="HK256" s="15">
        <f t="shared" si="243"/>
        <v>29.457922972215549</v>
      </c>
      <c r="HL256" s="15">
        <f t="shared" si="244"/>
        <v>3554.11</v>
      </c>
      <c r="HM256" s="15">
        <f t="shared" si="245"/>
        <v>3.38296290522978</v>
      </c>
      <c r="HN256" s="15">
        <f>((HJ256*HJ256)/(AR172*HH256*HH256)+(HG256*HG256)/(AR172*HE256*HE256))</f>
        <v>5.0379989879166989E-2</v>
      </c>
      <c r="HP256" s="15" t="s">
        <v>604</v>
      </c>
      <c r="HV256" s="15">
        <f t="shared" si="246"/>
        <v>26.952704642147651</v>
      </c>
      <c r="HW256" s="15">
        <f t="shared" si="247"/>
        <v>3.38296290522978</v>
      </c>
      <c r="HX256" s="15">
        <f>CA256</f>
        <v>9118</v>
      </c>
      <c r="HY256" s="15">
        <f>BY256</f>
        <v>4559</v>
      </c>
      <c r="HZ256" s="15">
        <f>BZ256</f>
        <v>4.1445454545454536</v>
      </c>
      <c r="IA256" s="15">
        <f>CA256</f>
        <v>9118</v>
      </c>
    </row>
    <row r="257" spans="1:235" s="15" customFormat="1" ht="14.4" x14ac:dyDescent="0.25">
      <c r="A257" s="31">
        <v>255</v>
      </c>
      <c r="B257" s="1">
        <v>43</v>
      </c>
      <c r="C257" s="1">
        <v>46</v>
      </c>
      <c r="D257" s="15" t="s">
        <v>216</v>
      </c>
      <c r="E257" s="1">
        <v>4</v>
      </c>
      <c r="F257" s="15" t="s">
        <v>879</v>
      </c>
      <c r="G257" s="15" t="s">
        <v>977</v>
      </c>
      <c r="H257" s="15" t="s">
        <v>800</v>
      </c>
      <c r="I257" s="1">
        <v>2014</v>
      </c>
      <c r="J257" s="1" t="s">
        <v>801</v>
      </c>
      <c r="K257" s="1" t="s">
        <v>978</v>
      </c>
      <c r="L257" s="15" t="s">
        <v>820</v>
      </c>
      <c r="M257" s="15" t="s">
        <v>480</v>
      </c>
      <c r="N257" s="15" t="s">
        <v>23</v>
      </c>
      <c r="O257" s="31">
        <v>2</v>
      </c>
      <c r="P257" s="15">
        <v>28.25</v>
      </c>
      <c r="Q257" s="15">
        <v>116.92</v>
      </c>
      <c r="R257" s="15" t="s">
        <v>980</v>
      </c>
      <c r="S257" s="15">
        <v>1795</v>
      </c>
      <c r="T257" s="15">
        <v>17.600000000000001</v>
      </c>
      <c r="U257" s="15" t="s">
        <v>549</v>
      </c>
      <c r="V257" s="31">
        <v>1</v>
      </c>
      <c r="W257" s="16" t="s">
        <v>1171</v>
      </c>
      <c r="X257" s="15" t="s">
        <v>731</v>
      </c>
      <c r="Y257" s="1">
        <v>12</v>
      </c>
      <c r="Z257" s="15">
        <v>4.9000000000000004</v>
      </c>
      <c r="AA257" s="15" t="s">
        <v>573</v>
      </c>
      <c r="AB257" s="15">
        <f t="shared" si="225"/>
        <v>4.9000000000000004</v>
      </c>
      <c r="AC257" s="1">
        <v>2</v>
      </c>
      <c r="AD257" s="15">
        <v>6</v>
      </c>
      <c r="AM257" s="1"/>
      <c r="AQ257" s="1"/>
      <c r="AR257" s="1">
        <v>3</v>
      </c>
      <c r="BF257" s="15">
        <v>7.72</v>
      </c>
      <c r="BG257" s="15" t="s">
        <v>981</v>
      </c>
      <c r="BP257" s="16">
        <v>32.9</v>
      </c>
      <c r="BQ257" s="16">
        <v>14</v>
      </c>
      <c r="BR257" s="16">
        <v>20.2</v>
      </c>
      <c r="BS257" s="15">
        <v>18237</v>
      </c>
      <c r="BT257" s="15">
        <f>BS257</f>
        <v>18237</v>
      </c>
      <c r="BU257" s="15" t="s">
        <v>766</v>
      </c>
      <c r="BY257" s="15">
        <f>BT257</f>
        <v>18237</v>
      </c>
      <c r="BZ257" s="15">
        <f>BY257/1.1/1000</f>
        <v>16.579090909090908</v>
      </c>
      <c r="CA257" s="15">
        <f>BY257*2</f>
        <v>36474</v>
      </c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>
        <f t="shared" si="226"/>
        <v>5.01</v>
      </c>
      <c r="FL257" s="16">
        <f t="shared" si="227"/>
        <v>5.87</v>
      </c>
      <c r="FM257" s="15">
        <v>5.01</v>
      </c>
      <c r="FN257" s="15">
        <v>0.06</v>
      </c>
      <c r="FO257" s="15">
        <f>FN257*SQRT(AR257)</f>
        <v>0.10392304845413262</v>
      </c>
      <c r="FP257" s="15">
        <v>5.87</v>
      </c>
      <c r="FQ257" s="15">
        <v>0.03</v>
      </c>
      <c r="FR257" s="15">
        <f>FQ257*SQRT(AR257)</f>
        <v>5.1961524227066312E-2</v>
      </c>
      <c r="FS257" s="15">
        <f t="shared" si="248"/>
        <v>1.1716566866267466</v>
      </c>
      <c r="FT257" s="15">
        <f t="shared" si="249"/>
        <v>0.86000000000000032</v>
      </c>
      <c r="FU257" s="15">
        <f t="shared" si="193"/>
        <v>0.15841871874323177</v>
      </c>
      <c r="FV257" s="15">
        <f>((FR257*FR257)/(AR257*FP257*FP257)+(FO257*FO257)/(AR257*FM257*FM257))</f>
        <v>1.6954531048184244E-4</v>
      </c>
      <c r="HE257" s="15">
        <v>124.89</v>
      </c>
      <c r="HF257" s="15">
        <v>21</v>
      </c>
      <c r="HG257" s="15">
        <f>HF257*SQRT(AR173)</f>
        <v>36.373066958946424</v>
      </c>
      <c r="HH257" s="15">
        <v>6714</v>
      </c>
      <c r="HI257" s="15">
        <v>578</v>
      </c>
      <c r="HJ257" s="15">
        <f>HI257*SQRT(AR257)</f>
        <v>1001.125366774811</v>
      </c>
      <c r="HK257" s="15">
        <f t="shared" si="243"/>
        <v>53.759308191208262</v>
      </c>
      <c r="HL257" s="15">
        <f t="shared" si="244"/>
        <v>6589.11</v>
      </c>
      <c r="HM257" s="15">
        <f t="shared" si="245"/>
        <v>3.9845168276649865</v>
      </c>
      <c r="HN257" s="15">
        <f>((HJ257*HJ257)/(AR173*HH257*HH257)+(HG257*HG257)/(AR173*HE257*HE257))</f>
        <v>3.568501616148257E-2</v>
      </c>
      <c r="HP257" s="15" t="s">
        <v>604</v>
      </c>
      <c r="HV257" s="15">
        <f t="shared" si="246"/>
        <v>91.539329804699449</v>
      </c>
      <c r="HW257" s="15">
        <f t="shared" si="247"/>
        <v>3.9845168276649865</v>
      </c>
      <c r="HX257" s="15">
        <f>CA257</f>
        <v>36474</v>
      </c>
      <c r="HY257" s="15">
        <f>BY257</f>
        <v>18237</v>
      </c>
      <c r="HZ257" s="15">
        <f>BZ257</f>
        <v>16.579090909090908</v>
      </c>
      <c r="IA257" s="15">
        <f>CA257</f>
        <v>36474</v>
      </c>
    </row>
    <row r="258" spans="1:235" s="15" customFormat="1" ht="14.4" x14ac:dyDescent="0.25">
      <c r="A258" s="31">
        <v>256</v>
      </c>
      <c r="B258" s="1">
        <v>43</v>
      </c>
      <c r="C258" s="1">
        <v>46</v>
      </c>
      <c r="D258" s="15" t="s">
        <v>217</v>
      </c>
      <c r="E258" s="1">
        <v>6</v>
      </c>
      <c r="F258" s="15" t="s">
        <v>976</v>
      </c>
      <c r="G258" s="15" t="s">
        <v>977</v>
      </c>
      <c r="H258" s="15" t="s">
        <v>800</v>
      </c>
      <c r="I258" s="1">
        <v>2014</v>
      </c>
      <c r="J258" s="1" t="s">
        <v>801</v>
      </c>
      <c r="K258" s="1" t="s">
        <v>978</v>
      </c>
      <c r="L258" s="15" t="s">
        <v>820</v>
      </c>
      <c r="M258" s="15" t="s">
        <v>480</v>
      </c>
      <c r="N258" s="15" t="s">
        <v>23</v>
      </c>
      <c r="O258" s="31">
        <v>2</v>
      </c>
      <c r="P258" s="15">
        <v>28.25</v>
      </c>
      <c r="Q258" s="15">
        <v>116.92</v>
      </c>
      <c r="R258" s="15" t="s">
        <v>980</v>
      </c>
      <c r="S258" s="15">
        <v>1795</v>
      </c>
      <c r="T258" s="15">
        <v>17.600000000000001</v>
      </c>
      <c r="U258" s="15" t="s">
        <v>549</v>
      </c>
      <c r="V258" s="31">
        <v>1</v>
      </c>
      <c r="W258" s="16" t="s">
        <v>1171</v>
      </c>
      <c r="X258" s="15" t="s">
        <v>731</v>
      </c>
      <c r="Y258" s="1">
        <v>12</v>
      </c>
      <c r="Z258" s="15">
        <v>4.9000000000000004</v>
      </c>
      <c r="AA258" s="15" t="s">
        <v>573</v>
      </c>
      <c r="AB258" s="15">
        <f t="shared" si="225"/>
        <v>4.9000000000000004</v>
      </c>
      <c r="AC258" s="1">
        <v>2</v>
      </c>
      <c r="AD258" s="15">
        <v>6</v>
      </c>
      <c r="AM258" s="1"/>
      <c r="AQ258" s="1"/>
      <c r="AR258" s="1">
        <v>3</v>
      </c>
      <c r="AT258" s="15" t="s">
        <v>886</v>
      </c>
      <c r="AW258" s="15">
        <v>3000</v>
      </c>
      <c r="AX258" s="15">
        <f>AW258</f>
        <v>3000</v>
      </c>
      <c r="AY258" s="15" t="s">
        <v>766</v>
      </c>
      <c r="AZ258" s="15">
        <f>AX258</f>
        <v>3000</v>
      </c>
      <c r="BA258" s="15">
        <f>AZ258/2.93/1000</f>
        <v>1.0238907849829351</v>
      </c>
      <c r="BB258" s="15">
        <f>AZ258*0.6</f>
        <v>1800</v>
      </c>
      <c r="BF258" s="15">
        <v>7.72</v>
      </c>
      <c r="BG258" s="15" t="s">
        <v>981</v>
      </c>
      <c r="BP258" s="16">
        <v>32.9</v>
      </c>
      <c r="BQ258" s="16">
        <v>14</v>
      </c>
      <c r="BR258" s="16">
        <v>20.2</v>
      </c>
      <c r="BS258" s="15">
        <v>18237</v>
      </c>
      <c r="BT258" s="15">
        <f>BS258</f>
        <v>18237</v>
      </c>
      <c r="BU258" s="15" t="s">
        <v>766</v>
      </c>
      <c r="BY258" s="15">
        <f>BT258</f>
        <v>18237</v>
      </c>
      <c r="BZ258" s="15">
        <f>BY258/1.1/1000</f>
        <v>16.579090909090908</v>
      </c>
      <c r="CA258" s="15">
        <f>BY258*2</f>
        <v>36474</v>
      </c>
      <c r="EW258" s="46">
        <f>AX258+BT258+CF258+DE258+DY258</f>
        <v>21237</v>
      </c>
      <c r="EX258" s="46">
        <f>BA258+BZ258+CZ258+DT258+ET258</f>
        <v>17.602981694073843</v>
      </c>
      <c r="EY258" s="46">
        <f>BB258+CA258+DA258+DU258+EU258</f>
        <v>38274</v>
      </c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>
        <f t="shared" si="226"/>
        <v>5.01</v>
      </c>
      <c r="FL258" s="16">
        <f t="shared" si="227"/>
        <v>6.82</v>
      </c>
      <c r="FM258" s="15">
        <v>5.01</v>
      </c>
      <c r="FN258" s="15">
        <v>0.06</v>
      </c>
      <c r="FO258" s="15">
        <f>FN258*SQRT(AR258)</f>
        <v>0.10392304845413262</v>
      </c>
      <c r="FP258" s="15">
        <v>6.82</v>
      </c>
      <c r="FQ258" s="15">
        <v>0.04</v>
      </c>
      <c r="FR258" s="15">
        <f>FQ258*SQRT(AR258)</f>
        <v>6.9282032302755092E-2</v>
      </c>
      <c r="FS258" s="15">
        <f t="shared" si="248"/>
        <v>1.3612774451097807</v>
      </c>
      <c r="FT258" s="15">
        <f t="shared" si="249"/>
        <v>1.8100000000000005</v>
      </c>
      <c r="FU258" s="15">
        <f t="shared" si="193"/>
        <v>0.30842355675859734</v>
      </c>
      <c r="FV258" s="15">
        <f>((FR258*FR258)/(AR258*FP258*FP258)+(FO258*FO258)/(AR258*FM258*FM258))</f>
        <v>1.778251523729715E-4</v>
      </c>
      <c r="HE258" s="15">
        <v>124.89</v>
      </c>
      <c r="HF258" s="15">
        <v>21</v>
      </c>
      <c r="HG258" s="15">
        <f>HF258*SQRT(AR174)</f>
        <v>36.373066958946424</v>
      </c>
      <c r="HH258" s="15">
        <v>7261</v>
      </c>
      <c r="HI258" s="15">
        <v>629</v>
      </c>
      <c r="HJ258" s="15">
        <f>HI258*SQRT(AR258)</f>
        <v>1089.4599579608237</v>
      </c>
      <c r="HK258" s="15">
        <f t="shared" si="243"/>
        <v>58.139162462967413</v>
      </c>
      <c r="HL258" s="15">
        <f t="shared" si="244"/>
        <v>7136.11</v>
      </c>
      <c r="HM258" s="15">
        <f t="shared" si="245"/>
        <v>4.0628394895052526</v>
      </c>
      <c r="HN258" s="15">
        <f>((HJ258*HJ258)/(AR174*HH258*HH258)+(HG258*HG258)/(AR174*HE258*HE258))</f>
        <v>3.5778009299850352E-2</v>
      </c>
      <c r="HP258" s="15" t="s">
        <v>604</v>
      </c>
      <c r="HV258" s="15">
        <f t="shared" si="246"/>
        <v>94.205050676665465</v>
      </c>
      <c r="HW258" s="15">
        <f t="shared" si="247"/>
        <v>4.0628394895052526</v>
      </c>
      <c r="HX258" s="15">
        <f>EY258</f>
        <v>38274</v>
      </c>
      <c r="HY258" s="15">
        <f>EW258</f>
        <v>21237</v>
      </c>
      <c r="HZ258" s="15">
        <f>EX258</f>
        <v>17.602981694073843</v>
      </c>
      <c r="IA258" s="15">
        <f>EY258</f>
        <v>38274</v>
      </c>
    </row>
    <row r="259" spans="1:235" s="15" customFormat="1" x14ac:dyDescent="0.25">
      <c r="A259" s="31">
        <v>257</v>
      </c>
      <c r="B259" s="1">
        <v>44</v>
      </c>
      <c r="C259" s="1">
        <v>47</v>
      </c>
      <c r="D259" s="15" t="s">
        <v>218</v>
      </c>
      <c r="E259" s="1">
        <v>5</v>
      </c>
      <c r="F259" s="15" t="s">
        <v>983</v>
      </c>
      <c r="G259" s="15" t="s">
        <v>987</v>
      </c>
      <c r="H259" s="15" t="s">
        <v>992</v>
      </c>
      <c r="I259" s="1">
        <v>2018</v>
      </c>
      <c r="J259" s="15" t="s">
        <v>900</v>
      </c>
      <c r="K259" s="1">
        <v>2016</v>
      </c>
      <c r="L259" s="15" t="s">
        <v>982</v>
      </c>
      <c r="M259" s="15" t="s">
        <v>480</v>
      </c>
      <c r="N259" s="15" t="s">
        <v>23</v>
      </c>
      <c r="O259" s="31">
        <v>2</v>
      </c>
      <c r="P259" s="15">
        <v>30.02</v>
      </c>
      <c r="Q259" s="15">
        <v>114.36</v>
      </c>
      <c r="S259" s="15">
        <v>1577</v>
      </c>
      <c r="T259" s="15">
        <v>16</v>
      </c>
      <c r="U259" s="15" t="s">
        <v>807</v>
      </c>
      <c r="V259" s="31">
        <v>2</v>
      </c>
      <c r="W259" s="16" t="s">
        <v>1170</v>
      </c>
      <c r="Y259" s="1"/>
      <c r="Z259" s="15">
        <v>4.92</v>
      </c>
      <c r="AA259" s="15" t="s">
        <v>573</v>
      </c>
      <c r="AB259" s="15">
        <f t="shared" si="225"/>
        <v>4.92</v>
      </c>
      <c r="AC259" s="1">
        <v>2</v>
      </c>
      <c r="AD259" s="15">
        <f>19.8*1.74</f>
        <v>34.451999999999998</v>
      </c>
      <c r="AJ259" s="15">
        <v>37</v>
      </c>
      <c r="AK259" s="15">
        <v>52</v>
      </c>
      <c r="AL259" s="15">
        <v>11</v>
      </c>
      <c r="AM259" s="1">
        <v>2</v>
      </c>
      <c r="AN259" s="15">
        <v>1.2</v>
      </c>
      <c r="AQ259" s="1"/>
      <c r="AR259" s="1">
        <v>3</v>
      </c>
      <c r="DB259" s="15" t="s">
        <v>994</v>
      </c>
      <c r="DD259" s="15">
        <v>1</v>
      </c>
      <c r="DE259" s="15">
        <f>DD259*22500</f>
        <v>22500</v>
      </c>
      <c r="DF259" s="15" t="s">
        <v>766</v>
      </c>
      <c r="DJ259" s="15">
        <v>366</v>
      </c>
      <c r="DK259" s="15">
        <v>10.1</v>
      </c>
      <c r="DS259" s="15">
        <f>DE259</f>
        <v>22500</v>
      </c>
      <c r="DT259" s="15">
        <f>DS259/0.6/1000</f>
        <v>37.5</v>
      </c>
      <c r="DU259" s="15">
        <f>DS259*0.2</f>
        <v>4500</v>
      </c>
      <c r="FK259" s="16">
        <f t="shared" si="226"/>
        <v>5.01</v>
      </c>
      <c r="FL259" s="16">
        <f t="shared" si="227"/>
        <v>5.31</v>
      </c>
      <c r="FM259" s="15">
        <v>5.01</v>
      </c>
      <c r="FN259" s="15">
        <v>0.01</v>
      </c>
      <c r="FO259" s="15">
        <f>FN259*SQRT(AR259)</f>
        <v>1.7320508075688773E-2</v>
      </c>
      <c r="FP259" s="15">
        <v>5.31</v>
      </c>
      <c r="FQ259" s="15">
        <v>0.05</v>
      </c>
      <c r="FR259" s="15">
        <f>FQ259*SQRT(AR259)</f>
        <v>8.6602540378443865E-2</v>
      </c>
      <c r="FS259" s="15">
        <f t="shared" si="248"/>
        <v>1.0598802395209581</v>
      </c>
      <c r="FT259" s="15">
        <f t="shared" si="249"/>
        <v>0.29999999999999982</v>
      </c>
      <c r="FU259" s="15">
        <f t="shared" ref="FU259:FU281" si="251">LN(FP259)-LN(FM259)</f>
        <v>5.8155920157074048E-2</v>
      </c>
      <c r="FV259" s="15">
        <f>((FR259*FR259)/(AR259*FP259*FP259)+(FO259*FO259)/(AR259*FM259*FM259))</f>
        <v>9.2648792287326997E-5</v>
      </c>
      <c r="HY259" s="15">
        <f t="shared" ref="HY259:IA260" si="252">DS259</f>
        <v>22500</v>
      </c>
      <c r="HZ259" s="15">
        <f t="shared" si="252"/>
        <v>37.5</v>
      </c>
      <c r="IA259" s="15">
        <f t="shared" si="252"/>
        <v>4500</v>
      </c>
    </row>
    <row r="260" spans="1:235" s="15" customFormat="1" x14ac:dyDescent="0.25">
      <c r="A260" s="31">
        <v>258</v>
      </c>
      <c r="B260" s="1">
        <v>44</v>
      </c>
      <c r="C260" s="1">
        <v>47</v>
      </c>
      <c r="D260" s="15" t="s">
        <v>219</v>
      </c>
      <c r="E260" s="1">
        <v>5</v>
      </c>
      <c r="F260" s="15" t="s">
        <v>984</v>
      </c>
      <c r="G260" s="15" t="s">
        <v>988</v>
      </c>
      <c r="H260" s="15" t="s">
        <v>992</v>
      </c>
      <c r="I260" s="1">
        <v>2018</v>
      </c>
      <c r="J260" s="15" t="s">
        <v>900</v>
      </c>
      <c r="K260" s="1">
        <v>2016</v>
      </c>
      <c r="L260" s="15" t="s">
        <v>982</v>
      </c>
      <c r="M260" s="15" t="s">
        <v>480</v>
      </c>
      <c r="N260" s="15" t="s">
        <v>23</v>
      </c>
      <c r="O260" s="31">
        <v>2</v>
      </c>
      <c r="P260" s="15">
        <v>30.02</v>
      </c>
      <c r="Q260" s="15">
        <v>114.36</v>
      </c>
      <c r="S260" s="15">
        <v>1577</v>
      </c>
      <c r="T260" s="15">
        <v>16</v>
      </c>
      <c r="U260" s="15" t="s">
        <v>807</v>
      </c>
      <c r="V260" s="31">
        <v>2</v>
      </c>
      <c r="W260" s="16" t="s">
        <v>1170</v>
      </c>
      <c r="Y260" s="1"/>
      <c r="Z260" s="15">
        <v>4.92</v>
      </c>
      <c r="AA260" s="15" t="s">
        <v>573</v>
      </c>
      <c r="AB260" s="15">
        <f t="shared" si="225"/>
        <v>4.92</v>
      </c>
      <c r="AC260" s="1">
        <v>2</v>
      </c>
      <c r="AD260" s="15">
        <f>19.8*1.74</f>
        <v>34.451999999999998</v>
      </c>
      <c r="AJ260" s="15">
        <v>37</v>
      </c>
      <c r="AK260" s="15">
        <v>52</v>
      </c>
      <c r="AL260" s="15">
        <v>11</v>
      </c>
      <c r="AM260" s="1">
        <v>2</v>
      </c>
      <c r="AN260" s="15">
        <v>1.2</v>
      </c>
      <c r="AQ260" s="1"/>
      <c r="AR260" s="1">
        <v>3</v>
      </c>
      <c r="DB260" s="15" t="s">
        <v>995</v>
      </c>
      <c r="DD260" s="15">
        <v>1</v>
      </c>
      <c r="DE260" s="15">
        <f>DD260*22500</f>
        <v>22500</v>
      </c>
      <c r="DF260" s="15" t="s">
        <v>766</v>
      </c>
      <c r="DJ260" s="15">
        <v>401</v>
      </c>
      <c r="DK260" s="15">
        <v>22.8</v>
      </c>
      <c r="DS260" s="15">
        <f>DE260</f>
        <v>22500</v>
      </c>
      <c r="DT260" s="15">
        <f>DS260/0.6/1000</f>
        <v>37.5</v>
      </c>
      <c r="DU260" s="15">
        <f>DS260*0.2</f>
        <v>4500</v>
      </c>
      <c r="FK260" s="16">
        <f t="shared" si="226"/>
        <v>5.01</v>
      </c>
      <c r="FL260" s="16">
        <f t="shared" si="227"/>
        <v>5.41</v>
      </c>
      <c r="FM260" s="15">
        <v>5.01</v>
      </c>
      <c r="FN260" s="15">
        <v>0.01</v>
      </c>
      <c r="FO260" s="15">
        <f>FN260*SQRT(AR260)</f>
        <v>1.7320508075688773E-2</v>
      </c>
      <c r="FP260" s="15">
        <v>5.41</v>
      </c>
      <c r="FQ260" s="15">
        <v>0.06</v>
      </c>
      <c r="FR260" s="15">
        <f>FQ260*SQRT(AR260)</f>
        <v>0.10392304845413262</v>
      </c>
      <c r="FS260" s="15">
        <f t="shared" si="248"/>
        <v>1.0798403193612776</v>
      </c>
      <c r="FT260" s="15">
        <f t="shared" si="249"/>
        <v>0.40000000000000036</v>
      </c>
      <c r="FU260" s="15">
        <f t="shared" si="251"/>
        <v>7.681317776161678E-2</v>
      </c>
      <c r="FV260" s="15">
        <f>((FR260*FR260)/(AR260*FP260*FP260)+(FO260*FO260)/(AR260*FM260*FM260))</f>
        <v>1.2698485762765009E-4</v>
      </c>
      <c r="HY260" s="15">
        <f t="shared" si="252"/>
        <v>22500</v>
      </c>
      <c r="HZ260" s="15">
        <f t="shared" si="252"/>
        <v>37.5</v>
      </c>
      <c r="IA260" s="15">
        <f t="shared" si="252"/>
        <v>4500</v>
      </c>
    </row>
    <row r="261" spans="1:235" s="15" customFormat="1" x14ac:dyDescent="0.25">
      <c r="A261" s="31">
        <v>259</v>
      </c>
      <c r="B261" s="1">
        <v>44</v>
      </c>
      <c r="C261" s="1">
        <v>47</v>
      </c>
      <c r="D261" s="15" t="s">
        <v>220</v>
      </c>
      <c r="E261" s="1">
        <v>1</v>
      </c>
      <c r="F261" s="15" t="s">
        <v>761</v>
      </c>
      <c r="G261" s="15" t="s">
        <v>989</v>
      </c>
      <c r="H261" s="15" t="s">
        <v>992</v>
      </c>
      <c r="I261" s="1">
        <v>2018</v>
      </c>
      <c r="J261" s="15" t="s">
        <v>900</v>
      </c>
      <c r="K261" s="1">
        <v>2016</v>
      </c>
      <c r="L261" s="15" t="s">
        <v>982</v>
      </c>
      <c r="M261" s="15" t="s">
        <v>480</v>
      </c>
      <c r="N261" s="15" t="s">
        <v>23</v>
      </c>
      <c r="O261" s="31">
        <v>2</v>
      </c>
      <c r="P261" s="15">
        <v>30.02</v>
      </c>
      <c r="Q261" s="15">
        <v>114.36</v>
      </c>
      <c r="S261" s="15">
        <v>1577</v>
      </c>
      <c r="T261" s="15">
        <v>16</v>
      </c>
      <c r="U261" s="15" t="s">
        <v>807</v>
      </c>
      <c r="V261" s="31">
        <v>2</v>
      </c>
      <c r="W261" s="16" t="s">
        <v>1170</v>
      </c>
      <c r="Y261" s="1"/>
      <c r="Z261" s="15">
        <v>4.92</v>
      </c>
      <c r="AA261" s="15" t="s">
        <v>573</v>
      </c>
      <c r="AB261" s="15">
        <f t="shared" si="225"/>
        <v>4.92</v>
      </c>
      <c r="AC261" s="1">
        <v>2</v>
      </c>
      <c r="AD261" s="15">
        <f>19.8*1.74</f>
        <v>34.451999999999998</v>
      </c>
      <c r="AJ261" s="15">
        <v>37</v>
      </c>
      <c r="AK261" s="15">
        <v>52</v>
      </c>
      <c r="AL261" s="15">
        <v>11</v>
      </c>
      <c r="AM261" s="1">
        <v>2</v>
      </c>
      <c r="AN261" s="15">
        <v>1.2</v>
      </c>
      <c r="AQ261" s="1"/>
      <c r="AR261" s="1">
        <v>3</v>
      </c>
      <c r="AT261" s="15" t="s">
        <v>993</v>
      </c>
      <c r="AW261" s="15">
        <v>1</v>
      </c>
      <c r="AX261" s="15">
        <f>AW261*1000*4*1.09/1.8</f>
        <v>2422.2222222222222</v>
      </c>
      <c r="AY261" s="15" t="s">
        <v>766</v>
      </c>
      <c r="AZ261" s="15">
        <f>AX261</f>
        <v>2422.2222222222222</v>
      </c>
      <c r="BA261" s="15">
        <f>AZ261/2.93/1000</f>
        <v>0.8266970041714069</v>
      </c>
      <c r="BB261" s="15">
        <f>AZ261*0.6</f>
        <v>1453.3333333333333</v>
      </c>
      <c r="FK261" s="16">
        <f t="shared" si="226"/>
        <v>5.01</v>
      </c>
      <c r="FL261" s="16">
        <f t="shared" si="227"/>
        <v>6.13</v>
      </c>
      <c r="FM261" s="15">
        <v>5.01</v>
      </c>
      <c r="FN261" s="15">
        <v>0.01</v>
      </c>
      <c r="FO261" s="15">
        <f>FN261*SQRT(AR261)</f>
        <v>1.7320508075688773E-2</v>
      </c>
      <c r="FP261" s="15">
        <v>6.13</v>
      </c>
      <c r="FQ261" s="15">
        <v>0.05</v>
      </c>
      <c r="FR261" s="15">
        <f>FQ261*SQRT(AR261)</f>
        <v>8.6602540378443865E-2</v>
      </c>
      <c r="FS261" s="15">
        <f t="shared" si="248"/>
        <v>1.223552894211577</v>
      </c>
      <c r="FT261" s="15">
        <f t="shared" si="249"/>
        <v>1.1200000000000001</v>
      </c>
      <c r="FU261" s="15">
        <f t="shared" si="251"/>
        <v>0.2017588348513466</v>
      </c>
      <c r="FV261" s="15">
        <f>((FR261*FR261)/(AR261*FP261*FP261)+(FO261*FO261)/(AR261*FM261*FM261))</f>
        <v>7.0514283203067642E-5</v>
      </c>
      <c r="HY261" s="15">
        <f>AZ261</f>
        <v>2422.2222222222222</v>
      </c>
      <c r="HZ261" s="15">
        <f>BA261</f>
        <v>0.8266970041714069</v>
      </c>
      <c r="IA261" s="15">
        <f>BB261</f>
        <v>1453.3333333333333</v>
      </c>
    </row>
    <row r="262" spans="1:235" s="15" customFormat="1" x14ac:dyDescent="0.25">
      <c r="A262" s="31">
        <v>260</v>
      </c>
      <c r="B262" s="1">
        <v>44</v>
      </c>
      <c r="C262" s="1">
        <v>47</v>
      </c>
      <c r="D262" s="15" t="s">
        <v>221</v>
      </c>
      <c r="E262" s="1">
        <v>6</v>
      </c>
      <c r="F262" s="15" t="s">
        <v>986</v>
      </c>
      <c r="G262" s="15" t="s">
        <v>990</v>
      </c>
      <c r="H262" s="15" t="s">
        <v>992</v>
      </c>
      <c r="I262" s="1">
        <v>2018</v>
      </c>
      <c r="J262" s="15" t="s">
        <v>900</v>
      </c>
      <c r="K262" s="1">
        <v>2016</v>
      </c>
      <c r="L262" s="15" t="s">
        <v>982</v>
      </c>
      <c r="M262" s="15" t="s">
        <v>480</v>
      </c>
      <c r="N262" s="15" t="s">
        <v>23</v>
      </c>
      <c r="O262" s="31">
        <v>2</v>
      </c>
      <c r="P262" s="15">
        <v>30.02</v>
      </c>
      <c r="Q262" s="15">
        <v>114.36</v>
      </c>
      <c r="S262" s="15">
        <v>1577</v>
      </c>
      <c r="T262" s="15">
        <v>16</v>
      </c>
      <c r="U262" s="15" t="s">
        <v>807</v>
      </c>
      <c r="V262" s="31">
        <v>2</v>
      </c>
      <c r="W262" s="16" t="s">
        <v>1170</v>
      </c>
      <c r="Y262" s="1"/>
      <c r="Z262" s="15">
        <v>4.92</v>
      </c>
      <c r="AA262" s="15" t="s">
        <v>573</v>
      </c>
      <c r="AB262" s="15">
        <f t="shared" si="225"/>
        <v>4.92</v>
      </c>
      <c r="AC262" s="1">
        <v>2</v>
      </c>
      <c r="AD262" s="15">
        <f>19.8*1.74</f>
        <v>34.451999999999998</v>
      </c>
      <c r="AJ262" s="15">
        <v>37</v>
      </c>
      <c r="AK262" s="15">
        <v>52</v>
      </c>
      <c r="AL262" s="15">
        <v>11</v>
      </c>
      <c r="AM262" s="1">
        <v>2</v>
      </c>
      <c r="AN262" s="15">
        <v>1.2</v>
      </c>
      <c r="AQ262" s="1"/>
      <c r="AR262" s="1">
        <v>3</v>
      </c>
      <c r="AT262" s="15" t="s">
        <v>993</v>
      </c>
      <c r="AW262" s="15">
        <v>1</v>
      </c>
      <c r="AX262" s="15">
        <f>AW262*1000*4*1.09/1.8</f>
        <v>2422.2222222222222</v>
      </c>
      <c r="AY262" s="15" t="s">
        <v>766</v>
      </c>
      <c r="AZ262" s="15">
        <f>AX262</f>
        <v>2422.2222222222222</v>
      </c>
      <c r="BA262" s="15">
        <f>AZ262/2.93/1000</f>
        <v>0.8266970041714069</v>
      </c>
      <c r="BB262" s="15">
        <f>AZ262*0.6</f>
        <v>1453.3333333333333</v>
      </c>
      <c r="DB262" s="15" t="s">
        <v>994</v>
      </c>
      <c r="DD262" s="15">
        <v>1</v>
      </c>
      <c r="DE262" s="15">
        <f>DD262*22500</f>
        <v>22500</v>
      </c>
      <c r="DF262" s="15" t="s">
        <v>766</v>
      </c>
      <c r="DJ262" s="15">
        <v>366</v>
      </c>
      <c r="DK262" s="15">
        <v>10.1</v>
      </c>
      <c r="DS262" s="15">
        <f>DE262</f>
        <v>22500</v>
      </c>
      <c r="DT262" s="15">
        <f>DS262/0.6/1000</f>
        <v>37.5</v>
      </c>
      <c r="DU262" s="15">
        <f>DS262*0.2</f>
        <v>4500</v>
      </c>
      <c r="EW262" s="46">
        <f>AX262+BT262+CF262+DE262+DY262</f>
        <v>24922.222222222223</v>
      </c>
      <c r="EX262" s="46">
        <f>BA262+BZ262+CZ262+DT262+ET262</f>
        <v>38.326697004171407</v>
      </c>
      <c r="EY262" s="46">
        <f>BB262+CA262+DA262+DU262+EU262</f>
        <v>5953.333333333333</v>
      </c>
      <c r="FK262" s="16">
        <f t="shared" si="226"/>
        <v>5.01</v>
      </c>
      <c r="FL262" s="16">
        <f t="shared" si="227"/>
        <v>6.34</v>
      </c>
      <c r="FM262" s="15">
        <v>5.01</v>
      </c>
      <c r="FN262" s="15">
        <v>0.01</v>
      </c>
      <c r="FO262" s="15">
        <f>FN262*SQRT(AR262)</f>
        <v>1.7320508075688773E-2</v>
      </c>
      <c r="FP262" s="15">
        <v>6.34</v>
      </c>
      <c r="FQ262" s="15">
        <v>0.04</v>
      </c>
      <c r="FR262" s="15">
        <f>FQ262*SQRT(AR262)</f>
        <v>6.9282032302755092E-2</v>
      </c>
      <c r="FS262" s="15">
        <f t="shared" si="248"/>
        <v>1.2654690618762476</v>
      </c>
      <c r="FT262" s="15">
        <f t="shared" si="249"/>
        <v>1.33</v>
      </c>
      <c r="FU262" s="15">
        <f t="shared" si="251"/>
        <v>0.23544285335236115</v>
      </c>
      <c r="FV262" s="15">
        <f>((FR262*FR262)/(AR262*FP262*FP262)+(FO262*FO262)/(AR262*FM262*FM262))</f>
        <v>4.3789399701872725E-5</v>
      </c>
      <c r="HY262" s="15">
        <f t="shared" ref="HY262:IA263" si="253">EW262</f>
        <v>24922.222222222223</v>
      </c>
      <c r="HZ262" s="15">
        <f t="shared" si="253"/>
        <v>38.326697004171407</v>
      </c>
      <c r="IA262" s="15">
        <f t="shared" si="253"/>
        <v>5953.333333333333</v>
      </c>
    </row>
    <row r="263" spans="1:235" s="15" customFormat="1" x14ac:dyDescent="0.25">
      <c r="A263" s="31">
        <v>261</v>
      </c>
      <c r="B263" s="1">
        <v>44</v>
      </c>
      <c r="C263" s="1">
        <v>47</v>
      </c>
      <c r="D263" s="15" t="s">
        <v>222</v>
      </c>
      <c r="E263" s="1">
        <v>6</v>
      </c>
      <c r="F263" s="15" t="s">
        <v>985</v>
      </c>
      <c r="G263" s="15" t="s">
        <v>991</v>
      </c>
      <c r="H263" s="15" t="s">
        <v>992</v>
      </c>
      <c r="I263" s="1">
        <v>2018</v>
      </c>
      <c r="J263" s="15" t="s">
        <v>900</v>
      </c>
      <c r="K263" s="1">
        <v>2016</v>
      </c>
      <c r="L263" s="15" t="s">
        <v>982</v>
      </c>
      <c r="M263" s="15" t="s">
        <v>480</v>
      </c>
      <c r="N263" s="15" t="s">
        <v>23</v>
      </c>
      <c r="O263" s="31">
        <v>2</v>
      </c>
      <c r="P263" s="15">
        <v>30.02</v>
      </c>
      <c r="Q263" s="15">
        <v>114.36</v>
      </c>
      <c r="S263" s="15">
        <v>1577</v>
      </c>
      <c r="T263" s="15">
        <v>16</v>
      </c>
      <c r="U263" s="15" t="s">
        <v>807</v>
      </c>
      <c r="V263" s="31">
        <v>2</v>
      </c>
      <c r="W263" s="16" t="s">
        <v>1170</v>
      </c>
      <c r="Y263" s="1"/>
      <c r="Z263" s="15">
        <v>4.92</v>
      </c>
      <c r="AA263" s="15" t="s">
        <v>573</v>
      </c>
      <c r="AB263" s="15">
        <f t="shared" si="225"/>
        <v>4.92</v>
      </c>
      <c r="AC263" s="1">
        <v>2</v>
      </c>
      <c r="AD263" s="15">
        <f>19.8*1.74</f>
        <v>34.451999999999998</v>
      </c>
      <c r="AJ263" s="15">
        <v>37</v>
      </c>
      <c r="AK263" s="15">
        <v>52</v>
      </c>
      <c r="AL263" s="15">
        <v>11</v>
      </c>
      <c r="AM263" s="1">
        <v>2</v>
      </c>
      <c r="AN263" s="15">
        <v>1.2</v>
      </c>
      <c r="AQ263" s="1"/>
      <c r="AR263" s="1">
        <v>3</v>
      </c>
      <c r="AT263" s="15" t="s">
        <v>993</v>
      </c>
      <c r="AW263" s="15">
        <v>1</v>
      </c>
      <c r="AX263" s="15">
        <f>AW263*1000*4*1.09/1.8</f>
        <v>2422.2222222222222</v>
      </c>
      <c r="AY263" s="15" t="s">
        <v>766</v>
      </c>
      <c r="AZ263" s="15">
        <f>AX263</f>
        <v>2422.2222222222222</v>
      </c>
      <c r="BA263" s="15">
        <f>AZ263/2.93/1000</f>
        <v>0.8266970041714069</v>
      </c>
      <c r="BB263" s="15">
        <f>AZ263*0.6</f>
        <v>1453.3333333333333</v>
      </c>
      <c r="DB263" s="15" t="s">
        <v>995</v>
      </c>
      <c r="DD263" s="15">
        <v>1</v>
      </c>
      <c r="DE263" s="15">
        <f>DD263*22500</f>
        <v>22500</v>
      </c>
      <c r="DF263" s="15" t="s">
        <v>766</v>
      </c>
      <c r="DJ263" s="15">
        <v>401</v>
      </c>
      <c r="DK263" s="15">
        <v>22.8</v>
      </c>
      <c r="DS263" s="15">
        <f>DE263</f>
        <v>22500</v>
      </c>
      <c r="DT263" s="15">
        <f>DS263/0.6/1000</f>
        <v>37.5</v>
      </c>
      <c r="DU263" s="15">
        <f>DS263*0.2</f>
        <v>4500</v>
      </c>
      <c r="EW263" s="46">
        <f>AX263+BT263+CF263+DE263+DY263</f>
        <v>24922.222222222223</v>
      </c>
      <c r="EX263" s="46">
        <f>BA263+BZ263+CZ263+DT263+ET263</f>
        <v>38.326697004171407</v>
      </c>
      <c r="EY263" s="46">
        <f>BB263+CA263+DA263+DU263+EU263</f>
        <v>5953.333333333333</v>
      </c>
      <c r="FK263" s="16">
        <f t="shared" si="226"/>
        <v>5.01</v>
      </c>
      <c r="FL263" s="16">
        <f t="shared" si="227"/>
        <v>6.54</v>
      </c>
      <c r="FM263" s="15">
        <v>5.01</v>
      </c>
      <c r="FN263" s="15">
        <v>0.01</v>
      </c>
      <c r="FO263" s="15">
        <f>FN263*SQRT(AR263)</f>
        <v>1.7320508075688773E-2</v>
      </c>
      <c r="FP263" s="15">
        <v>6.54</v>
      </c>
      <c r="FQ263" s="15">
        <v>0.01</v>
      </c>
      <c r="FR263" s="15">
        <f>FQ263*SQRT(AR263)</f>
        <v>1.7320508075688773E-2</v>
      </c>
      <c r="FS263" s="15">
        <f t="shared" si="248"/>
        <v>1.3053892215568863</v>
      </c>
      <c r="FT263" s="15">
        <f t="shared" si="249"/>
        <v>1.5300000000000002</v>
      </c>
      <c r="FU263" s="15">
        <f t="shared" si="251"/>
        <v>0.26650125037233385</v>
      </c>
      <c r="FV263" s="15">
        <f>((FR263*FR263)/(AR263*FP263*FP263)+(FO263*FO263)/(AR263*FM263*FM263))</f>
        <v>6.3220478536152344E-6</v>
      </c>
      <c r="HY263" s="15">
        <f t="shared" si="253"/>
        <v>24922.222222222223</v>
      </c>
      <c r="HZ263" s="15">
        <f t="shared" si="253"/>
        <v>38.326697004171407</v>
      </c>
      <c r="IA263" s="15">
        <f t="shared" si="253"/>
        <v>5953.333333333333</v>
      </c>
    </row>
    <row r="264" spans="1:235" s="15" customFormat="1" x14ac:dyDescent="0.25">
      <c r="A264" s="31">
        <v>262</v>
      </c>
      <c r="B264" s="1">
        <v>45</v>
      </c>
      <c r="C264" s="1">
        <v>48</v>
      </c>
      <c r="D264" s="15" t="s">
        <v>223</v>
      </c>
      <c r="E264" s="1">
        <v>1</v>
      </c>
      <c r="F264" s="15" t="s">
        <v>996</v>
      </c>
      <c r="G264" s="15" t="s">
        <v>1001</v>
      </c>
      <c r="H264" s="15" t="s">
        <v>806</v>
      </c>
      <c r="I264" s="1">
        <v>2018</v>
      </c>
      <c r="J264" s="15" t="s">
        <v>686</v>
      </c>
      <c r="K264" s="1" t="s">
        <v>1002</v>
      </c>
      <c r="L264" s="15" t="s">
        <v>820</v>
      </c>
      <c r="M264" s="15" t="s">
        <v>480</v>
      </c>
      <c r="N264" s="15" t="s">
        <v>23</v>
      </c>
      <c r="O264" s="31">
        <v>2</v>
      </c>
      <c r="P264" s="15">
        <v>28.25</v>
      </c>
      <c r="Q264" s="15">
        <v>116.92</v>
      </c>
      <c r="R264" s="15" t="s">
        <v>980</v>
      </c>
      <c r="S264" s="15">
        <v>1795</v>
      </c>
      <c r="T264" s="15">
        <v>17.600000000000001</v>
      </c>
      <c r="U264" s="15" t="s">
        <v>549</v>
      </c>
      <c r="V264" s="31">
        <v>1</v>
      </c>
      <c r="W264" s="16" t="s">
        <v>1172</v>
      </c>
      <c r="X264" s="15" t="s">
        <v>1003</v>
      </c>
      <c r="Y264" s="1">
        <v>5</v>
      </c>
      <c r="AC264" s="1"/>
      <c r="AJ264" s="15">
        <v>41.2</v>
      </c>
      <c r="AK264" s="15">
        <v>33.200000000000003</v>
      </c>
      <c r="AL264" s="15">
        <v>25.6</v>
      </c>
      <c r="AM264" s="1">
        <v>2</v>
      </c>
      <c r="AQ264" s="1"/>
      <c r="AR264" s="1">
        <v>3</v>
      </c>
      <c r="AT264" s="15" t="s">
        <v>886</v>
      </c>
      <c r="AW264" s="15">
        <v>1500</v>
      </c>
      <c r="AX264" s="15">
        <f>AW264</f>
        <v>1500</v>
      </c>
      <c r="AY264" s="15" t="s">
        <v>766</v>
      </c>
      <c r="AZ264" s="15">
        <f>AX264</f>
        <v>1500</v>
      </c>
      <c r="BA264" s="15">
        <f>AZ264/2.93/1000</f>
        <v>0.51194539249146753</v>
      </c>
      <c r="BB264" s="15">
        <f>AZ264*0.6</f>
        <v>900</v>
      </c>
      <c r="BP264" s="16"/>
      <c r="BQ264" s="16"/>
      <c r="BR264" s="16"/>
      <c r="BU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5">
        <v>5.2</v>
      </c>
      <c r="FN264" s="15">
        <v>0.01</v>
      </c>
      <c r="FO264" s="15">
        <f>FN264*SQRT(AR264)</f>
        <v>1.7320508075688773E-2</v>
      </c>
      <c r="FP264" s="15">
        <v>6.59</v>
      </c>
      <c r="FQ264" s="15">
        <v>0.04</v>
      </c>
      <c r="FR264" s="15">
        <f>FQ264*SQRT(AR264)</f>
        <v>6.9282032302755092E-2</v>
      </c>
      <c r="FS264" s="15">
        <f t="shared" si="248"/>
        <v>1.2673076923076922</v>
      </c>
      <c r="FT264" s="15">
        <f t="shared" si="249"/>
        <v>1.3899999999999997</v>
      </c>
      <c r="FU264" s="15">
        <f t="shared" si="251"/>
        <v>0.23689472292703417</v>
      </c>
      <c r="FV264" s="15">
        <f>((FR264*FR264)/(AR264*FP264*FP264)+(FO264*FO264)/(AR264*FM264*FM264))</f>
        <v>4.0540730050318228E-5</v>
      </c>
      <c r="FX264" s="15">
        <f>6.44*1.74</f>
        <v>11.2056</v>
      </c>
      <c r="FY264" s="15">
        <f>0.26*1.74</f>
        <v>0.45240000000000002</v>
      </c>
      <c r="FZ264" s="15">
        <f>FY264*SQRT(AR264)</f>
        <v>0.78357978534416006</v>
      </c>
      <c r="GA264" s="15">
        <v>10.9968</v>
      </c>
      <c r="GB264" s="15">
        <v>0.13919999999999999</v>
      </c>
      <c r="GC264" s="15">
        <f>GB264*SQRT(AR264)</f>
        <v>0.24110147241358768</v>
      </c>
      <c r="GD264" s="15">
        <f>GA264/FX264</f>
        <v>0.98136645962732916</v>
      </c>
      <c r="GE264" s="15">
        <f>GA264-FX264</f>
        <v>-0.2088000000000001</v>
      </c>
      <c r="GF264" s="15">
        <f>LN(GA264)-LN(FX264)</f>
        <v>-1.8809331957496234E-2</v>
      </c>
      <c r="GG264" s="15">
        <f>((GC264*GC264)/(AR264*GA264*GA264)+(FZ264*FZ264)/(AR264*FX264*FX264))</f>
        <v>1.7901832803814475E-3</v>
      </c>
      <c r="HY264" s="15">
        <f>AZ264</f>
        <v>1500</v>
      </c>
      <c r="HZ264" s="15">
        <f>BA264</f>
        <v>0.51194539249146753</v>
      </c>
      <c r="IA264" s="15">
        <f>BB264</f>
        <v>900</v>
      </c>
    </row>
    <row r="265" spans="1:235" s="15" customFormat="1" x14ac:dyDescent="0.25">
      <c r="A265" s="31">
        <v>263</v>
      </c>
      <c r="B265" s="1">
        <v>45</v>
      </c>
      <c r="C265" s="1">
        <v>48</v>
      </c>
      <c r="D265" s="15" t="s">
        <v>224</v>
      </c>
      <c r="E265" s="1">
        <v>5</v>
      </c>
      <c r="F265" s="15" t="s">
        <v>997</v>
      </c>
      <c r="G265" s="15" t="s">
        <v>1001</v>
      </c>
      <c r="H265" s="15" t="s">
        <v>806</v>
      </c>
      <c r="I265" s="1">
        <v>2018</v>
      </c>
      <c r="J265" s="15" t="s">
        <v>686</v>
      </c>
      <c r="K265" s="1" t="s">
        <v>1002</v>
      </c>
      <c r="L265" s="15" t="s">
        <v>820</v>
      </c>
      <c r="M265" s="15" t="s">
        <v>480</v>
      </c>
      <c r="N265" s="15" t="s">
        <v>23</v>
      </c>
      <c r="O265" s="31">
        <v>2</v>
      </c>
      <c r="P265" s="15">
        <v>28.25</v>
      </c>
      <c r="Q265" s="15">
        <v>116.92</v>
      </c>
      <c r="R265" s="15" t="s">
        <v>980</v>
      </c>
      <c r="S265" s="15">
        <v>1795</v>
      </c>
      <c r="T265" s="15">
        <v>17.600000000000001</v>
      </c>
      <c r="U265" s="15" t="s">
        <v>549</v>
      </c>
      <c r="V265" s="31">
        <v>1</v>
      </c>
      <c r="W265" s="16" t="s">
        <v>1172</v>
      </c>
      <c r="X265" s="15" t="s">
        <v>1003</v>
      </c>
      <c r="Y265" s="1">
        <v>5</v>
      </c>
      <c r="AC265" s="1"/>
      <c r="AJ265" s="15">
        <v>41.2</v>
      </c>
      <c r="AK265" s="15">
        <v>33.200000000000003</v>
      </c>
      <c r="AL265" s="15">
        <v>25.6</v>
      </c>
      <c r="AM265" s="1">
        <v>2</v>
      </c>
      <c r="AQ265" s="1"/>
      <c r="AR265" s="1">
        <v>3</v>
      </c>
      <c r="BP265" s="16"/>
      <c r="BQ265" s="16"/>
      <c r="BR265" s="16"/>
      <c r="BU265" s="16"/>
      <c r="DB265" s="15" t="s">
        <v>896</v>
      </c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5">
        <v>5.2</v>
      </c>
      <c r="FN265" s="15">
        <v>0.01</v>
      </c>
      <c r="FO265" s="15">
        <f>FN265*SQRT(AR265)</f>
        <v>1.7320508075688773E-2</v>
      </c>
      <c r="FP265" s="15">
        <v>5.13</v>
      </c>
      <c r="FQ265" s="15">
        <v>0.03</v>
      </c>
      <c r="FR265" s="15">
        <f>FQ265*SQRT(AR265)</f>
        <v>5.1961524227066312E-2</v>
      </c>
      <c r="FS265" s="15">
        <f t="shared" si="248"/>
        <v>0.98653846153846148</v>
      </c>
      <c r="FT265" s="15">
        <f t="shared" si="249"/>
        <v>-7.0000000000000284E-2</v>
      </c>
      <c r="FU265" s="15">
        <f t="shared" si="251"/>
        <v>-1.3552966404703382E-2</v>
      </c>
      <c r="FV265" s="15">
        <f>((FR265*FR265)/(AR265*FP265*FP265)+(FO265*FO265)/(AR265*FM265*FM265))</f>
        <v>3.7896781672973159E-5</v>
      </c>
      <c r="FX265" s="15">
        <f>6.44*1.74</f>
        <v>11.2056</v>
      </c>
      <c r="FY265" s="15">
        <f>0.26*1.74</f>
        <v>0.45240000000000002</v>
      </c>
      <c r="FZ265" s="15">
        <f>FY265*SQRT(AR265)</f>
        <v>0.78357978534416006</v>
      </c>
      <c r="GA265" s="15">
        <v>11.518800000000001</v>
      </c>
      <c r="GB265" s="15">
        <v>0.10439999999999999</v>
      </c>
      <c r="GC265" s="15">
        <f>GB265*SQRT(AR265)</f>
        <v>0.18082610431019078</v>
      </c>
      <c r="GD265" s="15">
        <f>GA265/FX265</f>
        <v>1.0279503105590062</v>
      </c>
      <c r="GE265" s="15">
        <f>GA265-FX265</f>
        <v>0.31320000000000014</v>
      </c>
      <c r="GF265" s="15">
        <f>LN(GA265)-LN(FX265)</f>
        <v>2.7566829832654793E-2</v>
      </c>
      <c r="GG265" s="15">
        <f>((GC265*GC265)/(AR265*GA265*GA265)+(FZ265*FZ265)/(AR265*FX265*FX265))</f>
        <v>1.7120985672396415E-3</v>
      </c>
      <c r="HY265" s="15">
        <f t="shared" ref="HY265:IA267" si="254">DS265</f>
        <v>0</v>
      </c>
      <c r="HZ265" s="15">
        <f t="shared" si="254"/>
        <v>0</v>
      </c>
      <c r="IA265" s="15">
        <f t="shared" si="254"/>
        <v>0</v>
      </c>
    </row>
    <row r="266" spans="1:235" s="15" customFormat="1" x14ac:dyDescent="0.25">
      <c r="A266" s="31">
        <v>264</v>
      </c>
      <c r="B266" s="1">
        <v>45</v>
      </c>
      <c r="C266" s="1">
        <v>48</v>
      </c>
      <c r="D266" s="15" t="s">
        <v>225</v>
      </c>
      <c r="E266" s="1">
        <v>5</v>
      </c>
      <c r="F266" s="15" t="s">
        <v>998</v>
      </c>
      <c r="G266" s="15" t="s">
        <v>1001</v>
      </c>
      <c r="H266" s="15" t="s">
        <v>806</v>
      </c>
      <c r="I266" s="1">
        <v>2018</v>
      </c>
      <c r="J266" s="15" t="s">
        <v>686</v>
      </c>
      <c r="K266" s="1" t="s">
        <v>1002</v>
      </c>
      <c r="L266" s="15" t="s">
        <v>820</v>
      </c>
      <c r="M266" s="15" t="s">
        <v>480</v>
      </c>
      <c r="N266" s="15" t="s">
        <v>23</v>
      </c>
      <c r="O266" s="31">
        <v>2</v>
      </c>
      <c r="P266" s="15">
        <v>28.25</v>
      </c>
      <c r="Q266" s="15">
        <v>116.92</v>
      </c>
      <c r="R266" s="15" t="s">
        <v>980</v>
      </c>
      <c r="S266" s="15">
        <v>1795</v>
      </c>
      <c r="T266" s="15">
        <v>17.600000000000001</v>
      </c>
      <c r="U266" s="15" t="s">
        <v>549</v>
      </c>
      <c r="V266" s="31">
        <v>1</v>
      </c>
      <c r="W266" s="16" t="s">
        <v>1172</v>
      </c>
      <c r="X266" s="15" t="s">
        <v>1003</v>
      </c>
      <c r="Y266" s="1">
        <v>5</v>
      </c>
      <c r="AC266" s="1"/>
      <c r="AJ266" s="15">
        <v>41.2</v>
      </c>
      <c r="AK266" s="15">
        <v>33.200000000000003</v>
      </c>
      <c r="AL266" s="15">
        <v>25.6</v>
      </c>
      <c r="AM266" s="1">
        <v>2</v>
      </c>
      <c r="AQ266" s="1"/>
      <c r="AR266" s="1">
        <v>3</v>
      </c>
      <c r="BP266" s="16"/>
      <c r="BQ266" s="16"/>
      <c r="BR266" s="16"/>
      <c r="BU266" s="16"/>
      <c r="DB266" s="15" t="s">
        <v>835</v>
      </c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5">
        <v>5.2</v>
      </c>
      <c r="FN266" s="15">
        <v>0.01</v>
      </c>
      <c r="FO266" s="15">
        <f>FN266*SQRT(AR266)</f>
        <v>1.7320508075688773E-2</v>
      </c>
      <c r="FP266" s="15">
        <v>5.16</v>
      </c>
      <c r="FQ266" s="15">
        <v>0.02</v>
      </c>
      <c r="FR266" s="15">
        <f>FQ266*SQRT(AR266)</f>
        <v>3.4641016151377546E-2</v>
      </c>
      <c r="FS266" s="15">
        <f t="shared" si="248"/>
        <v>0.99230769230769234</v>
      </c>
      <c r="FT266" s="15">
        <f t="shared" si="249"/>
        <v>-4.0000000000000036E-2</v>
      </c>
      <c r="FU266" s="15">
        <f t="shared" si="251"/>
        <v>-7.7220460939102509E-3</v>
      </c>
      <c r="FV266" s="15">
        <f>((FR266*FR266)/(AR266*FP266*FP266)+(FO266*FO266)/(AR266*FM266*FM266))</f>
        <v>1.8721360480939464E-5</v>
      </c>
      <c r="FX266" s="15">
        <f>6.44*1.74</f>
        <v>11.2056</v>
      </c>
      <c r="FY266" s="15">
        <f>0.26*1.74</f>
        <v>0.45240000000000002</v>
      </c>
      <c r="FZ266" s="15">
        <f>FY266*SQRT(AR266)</f>
        <v>0.78357978534416006</v>
      </c>
      <c r="GA266" s="15">
        <v>12.4062</v>
      </c>
      <c r="GB266" s="15">
        <v>0.48720000000000002</v>
      </c>
      <c r="GC266" s="15">
        <f>GB266*SQRT(AR266)</f>
        <v>0.84385515344755702</v>
      </c>
      <c r="GD266" s="15">
        <f>GA266/FX266</f>
        <v>1.1071428571428572</v>
      </c>
      <c r="GE266" s="15">
        <f>GA266-FX266</f>
        <v>1.2005999999999997</v>
      </c>
      <c r="GF266" s="15">
        <f>LN(GA266)-LN(FX266)</f>
        <v>0.10178269430994247</v>
      </c>
      <c r="GG266" s="15">
        <f>((GC266*GC266)/(AR266*GA266*GA266)+(FZ266*FZ266)/(AR266*FX266*FX266))</f>
        <v>3.1721394241953685E-3</v>
      </c>
      <c r="HY266" s="15">
        <f t="shared" si="254"/>
        <v>0</v>
      </c>
      <c r="HZ266" s="15">
        <f t="shared" si="254"/>
        <v>0</v>
      </c>
      <c r="IA266" s="15">
        <f t="shared" si="254"/>
        <v>0</v>
      </c>
    </row>
    <row r="267" spans="1:235" s="15" customFormat="1" x14ac:dyDescent="0.25">
      <c r="A267" s="31">
        <v>265</v>
      </c>
      <c r="B267" s="1">
        <v>45</v>
      </c>
      <c r="C267" s="1">
        <v>48</v>
      </c>
      <c r="D267" s="15" t="s">
        <v>226</v>
      </c>
      <c r="E267" s="1">
        <v>5</v>
      </c>
      <c r="F267" s="15" t="s">
        <v>999</v>
      </c>
      <c r="G267" s="15" t="s">
        <v>1001</v>
      </c>
      <c r="H267" s="15" t="s">
        <v>806</v>
      </c>
      <c r="I267" s="1">
        <v>2018</v>
      </c>
      <c r="J267" s="15" t="s">
        <v>686</v>
      </c>
      <c r="K267" s="1" t="s">
        <v>1002</v>
      </c>
      <c r="L267" s="15" t="s">
        <v>820</v>
      </c>
      <c r="M267" s="15" t="s">
        <v>480</v>
      </c>
      <c r="N267" s="15" t="s">
        <v>23</v>
      </c>
      <c r="O267" s="31">
        <v>2</v>
      </c>
      <c r="P267" s="15">
        <v>28.25</v>
      </c>
      <c r="Q267" s="15">
        <v>116.92</v>
      </c>
      <c r="R267" s="15" t="s">
        <v>979</v>
      </c>
      <c r="S267" s="15">
        <v>1795</v>
      </c>
      <c r="T267" s="15">
        <v>17.600000000000001</v>
      </c>
      <c r="U267" s="15" t="s">
        <v>549</v>
      </c>
      <c r="V267" s="31">
        <v>1</v>
      </c>
      <c r="W267" s="16" t="s">
        <v>1172</v>
      </c>
      <c r="X267" s="15" t="s">
        <v>1003</v>
      </c>
      <c r="Y267" s="1">
        <v>5</v>
      </c>
      <c r="AC267" s="1"/>
      <c r="AJ267" s="15">
        <v>41.2</v>
      </c>
      <c r="AK267" s="15">
        <v>33.200000000000003</v>
      </c>
      <c r="AL267" s="15">
        <v>25.6</v>
      </c>
      <c r="AM267" s="1">
        <v>2</v>
      </c>
      <c r="AQ267" s="1"/>
      <c r="AR267" s="1">
        <v>3</v>
      </c>
      <c r="BP267" s="16"/>
      <c r="BQ267" s="16"/>
      <c r="BR267" s="16"/>
      <c r="BU267" s="16"/>
      <c r="DB267" s="15" t="s">
        <v>1004</v>
      </c>
      <c r="EZ267" s="16"/>
      <c r="FA267" s="16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5">
        <v>5.2</v>
      </c>
      <c r="FN267" s="15">
        <v>0.01</v>
      </c>
      <c r="FO267" s="15">
        <f>FN267*SQRT(AR267)</f>
        <v>1.7320508075688773E-2</v>
      </c>
      <c r="FP267" s="15">
        <v>5.17</v>
      </c>
      <c r="FQ267" s="15">
        <v>0.02</v>
      </c>
      <c r="FR267" s="15">
        <f>FQ267*SQRT(AR267)</f>
        <v>3.4641016151377546E-2</v>
      </c>
      <c r="FS267" s="15">
        <f t="shared" si="248"/>
        <v>0.99423076923076914</v>
      </c>
      <c r="FT267" s="15">
        <f t="shared" si="249"/>
        <v>-3.0000000000000249E-2</v>
      </c>
      <c r="FU267" s="15">
        <f t="shared" si="251"/>
        <v>-5.7859370670438892E-3</v>
      </c>
      <c r="FV267" s="15">
        <f>((FR267*FR267)/(AR267*FP267*FP267)+(FO267*FO267)/(AR267*FM267*FM267))</f>
        <v>1.8663300107693197E-5</v>
      </c>
      <c r="FX267" s="15">
        <f>6.44*1.74</f>
        <v>11.2056</v>
      </c>
      <c r="FY267" s="15">
        <f>0.26*1.74</f>
        <v>0.45240000000000002</v>
      </c>
      <c r="FZ267" s="15">
        <f>FY267*SQRT(AR267)</f>
        <v>0.78357978534416006</v>
      </c>
      <c r="GA267" s="15">
        <v>11.7624</v>
      </c>
      <c r="GB267" s="15">
        <v>0.50459999999999994</v>
      </c>
      <c r="GC267" s="15">
        <f>GB267*SQRT(AR267)</f>
        <v>0.87399283749925527</v>
      </c>
      <c r="GD267" s="15">
        <f>GA267/FX267</f>
        <v>1.0496894409937887</v>
      </c>
      <c r="GE267" s="15">
        <f>GA267-FX267</f>
        <v>0.55679999999999907</v>
      </c>
      <c r="GF267" s="15">
        <f>LN(GA267)-LN(FX267)</f>
        <v>4.8494349938610348E-2</v>
      </c>
      <c r="GG267" s="15">
        <f>((GC267*GC267)/(AR267*GA267*GA267)+(FZ267*FZ267)/(AR267*FX267*FX267))</f>
        <v>3.4703117792463586E-3</v>
      </c>
      <c r="HY267" s="15">
        <f t="shared" si="254"/>
        <v>0</v>
      </c>
      <c r="HZ267" s="15">
        <f t="shared" si="254"/>
        <v>0</v>
      </c>
      <c r="IA267" s="15">
        <f t="shared" si="254"/>
        <v>0</v>
      </c>
    </row>
    <row r="268" spans="1:235" s="15" customFormat="1" x14ac:dyDescent="0.25">
      <c r="A268" s="31">
        <v>266</v>
      </c>
      <c r="B268" s="1">
        <v>45</v>
      </c>
      <c r="C268" s="1">
        <v>48</v>
      </c>
      <c r="D268" s="15" t="s">
        <v>227</v>
      </c>
      <c r="E268" s="1">
        <v>4</v>
      </c>
      <c r="F268" s="15" t="s">
        <v>1000</v>
      </c>
      <c r="G268" s="15" t="s">
        <v>1001</v>
      </c>
      <c r="H268" s="15" t="s">
        <v>806</v>
      </c>
      <c r="I268" s="1">
        <v>2018</v>
      </c>
      <c r="J268" s="15" t="s">
        <v>686</v>
      </c>
      <c r="K268" s="1" t="s">
        <v>1002</v>
      </c>
      <c r="L268" s="15" t="s">
        <v>820</v>
      </c>
      <c r="M268" s="15" t="s">
        <v>480</v>
      </c>
      <c r="N268" s="15" t="s">
        <v>23</v>
      </c>
      <c r="O268" s="31">
        <v>2</v>
      </c>
      <c r="P268" s="15">
        <v>28.25</v>
      </c>
      <c r="Q268" s="15">
        <v>116.92</v>
      </c>
      <c r="R268" s="15" t="s">
        <v>979</v>
      </c>
      <c r="S268" s="15">
        <v>1795</v>
      </c>
      <c r="T268" s="15">
        <v>17.600000000000001</v>
      </c>
      <c r="U268" s="15" t="s">
        <v>549</v>
      </c>
      <c r="V268" s="31">
        <v>1</v>
      </c>
      <c r="W268" s="16" t="s">
        <v>1172</v>
      </c>
      <c r="X268" s="15" t="s">
        <v>1003</v>
      </c>
      <c r="Y268" s="1">
        <v>5</v>
      </c>
      <c r="AC268" s="1"/>
      <c r="AJ268" s="15">
        <v>41.2</v>
      </c>
      <c r="AK268" s="15">
        <v>33.200000000000003</v>
      </c>
      <c r="AL268" s="15">
        <v>25.6</v>
      </c>
      <c r="AM268" s="1">
        <v>2</v>
      </c>
      <c r="AQ268" s="1"/>
      <c r="AR268" s="1">
        <v>3</v>
      </c>
      <c r="BP268" s="16"/>
      <c r="BQ268" s="16"/>
      <c r="BR268" s="16"/>
      <c r="BU268" s="16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5">
        <v>5.2</v>
      </c>
      <c r="FN268" s="15">
        <v>0.01</v>
      </c>
      <c r="FO268" s="15">
        <f>FN268*SQRT(AR268)</f>
        <v>1.7320508075688773E-2</v>
      </c>
      <c r="FP268" s="15">
        <v>5.58</v>
      </c>
      <c r="FQ268" s="15">
        <v>0.02</v>
      </c>
      <c r="FR268" s="15">
        <f>FQ268*SQRT(AR268)</f>
        <v>3.4641016151377546E-2</v>
      </c>
      <c r="FS268" s="15">
        <f t="shared" si="248"/>
        <v>1.073076923076923</v>
      </c>
      <c r="FT268" s="15">
        <f t="shared" si="249"/>
        <v>0.37999999999999989</v>
      </c>
      <c r="FU268" s="15">
        <f t="shared" si="251"/>
        <v>7.0530150805838021E-2</v>
      </c>
      <c r="FV268" s="15">
        <f>((FR268*FR268)/(AR268*FP268*FP268)+(FO268*FO268)/(AR268*FM268*FM268))</f>
        <v>1.6544925177092522E-5</v>
      </c>
      <c r="FX268" s="15">
        <f>6.44*1.74</f>
        <v>11.2056</v>
      </c>
      <c r="FY268" s="15">
        <f>0.26*1.74</f>
        <v>0.45240000000000002</v>
      </c>
      <c r="FZ268" s="15">
        <f>FY268*SQRT(AR268)</f>
        <v>0.78357978534416006</v>
      </c>
      <c r="GA268" s="15">
        <v>14.285400000000001</v>
      </c>
      <c r="GB268" s="15">
        <v>0.34800000000000003</v>
      </c>
      <c r="GC268" s="15">
        <f>GB268*SQRT(AR268)</f>
        <v>0.60275368103396931</v>
      </c>
      <c r="GD268" s="15">
        <f>GA268/FX268</f>
        <v>1.2748447204968945</v>
      </c>
      <c r="GE268" s="15">
        <f>GA268-FX268</f>
        <v>3.0798000000000005</v>
      </c>
      <c r="GF268" s="15">
        <f>LN(GA268)-LN(FX268)</f>
        <v>0.24282438334807477</v>
      </c>
      <c r="GG268" s="15">
        <f>((GC268*GC268)/(AR268*GA268*GA268)+(FZ268*FZ268)/(AR268*FX268*FX268))</f>
        <v>2.2233882590110571E-3</v>
      </c>
    </row>
    <row r="269" spans="1:235" s="15" customFormat="1" x14ac:dyDescent="0.25">
      <c r="A269" s="31">
        <v>267</v>
      </c>
      <c r="B269" s="1">
        <v>46</v>
      </c>
      <c r="C269" s="1">
        <v>49</v>
      </c>
      <c r="D269" s="15" t="s">
        <v>228</v>
      </c>
      <c r="E269" s="1">
        <v>4</v>
      </c>
      <c r="F269" s="15" t="s">
        <v>1007</v>
      </c>
      <c r="G269" s="15" t="s">
        <v>1006</v>
      </c>
      <c r="H269" s="15" t="s">
        <v>1008</v>
      </c>
      <c r="I269" s="1">
        <v>2000</v>
      </c>
      <c r="J269" s="15" t="s">
        <v>1005</v>
      </c>
      <c r="K269" s="1">
        <v>1998</v>
      </c>
      <c r="L269" s="15" t="s">
        <v>883</v>
      </c>
      <c r="M269" s="15" t="s">
        <v>884</v>
      </c>
      <c r="N269" s="15" t="s">
        <v>478</v>
      </c>
      <c r="O269" s="31">
        <v>3</v>
      </c>
      <c r="P269" s="15">
        <v>56.61</v>
      </c>
      <c r="Q269" s="15">
        <v>-114.46</v>
      </c>
      <c r="U269" s="15" t="s">
        <v>807</v>
      </c>
      <c r="V269" s="31">
        <v>2</v>
      </c>
      <c r="W269" s="16" t="s">
        <v>1149</v>
      </c>
      <c r="Y269" s="1"/>
      <c r="Z269" s="15">
        <v>4.8</v>
      </c>
      <c r="AA269" s="15" t="s">
        <v>573</v>
      </c>
      <c r="AB269" s="15">
        <f t="shared" ref="AB269:AB281" si="255">Z269</f>
        <v>4.8</v>
      </c>
      <c r="AC269" s="1">
        <v>2</v>
      </c>
      <c r="AD269" s="15">
        <f>28*1.74</f>
        <v>48.72</v>
      </c>
      <c r="AJ269" s="15">
        <v>20</v>
      </c>
      <c r="AK269" s="15">
        <v>58</v>
      </c>
      <c r="AL269" s="15">
        <v>22</v>
      </c>
      <c r="AM269" s="1">
        <v>2</v>
      </c>
      <c r="AP269" s="15" t="s">
        <v>1617</v>
      </c>
      <c r="AQ269" s="1">
        <v>5</v>
      </c>
      <c r="AR269" s="1">
        <v>4</v>
      </c>
      <c r="BF269" s="15">
        <v>6.8</v>
      </c>
      <c r="BG269" s="15" t="s">
        <v>888</v>
      </c>
      <c r="BI269" s="15">
        <v>249.3</v>
      </c>
      <c r="BJ269" s="15">
        <v>22.8</v>
      </c>
      <c r="BK269" s="15">
        <v>7</v>
      </c>
      <c r="BL269" s="15">
        <v>21.5</v>
      </c>
      <c r="BP269" s="16"/>
      <c r="BQ269" s="16"/>
      <c r="BR269" s="16"/>
      <c r="BS269" s="15">
        <v>10</v>
      </c>
      <c r="BT269" s="15">
        <f t="shared" ref="BT269:BT276" si="256">BS269*2250</f>
        <v>22500</v>
      </c>
      <c r="BU269" s="15" t="s">
        <v>766</v>
      </c>
      <c r="BY269" s="15">
        <f t="shared" ref="BY269:BY278" si="257">BT269</f>
        <v>22500</v>
      </c>
      <c r="BZ269" s="15">
        <f t="shared" ref="BZ269:BZ278" si="258">BY269/1.1/1000</f>
        <v>20.454545454545453</v>
      </c>
      <c r="CA269" s="15">
        <f t="shared" ref="CA269:CA278" si="259">BY269*2</f>
        <v>45000</v>
      </c>
      <c r="EZ269" s="16"/>
      <c r="FA269" s="16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>
        <f t="shared" ref="FK269:FK281" si="260">FM269</f>
        <v>4.92</v>
      </c>
      <c r="FL269" s="16">
        <f t="shared" ref="FL269:FL281" si="261">FP269</f>
        <v>5.18</v>
      </c>
      <c r="FM269" s="15">
        <v>4.92</v>
      </c>
      <c r="FN269" s="15">
        <f t="shared" ref="FN269:FN276" si="262">FM269*0.01</f>
        <v>4.9200000000000001E-2</v>
      </c>
      <c r="FO269" s="15">
        <f>FN269*SQRT(AR269)</f>
        <v>9.8400000000000001E-2</v>
      </c>
      <c r="FP269" s="15">
        <v>5.18</v>
      </c>
      <c r="FQ269" s="15">
        <f t="shared" ref="FQ269:FQ276" si="263">FP269*0.01</f>
        <v>5.1799999999999999E-2</v>
      </c>
      <c r="FR269" s="15">
        <f>FQ269*SQRT(AR269)</f>
        <v>0.1036</v>
      </c>
      <c r="FS269" s="15">
        <f t="shared" si="248"/>
        <v>1.0528455284552845</v>
      </c>
      <c r="FT269" s="15">
        <f t="shared" si="249"/>
        <v>0.25999999999999979</v>
      </c>
      <c r="FU269" s="15">
        <f t="shared" si="251"/>
        <v>5.1496525767174894E-2</v>
      </c>
      <c r="FV269" s="15">
        <f>((FR269*FR269)/(AR269*FP269*FP269)+(FO269*FO269)/(AR269*FM269*FM269))</f>
        <v>2.0000000000000001E-4</v>
      </c>
      <c r="GI269" s="15">
        <v>37.5</v>
      </c>
      <c r="GJ269" s="15">
        <f t="shared" ref="GJ269:GJ276" si="264">GI269*0.05</f>
        <v>1.875</v>
      </c>
      <c r="GK269" s="15">
        <f>GJ269*SQRT(AR151)</f>
        <v>3.2475952641916446</v>
      </c>
      <c r="GL269" s="15">
        <v>37.700000000000003</v>
      </c>
      <c r="GM269" s="15">
        <f t="shared" ref="GM269:GM276" si="265">GL269*0.05</f>
        <v>1.8850000000000002</v>
      </c>
      <c r="GN269" s="15">
        <f>GM269*SQRT(AR151)</f>
        <v>3.2649157722673339</v>
      </c>
      <c r="GO269" s="15">
        <f t="shared" ref="GO269:GO276" si="266">GL269/GI269</f>
        <v>1.0053333333333334</v>
      </c>
      <c r="GP269" s="15">
        <f t="shared" ref="GP269:GP276" si="267">GL269-GI269</f>
        <v>0.20000000000000284</v>
      </c>
      <c r="GQ269" s="15">
        <f t="shared" ref="GQ269:GQ276" si="268">LN(GL269)-LN(GI269)</f>
        <v>5.3191614775998097E-3</v>
      </c>
      <c r="GR269" s="15">
        <f>((GN269*GN269)/(AR151*GL269*GL269)+(GK269*GK269)/(AR151*GI269*GI269))</f>
        <v>4.9999999999999992E-3</v>
      </c>
      <c r="HY269" s="15">
        <f>BY269</f>
        <v>22500</v>
      </c>
      <c r="HZ269" s="15">
        <f>BZ269</f>
        <v>20.454545454545453</v>
      </c>
      <c r="IA269" s="15">
        <f>CA269</f>
        <v>45000</v>
      </c>
    </row>
    <row r="270" spans="1:235" s="15" customFormat="1" x14ac:dyDescent="0.25">
      <c r="A270" s="31">
        <v>268</v>
      </c>
      <c r="B270" s="1">
        <v>46</v>
      </c>
      <c r="C270" s="1">
        <v>49</v>
      </c>
      <c r="D270" s="15" t="s">
        <v>229</v>
      </c>
      <c r="E270" s="1">
        <v>4</v>
      </c>
      <c r="F270" s="15" t="s">
        <v>1007</v>
      </c>
      <c r="G270" s="15" t="s">
        <v>1006</v>
      </c>
      <c r="H270" s="15" t="s">
        <v>1008</v>
      </c>
      <c r="I270" s="1">
        <v>2000</v>
      </c>
      <c r="J270" s="15" t="s">
        <v>1005</v>
      </c>
      <c r="K270" s="1">
        <v>1998</v>
      </c>
      <c r="L270" s="15" t="s">
        <v>883</v>
      </c>
      <c r="M270" s="15" t="s">
        <v>884</v>
      </c>
      <c r="N270" s="15" t="s">
        <v>478</v>
      </c>
      <c r="O270" s="31">
        <v>3</v>
      </c>
      <c r="P270" s="15">
        <v>56.61</v>
      </c>
      <c r="Q270" s="15">
        <v>-114.46</v>
      </c>
      <c r="U270" s="15" t="s">
        <v>807</v>
      </c>
      <c r="V270" s="31">
        <v>2</v>
      </c>
      <c r="W270" s="16" t="s">
        <v>1149</v>
      </c>
      <c r="Y270" s="1"/>
      <c r="Z270" s="15">
        <v>4.8</v>
      </c>
      <c r="AA270" s="15" t="s">
        <v>573</v>
      </c>
      <c r="AB270" s="15">
        <f t="shared" si="255"/>
        <v>4.8</v>
      </c>
      <c r="AC270" s="1">
        <v>2</v>
      </c>
      <c r="AD270" s="15">
        <f>28*1.74</f>
        <v>48.72</v>
      </c>
      <c r="AJ270" s="15">
        <v>20</v>
      </c>
      <c r="AK270" s="15">
        <v>58</v>
      </c>
      <c r="AL270" s="15">
        <v>22</v>
      </c>
      <c r="AM270" s="1">
        <v>2</v>
      </c>
      <c r="AP270" s="15" t="s">
        <v>1617</v>
      </c>
      <c r="AQ270" s="1">
        <v>5</v>
      </c>
      <c r="AR270" s="1">
        <v>4</v>
      </c>
      <c r="BF270" s="15">
        <v>6.8</v>
      </c>
      <c r="BG270" s="15" t="s">
        <v>888</v>
      </c>
      <c r="BI270" s="15">
        <v>249.3</v>
      </c>
      <c r="BJ270" s="15">
        <v>22.8</v>
      </c>
      <c r="BK270" s="15">
        <v>7</v>
      </c>
      <c r="BL270" s="15">
        <v>21.5</v>
      </c>
      <c r="BP270" s="16"/>
      <c r="BQ270" s="16"/>
      <c r="BR270" s="16"/>
      <c r="BS270" s="15">
        <v>20</v>
      </c>
      <c r="BT270" s="15">
        <f t="shared" si="256"/>
        <v>45000</v>
      </c>
      <c r="BU270" s="15" t="s">
        <v>766</v>
      </c>
      <c r="BY270" s="15">
        <f t="shared" si="257"/>
        <v>45000</v>
      </c>
      <c r="BZ270" s="15">
        <f t="shared" si="258"/>
        <v>40.909090909090907</v>
      </c>
      <c r="CA270" s="15">
        <f t="shared" si="259"/>
        <v>90000</v>
      </c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>
        <f t="shared" si="260"/>
        <v>4.92</v>
      </c>
      <c r="FL270" s="16">
        <f t="shared" si="261"/>
        <v>5.43</v>
      </c>
      <c r="FM270" s="15">
        <v>4.92</v>
      </c>
      <c r="FN270" s="15">
        <f t="shared" si="262"/>
        <v>4.9200000000000001E-2</v>
      </c>
      <c r="FO270" s="15">
        <f>FN270*SQRT(AR270)</f>
        <v>9.8400000000000001E-2</v>
      </c>
      <c r="FP270" s="15">
        <v>5.43</v>
      </c>
      <c r="FQ270" s="15">
        <f t="shared" si="263"/>
        <v>5.4300000000000001E-2</v>
      </c>
      <c r="FR270" s="15">
        <f>FQ270*SQRT(AR270)</f>
        <v>0.1086</v>
      </c>
      <c r="FS270" s="15">
        <f t="shared" si="248"/>
        <v>1.1036585365853657</v>
      </c>
      <c r="FT270" s="15">
        <f t="shared" si="249"/>
        <v>0.50999999999999979</v>
      </c>
      <c r="FU270" s="15">
        <f t="shared" si="251"/>
        <v>9.8630603441627329E-2</v>
      </c>
      <c r="FV270" s="15">
        <f>((FR270*FR270)/(AR270*FP270*FP270)+(FO270*FO270)/(AR270*FM270*FM270))</f>
        <v>2.0000000000000004E-4</v>
      </c>
      <c r="GI270" s="15">
        <v>37.5</v>
      </c>
      <c r="GJ270" s="15">
        <f t="shared" si="264"/>
        <v>1.875</v>
      </c>
      <c r="GK270" s="15">
        <f>GJ270*SQRT(AR152)</f>
        <v>3.2475952641916446</v>
      </c>
      <c r="GL270" s="15">
        <v>38.799999999999997</v>
      </c>
      <c r="GM270" s="15">
        <f t="shared" si="265"/>
        <v>1.94</v>
      </c>
      <c r="GN270" s="15">
        <f>GM270*SQRT(AR152)</f>
        <v>3.3601785666836217</v>
      </c>
      <c r="GO270" s="15">
        <f t="shared" si="266"/>
        <v>1.0346666666666666</v>
      </c>
      <c r="GP270" s="15">
        <f t="shared" si="267"/>
        <v>1.2999999999999972</v>
      </c>
      <c r="GQ270" s="15">
        <f t="shared" si="268"/>
        <v>3.4079313652862542E-2</v>
      </c>
      <c r="GR270" s="15">
        <f>((GN270*GN270)/(AR152*GL270*GL270)+(GK270*GK270)/(AR152*GI270*GI270))</f>
        <v>4.9999999999999992E-3</v>
      </c>
      <c r="HY270" s="15">
        <f>BY270</f>
        <v>45000</v>
      </c>
      <c r="HZ270" s="15">
        <f>BZ270</f>
        <v>40.909090909090907</v>
      </c>
      <c r="IA270" s="15">
        <f>CA270</f>
        <v>90000</v>
      </c>
    </row>
    <row r="271" spans="1:235" s="15" customFormat="1" x14ac:dyDescent="0.25">
      <c r="A271" s="31">
        <v>269</v>
      </c>
      <c r="B271" s="1">
        <v>46</v>
      </c>
      <c r="C271" s="1">
        <v>49</v>
      </c>
      <c r="D271" s="15" t="s">
        <v>230</v>
      </c>
      <c r="E271" s="1">
        <v>4</v>
      </c>
      <c r="F271" s="15" t="s">
        <v>1007</v>
      </c>
      <c r="G271" s="15" t="s">
        <v>1006</v>
      </c>
      <c r="H271" s="15" t="s">
        <v>1008</v>
      </c>
      <c r="I271" s="1">
        <v>2000</v>
      </c>
      <c r="J271" s="15" t="s">
        <v>1005</v>
      </c>
      <c r="K271" s="1">
        <v>1998</v>
      </c>
      <c r="L271" s="15" t="s">
        <v>883</v>
      </c>
      <c r="M271" s="15" t="s">
        <v>884</v>
      </c>
      <c r="N271" s="15" t="s">
        <v>478</v>
      </c>
      <c r="O271" s="31">
        <v>3</v>
      </c>
      <c r="P271" s="15">
        <v>56.61</v>
      </c>
      <c r="Q271" s="15">
        <v>-114.46</v>
      </c>
      <c r="U271" s="15" t="s">
        <v>807</v>
      </c>
      <c r="V271" s="31">
        <v>2</v>
      </c>
      <c r="W271" s="16" t="s">
        <v>1149</v>
      </c>
      <c r="Y271" s="1"/>
      <c r="Z271" s="15">
        <v>4.8</v>
      </c>
      <c r="AA271" s="15" t="s">
        <v>573</v>
      </c>
      <c r="AB271" s="15">
        <f t="shared" si="255"/>
        <v>4.8</v>
      </c>
      <c r="AC271" s="1">
        <v>2</v>
      </c>
      <c r="AD271" s="15">
        <f>28*1.74</f>
        <v>48.72</v>
      </c>
      <c r="AJ271" s="15">
        <v>20</v>
      </c>
      <c r="AK271" s="15">
        <v>58</v>
      </c>
      <c r="AL271" s="15">
        <v>22</v>
      </c>
      <c r="AM271" s="1">
        <v>2</v>
      </c>
      <c r="AP271" s="15" t="s">
        <v>1009</v>
      </c>
      <c r="AQ271" s="1">
        <v>5</v>
      </c>
      <c r="AR271" s="1">
        <v>4</v>
      </c>
      <c r="BF271" s="15">
        <v>6.8</v>
      </c>
      <c r="BG271" s="15" t="s">
        <v>888</v>
      </c>
      <c r="BI271" s="15">
        <v>249.3</v>
      </c>
      <c r="BJ271" s="15">
        <v>22.8</v>
      </c>
      <c r="BK271" s="15">
        <v>7</v>
      </c>
      <c r="BL271" s="15">
        <v>21.5</v>
      </c>
      <c r="BP271" s="16"/>
      <c r="BQ271" s="16"/>
      <c r="BR271" s="16"/>
      <c r="BS271" s="15">
        <v>30</v>
      </c>
      <c r="BT271" s="15">
        <f t="shared" si="256"/>
        <v>67500</v>
      </c>
      <c r="BU271" s="15" t="s">
        <v>766</v>
      </c>
      <c r="BY271" s="15">
        <f t="shared" si="257"/>
        <v>67500</v>
      </c>
      <c r="BZ271" s="15">
        <f t="shared" si="258"/>
        <v>61.36363636363636</v>
      </c>
      <c r="CA271" s="15">
        <f t="shared" si="259"/>
        <v>135000</v>
      </c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>
        <f t="shared" si="260"/>
        <v>4.92</v>
      </c>
      <c r="FL271" s="16">
        <f t="shared" si="261"/>
        <v>5.69</v>
      </c>
      <c r="FM271" s="15">
        <v>4.92</v>
      </c>
      <c r="FN271" s="15">
        <f t="shared" si="262"/>
        <v>4.9200000000000001E-2</v>
      </c>
      <c r="FO271" s="15">
        <f>FN271*SQRT(AR271)</f>
        <v>9.8400000000000001E-2</v>
      </c>
      <c r="FP271" s="15">
        <v>5.69</v>
      </c>
      <c r="FQ271" s="15">
        <f t="shared" si="263"/>
        <v>5.6900000000000006E-2</v>
      </c>
      <c r="FR271" s="15">
        <f>FQ271*SQRT(AR271)</f>
        <v>0.11380000000000001</v>
      </c>
      <c r="FS271" s="15">
        <f t="shared" si="248"/>
        <v>1.1565040650406504</v>
      </c>
      <c r="FT271" s="15">
        <f t="shared" si="249"/>
        <v>0.77000000000000046</v>
      </c>
      <c r="FU271" s="15">
        <f t="shared" si="251"/>
        <v>0.14540171763402299</v>
      </c>
      <c r="FV271" s="15">
        <f>((FR271*FR271)/(AR271*FP271*FP271)+(FO271*FO271)/(AR271*FM271*FM271))</f>
        <v>2.0000000000000004E-4</v>
      </c>
      <c r="GI271" s="15">
        <v>37.5</v>
      </c>
      <c r="GJ271" s="15">
        <f t="shared" si="264"/>
        <v>1.875</v>
      </c>
      <c r="GK271" s="15">
        <f>GJ271*SQRT(AR153)</f>
        <v>3.2475952641916446</v>
      </c>
      <c r="GL271" s="15">
        <v>36.799999999999997</v>
      </c>
      <c r="GM271" s="15">
        <f t="shared" si="265"/>
        <v>1.8399999999999999</v>
      </c>
      <c r="GN271" s="15">
        <f>GM271*SQRT(AR153)</f>
        <v>3.1869734859267336</v>
      </c>
      <c r="GO271" s="15">
        <f t="shared" si="266"/>
        <v>0.98133333333333328</v>
      </c>
      <c r="GP271" s="15">
        <f t="shared" si="267"/>
        <v>-0.70000000000000284</v>
      </c>
      <c r="GQ271" s="15">
        <f t="shared" si="268"/>
        <v>-1.8843087801479808E-2</v>
      </c>
      <c r="GR271" s="15">
        <f>((GN271*GN271)/(AR153*GL271*GL271)+(GK271*GK271)/(AR153*GI271*GI271))</f>
        <v>4.9999999999999992E-3</v>
      </c>
      <c r="HY271" s="15">
        <f>BY271</f>
        <v>67500</v>
      </c>
      <c r="HZ271" s="15">
        <f>BZ271</f>
        <v>61.36363636363636</v>
      </c>
      <c r="IA271" s="15">
        <f>CA271</f>
        <v>135000</v>
      </c>
    </row>
    <row r="272" spans="1:235" s="15" customFormat="1" x14ac:dyDescent="0.25">
      <c r="A272" s="31">
        <v>270</v>
      </c>
      <c r="B272" s="1">
        <v>46</v>
      </c>
      <c r="C272" s="1">
        <v>49</v>
      </c>
      <c r="D272" s="15" t="s">
        <v>231</v>
      </c>
      <c r="E272" s="1">
        <v>4</v>
      </c>
      <c r="F272" s="15" t="s">
        <v>1007</v>
      </c>
      <c r="G272" s="15" t="s">
        <v>1006</v>
      </c>
      <c r="H272" s="15" t="s">
        <v>1008</v>
      </c>
      <c r="I272" s="1">
        <v>2000</v>
      </c>
      <c r="J272" s="15" t="s">
        <v>1005</v>
      </c>
      <c r="K272" s="1">
        <v>1998</v>
      </c>
      <c r="L272" s="15" t="s">
        <v>883</v>
      </c>
      <c r="M272" s="15" t="s">
        <v>884</v>
      </c>
      <c r="N272" s="15" t="s">
        <v>478</v>
      </c>
      <c r="O272" s="31">
        <v>3</v>
      </c>
      <c r="P272" s="15">
        <v>56.61</v>
      </c>
      <c r="Q272" s="15">
        <v>-114.46</v>
      </c>
      <c r="U272" s="15" t="s">
        <v>807</v>
      </c>
      <c r="V272" s="31">
        <v>2</v>
      </c>
      <c r="W272" s="16" t="s">
        <v>1149</v>
      </c>
      <c r="Y272" s="1"/>
      <c r="Z272" s="15">
        <v>4.8</v>
      </c>
      <c r="AA272" s="15" t="s">
        <v>573</v>
      </c>
      <c r="AB272" s="15">
        <f t="shared" si="255"/>
        <v>4.8</v>
      </c>
      <c r="AC272" s="1">
        <v>2</v>
      </c>
      <c r="AD272" s="15">
        <f>28*1.74</f>
        <v>48.72</v>
      </c>
      <c r="AJ272" s="15">
        <v>20</v>
      </c>
      <c r="AK272" s="15">
        <v>58</v>
      </c>
      <c r="AL272" s="15">
        <v>22</v>
      </c>
      <c r="AM272" s="1">
        <v>2</v>
      </c>
      <c r="AP272" s="15" t="s">
        <v>1009</v>
      </c>
      <c r="AQ272" s="1">
        <v>5</v>
      </c>
      <c r="AR272" s="1">
        <v>4</v>
      </c>
      <c r="BF272" s="15">
        <v>6.8</v>
      </c>
      <c r="BG272" s="15" t="s">
        <v>888</v>
      </c>
      <c r="BI272" s="15">
        <v>249.3</v>
      </c>
      <c r="BJ272" s="15">
        <v>22.8</v>
      </c>
      <c r="BK272" s="15">
        <v>7</v>
      </c>
      <c r="BL272" s="15">
        <v>21.5</v>
      </c>
      <c r="BP272" s="16"/>
      <c r="BQ272" s="16"/>
      <c r="BR272" s="16"/>
      <c r="BS272" s="15">
        <v>40</v>
      </c>
      <c r="BT272" s="15">
        <f t="shared" si="256"/>
        <v>90000</v>
      </c>
      <c r="BU272" s="15" t="s">
        <v>766</v>
      </c>
      <c r="BY272" s="15">
        <f t="shared" si="257"/>
        <v>90000</v>
      </c>
      <c r="BZ272" s="15">
        <f t="shared" si="258"/>
        <v>81.818181818181813</v>
      </c>
      <c r="CA272" s="15">
        <f t="shared" si="259"/>
        <v>180000</v>
      </c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>
        <f t="shared" si="260"/>
        <v>4.92</v>
      </c>
      <c r="FL272" s="16">
        <f t="shared" si="261"/>
        <v>5.93</v>
      </c>
      <c r="FM272" s="15">
        <v>4.92</v>
      </c>
      <c r="FN272" s="15">
        <f t="shared" si="262"/>
        <v>4.9200000000000001E-2</v>
      </c>
      <c r="FO272" s="15">
        <f>FN272*SQRT(AR272)</f>
        <v>9.8400000000000001E-2</v>
      </c>
      <c r="FP272" s="15">
        <v>5.93</v>
      </c>
      <c r="FQ272" s="15">
        <f t="shared" si="263"/>
        <v>5.9299999999999999E-2</v>
      </c>
      <c r="FR272" s="15">
        <f>FQ272*SQRT(AR272)</f>
        <v>0.1186</v>
      </c>
      <c r="FS272" s="15">
        <f t="shared" si="248"/>
        <v>1.2052845528455285</v>
      </c>
      <c r="FT272" s="15">
        <f t="shared" si="249"/>
        <v>1.0099999999999998</v>
      </c>
      <c r="FU272" s="15">
        <f t="shared" si="251"/>
        <v>0.18671568250541726</v>
      </c>
      <c r="FV272" s="15">
        <f>((FR272*FR272)/(AR272*FP272*FP272)+(FO272*FO272)/(AR272*FM272*FM272))</f>
        <v>2.0000000000000001E-4</v>
      </c>
      <c r="GI272" s="15">
        <v>37.5</v>
      </c>
      <c r="GJ272" s="15">
        <f t="shared" si="264"/>
        <v>1.875</v>
      </c>
      <c r="GK272" s="15">
        <f>GJ272*SQRT(AR154)</f>
        <v>3.2475952641916446</v>
      </c>
      <c r="GL272" s="15">
        <v>40.4</v>
      </c>
      <c r="GM272" s="15">
        <f t="shared" si="265"/>
        <v>2.02</v>
      </c>
      <c r="GN272" s="15">
        <f>GM272*SQRT(AR154)</f>
        <v>3.4987426312891321</v>
      </c>
      <c r="GO272" s="15">
        <f t="shared" si="266"/>
        <v>1.0773333333333333</v>
      </c>
      <c r="GP272" s="15">
        <f t="shared" si="267"/>
        <v>2.8999999999999986</v>
      </c>
      <c r="GQ272" s="15">
        <f t="shared" si="268"/>
        <v>7.4488851990739402E-2</v>
      </c>
      <c r="GR272" s="15">
        <f>((GN272*GN272)/(AR154*GL272*GL272)+(GK272*GK272)/(AR154*GI272*GI272))</f>
        <v>4.9999999999999992E-3</v>
      </c>
      <c r="HY272" s="15">
        <f>BY272</f>
        <v>90000</v>
      </c>
      <c r="HZ272" s="15">
        <f>BZ272</f>
        <v>81.818181818181813</v>
      </c>
      <c r="IA272" s="15">
        <f>CA272</f>
        <v>180000</v>
      </c>
    </row>
    <row r="273" spans="1:235" s="15" customFormat="1" x14ac:dyDescent="0.25">
      <c r="A273" s="31">
        <v>271</v>
      </c>
      <c r="B273" s="1">
        <v>46</v>
      </c>
      <c r="C273" s="1">
        <v>50</v>
      </c>
      <c r="D273" s="15" t="s">
        <v>232</v>
      </c>
      <c r="E273" s="1">
        <v>4</v>
      </c>
      <c r="F273" s="15" t="s">
        <v>1007</v>
      </c>
      <c r="G273" s="15" t="s">
        <v>1006</v>
      </c>
      <c r="H273" s="15" t="s">
        <v>1008</v>
      </c>
      <c r="I273" s="1">
        <v>2000</v>
      </c>
      <c r="J273" s="15" t="s">
        <v>1005</v>
      </c>
      <c r="K273" s="1">
        <v>1998</v>
      </c>
      <c r="L273" s="15" t="s">
        <v>883</v>
      </c>
      <c r="M273" s="15" t="s">
        <v>884</v>
      </c>
      <c r="N273" s="15" t="s">
        <v>478</v>
      </c>
      <c r="O273" s="31">
        <v>3</v>
      </c>
      <c r="P273" s="15">
        <v>56.61</v>
      </c>
      <c r="Q273" s="15">
        <v>-114.46</v>
      </c>
      <c r="U273" s="15" t="s">
        <v>807</v>
      </c>
      <c r="V273" s="31">
        <v>2</v>
      </c>
      <c r="W273" s="16" t="s">
        <v>1149</v>
      </c>
      <c r="Y273" s="1"/>
      <c r="Z273" s="15">
        <v>5.6</v>
      </c>
      <c r="AA273" s="15" t="s">
        <v>573</v>
      </c>
      <c r="AB273" s="15">
        <f t="shared" si="255"/>
        <v>5.6</v>
      </c>
      <c r="AC273" s="1">
        <v>4</v>
      </c>
      <c r="AD273" s="15">
        <f>34*1.74</f>
        <v>59.16</v>
      </c>
      <c r="AJ273" s="15">
        <v>12</v>
      </c>
      <c r="AK273" s="15">
        <v>63</v>
      </c>
      <c r="AL273" s="15">
        <v>25</v>
      </c>
      <c r="AM273" s="1">
        <v>2</v>
      </c>
      <c r="AP273" s="15" t="s">
        <v>1010</v>
      </c>
      <c r="AQ273" s="1">
        <v>2</v>
      </c>
      <c r="AR273" s="1">
        <v>4</v>
      </c>
      <c r="BF273" s="15">
        <v>6.8</v>
      </c>
      <c r="BG273" s="15" t="s">
        <v>888</v>
      </c>
      <c r="BI273" s="15">
        <v>249.3</v>
      </c>
      <c r="BJ273" s="15">
        <v>22.8</v>
      </c>
      <c r="BK273" s="15">
        <v>7</v>
      </c>
      <c r="BL273" s="15">
        <v>21.5</v>
      </c>
      <c r="BP273" s="16"/>
      <c r="BQ273" s="16"/>
      <c r="BR273" s="16"/>
      <c r="BS273" s="15">
        <v>10</v>
      </c>
      <c r="BT273" s="15">
        <f t="shared" si="256"/>
        <v>22500</v>
      </c>
      <c r="BU273" s="15" t="s">
        <v>766</v>
      </c>
      <c r="BY273" s="15">
        <f t="shared" si="257"/>
        <v>22500</v>
      </c>
      <c r="BZ273" s="15">
        <f t="shared" si="258"/>
        <v>20.454545454545453</v>
      </c>
      <c r="CA273" s="15">
        <f t="shared" si="259"/>
        <v>45000</v>
      </c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>
        <f t="shared" si="260"/>
        <v>5.6</v>
      </c>
      <c r="FL273" s="16">
        <f t="shared" si="261"/>
        <v>5.7</v>
      </c>
      <c r="FM273" s="15">
        <v>5.6</v>
      </c>
      <c r="FN273" s="15">
        <f t="shared" si="262"/>
        <v>5.5999999999999994E-2</v>
      </c>
      <c r="FO273" s="15">
        <f>FN273*SQRT(AR273)</f>
        <v>0.11199999999999999</v>
      </c>
      <c r="FP273" s="15">
        <v>5.7</v>
      </c>
      <c r="FQ273" s="15">
        <f t="shared" si="263"/>
        <v>5.7000000000000002E-2</v>
      </c>
      <c r="FR273" s="15">
        <f>FQ273*SQRT(AR273)</f>
        <v>0.114</v>
      </c>
      <c r="FS273" s="15">
        <f t="shared" si="248"/>
        <v>1.017857142857143</v>
      </c>
      <c r="FT273" s="15">
        <f t="shared" si="249"/>
        <v>0.10000000000000053</v>
      </c>
      <c r="FU273" s="15">
        <f t="shared" si="251"/>
        <v>1.7699577099401065E-2</v>
      </c>
      <c r="FV273" s="15">
        <f>((FR273*FR273)/(AR273*FP273*FP273)+(FO273*FO273)/(AR273*FM273*FM273))</f>
        <v>1.9999999999999998E-4</v>
      </c>
      <c r="GI273" s="15">
        <v>59</v>
      </c>
      <c r="GJ273" s="15">
        <f t="shared" si="264"/>
        <v>2.95</v>
      </c>
      <c r="GK273" s="15">
        <f>GJ273*SQRT(AR155)</f>
        <v>5.1095498823281877</v>
      </c>
      <c r="GL273" s="15">
        <v>58.6</v>
      </c>
      <c r="GM273" s="15">
        <f t="shared" si="265"/>
        <v>2.93</v>
      </c>
      <c r="GN273" s="15">
        <f>GM273*SQRT(AR155)</f>
        <v>5.07490886617681</v>
      </c>
      <c r="GO273" s="15">
        <f t="shared" si="266"/>
        <v>0.99322033898305084</v>
      </c>
      <c r="GP273" s="15">
        <f t="shared" si="267"/>
        <v>-0.39999999999999858</v>
      </c>
      <c r="GQ273" s="15">
        <f t="shared" si="268"/>
        <v>-6.8027473227525448E-3</v>
      </c>
      <c r="GR273" s="15">
        <f>((GN273*GN273)/(AR155*GL273*GL273)+(GK273*GK273)/(AR155*GI273*GI273))</f>
        <v>4.9999999999999992E-3</v>
      </c>
      <c r="HY273" s="15">
        <f>BY273</f>
        <v>22500</v>
      </c>
      <c r="HZ273" s="15">
        <f>BZ273</f>
        <v>20.454545454545453</v>
      </c>
      <c r="IA273" s="15">
        <f>CA273</f>
        <v>45000</v>
      </c>
    </row>
    <row r="274" spans="1:235" s="15" customFormat="1" x14ac:dyDescent="0.25">
      <c r="A274" s="31">
        <v>272</v>
      </c>
      <c r="B274" s="1">
        <v>46</v>
      </c>
      <c r="C274" s="1">
        <v>50</v>
      </c>
      <c r="D274" s="15" t="s">
        <v>233</v>
      </c>
      <c r="E274" s="1">
        <v>4</v>
      </c>
      <c r="F274" s="15" t="s">
        <v>1007</v>
      </c>
      <c r="G274" s="15" t="s">
        <v>1006</v>
      </c>
      <c r="H274" s="15" t="s">
        <v>1008</v>
      </c>
      <c r="I274" s="1">
        <v>2000</v>
      </c>
      <c r="J274" s="15" t="s">
        <v>1005</v>
      </c>
      <c r="K274" s="1">
        <v>1998</v>
      </c>
      <c r="L274" s="15" t="s">
        <v>883</v>
      </c>
      <c r="M274" s="15" t="s">
        <v>884</v>
      </c>
      <c r="N274" s="15" t="s">
        <v>478</v>
      </c>
      <c r="O274" s="31">
        <v>3</v>
      </c>
      <c r="P274" s="15">
        <v>56.61</v>
      </c>
      <c r="Q274" s="15">
        <v>-114.46</v>
      </c>
      <c r="U274" s="15" t="s">
        <v>807</v>
      </c>
      <c r="V274" s="31">
        <v>2</v>
      </c>
      <c r="W274" s="16" t="s">
        <v>1149</v>
      </c>
      <c r="Y274" s="1"/>
      <c r="Z274" s="15">
        <v>5.6</v>
      </c>
      <c r="AA274" s="15" t="s">
        <v>573</v>
      </c>
      <c r="AB274" s="15">
        <f t="shared" si="255"/>
        <v>5.6</v>
      </c>
      <c r="AC274" s="1">
        <v>4</v>
      </c>
      <c r="AD274" s="15">
        <f>34*1.74</f>
        <v>59.16</v>
      </c>
      <c r="AJ274" s="15">
        <v>12</v>
      </c>
      <c r="AK274" s="15">
        <v>63</v>
      </c>
      <c r="AL274" s="15">
        <v>25</v>
      </c>
      <c r="AM274" s="1">
        <v>2</v>
      </c>
      <c r="AP274" s="15" t="s">
        <v>1618</v>
      </c>
      <c r="AQ274" s="1">
        <v>2</v>
      </c>
      <c r="AR274" s="1">
        <v>4</v>
      </c>
      <c r="BF274" s="15">
        <v>6.8</v>
      </c>
      <c r="BG274" s="15" t="s">
        <v>888</v>
      </c>
      <c r="BI274" s="15">
        <v>249.3</v>
      </c>
      <c r="BJ274" s="15">
        <v>22.8</v>
      </c>
      <c r="BK274" s="15">
        <v>7</v>
      </c>
      <c r="BL274" s="15">
        <v>21.5</v>
      </c>
      <c r="BP274" s="16"/>
      <c r="BQ274" s="16"/>
      <c r="BR274" s="16"/>
      <c r="BS274" s="15">
        <v>20</v>
      </c>
      <c r="BT274" s="15">
        <f t="shared" si="256"/>
        <v>45000</v>
      </c>
      <c r="BU274" s="15" t="s">
        <v>766</v>
      </c>
      <c r="BY274" s="15">
        <f t="shared" si="257"/>
        <v>45000</v>
      </c>
      <c r="BZ274" s="15">
        <f t="shared" si="258"/>
        <v>40.909090909090907</v>
      </c>
      <c r="CA274" s="15">
        <f t="shared" si="259"/>
        <v>90000</v>
      </c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>
        <f t="shared" si="260"/>
        <v>5.6</v>
      </c>
      <c r="FL274" s="16">
        <f t="shared" si="261"/>
        <v>5.95</v>
      </c>
      <c r="FM274" s="15">
        <v>5.6</v>
      </c>
      <c r="FN274" s="15">
        <f t="shared" si="262"/>
        <v>5.5999999999999994E-2</v>
      </c>
      <c r="FO274" s="15">
        <f>FN274*SQRT(AR274)</f>
        <v>0.11199999999999999</v>
      </c>
      <c r="FP274" s="15">
        <v>5.95</v>
      </c>
      <c r="FQ274" s="15">
        <f t="shared" si="263"/>
        <v>5.9500000000000004E-2</v>
      </c>
      <c r="FR274" s="15">
        <f>FQ274*SQRT(AR274)</f>
        <v>0.11900000000000001</v>
      </c>
      <c r="FS274" s="15">
        <f t="shared" si="248"/>
        <v>1.0625</v>
      </c>
      <c r="FT274" s="15">
        <f t="shared" si="249"/>
        <v>0.35000000000000053</v>
      </c>
      <c r="FU274" s="15">
        <f t="shared" si="251"/>
        <v>6.0624621816434798E-2</v>
      </c>
      <c r="FV274" s="15">
        <f>((FR274*FR274)/(AR274*FP274*FP274)+(FO274*FO274)/(AR274*FM274*FM274))</f>
        <v>1.9999999999999998E-4</v>
      </c>
      <c r="GI274" s="15">
        <v>59</v>
      </c>
      <c r="GJ274" s="15">
        <f t="shared" si="264"/>
        <v>2.95</v>
      </c>
      <c r="GK274" s="15">
        <f>GJ274*SQRT(AR156)</f>
        <v>5.1095498823281877</v>
      </c>
      <c r="GL274" s="15">
        <v>58.6</v>
      </c>
      <c r="GM274" s="15">
        <f t="shared" si="265"/>
        <v>2.93</v>
      </c>
      <c r="GN274" s="15">
        <f>GM274*SQRT(AR156)</f>
        <v>5.07490886617681</v>
      </c>
      <c r="GO274" s="15">
        <f t="shared" si="266"/>
        <v>0.99322033898305084</v>
      </c>
      <c r="GP274" s="15">
        <f t="shared" si="267"/>
        <v>-0.39999999999999858</v>
      </c>
      <c r="GQ274" s="15">
        <f t="shared" si="268"/>
        <v>-6.8027473227525448E-3</v>
      </c>
      <c r="GR274" s="15">
        <f>((GN274*GN274)/(AR156*GL274*GL274)+(GK274*GK274)/(AR156*GI274*GI274))</f>
        <v>4.9999999999999992E-3</v>
      </c>
      <c r="HY274" s="15">
        <f>BY274</f>
        <v>45000</v>
      </c>
      <c r="HZ274" s="15">
        <f>BZ274</f>
        <v>40.909090909090907</v>
      </c>
      <c r="IA274" s="15">
        <f>CA274</f>
        <v>90000</v>
      </c>
    </row>
    <row r="275" spans="1:235" s="15" customFormat="1" x14ac:dyDescent="0.25">
      <c r="A275" s="31">
        <v>273</v>
      </c>
      <c r="B275" s="1">
        <v>46</v>
      </c>
      <c r="C275" s="1">
        <v>50</v>
      </c>
      <c r="D275" s="15" t="s">
        <v>234</v>
      </c>
      <c r="E275" s="1">
        <v>4</v>
      </c>
      <c r="F275" s="15" t="s">
        <v>1007</v>
      </c>
      <c r="G275" s="15" t="s">
        <v>1006</v>
      </c>
      <c r="H275" s="15" t="s">
        <v>1008</v>
      </c>
      <c r="I275" s="1">
        <v>2000</v>
      </c>
      <c r="J275" s="15" t="s">
        <v>1005</v>
      </c>
      <c r="K275" s="1">
        <v>1998</v>
      </c>
      <c r="L275" s="15" t="s">
        <v>883</v>
      </c>
      <c r="M275" s="15" t="s">
        <v>884</v>
      </c>
      <c r="N275" s="15" t="s">
        <v>478</v>
      </c>
      <c r="O275" s="31">
        <v>3</v>
      </c>
      <c r="P275" s="15">
        <v>56.61</v>
      </c>
      <c r="Q275" s="15">
        <v>-114.46</v>
      </c>
      <c r="U275" s="15" t="s">
        <v>807</v>
      </c>
      <c r="V275" s="31">
        <v>2</v>
      </c>
      <c r="W275" s="16" t="s">
        <v>1149</v>
      </c>
      <c r="Y275" s="1"/>
      <c r="Z275" s="15">
        <v>5.6</v>
      </c>
      <c r="AA275" s="15" t="s">
        <v>573</v>
      </c>
      <c r="AB275" s="15">
        <f t="shared" si="255"/>
        <v>5.6</v>
      </c>
      <c r="AC275" s="1">
        <v>4</v>
      </c>
      <c r="AD275" s="15">
        <f>34*1.74</f>
        <v>59.16</v>
      </c>
      <c r="AJ275" s="15">
        <v>12</v>
      </c>
      <c r="AK275" s="15">
        <v>63</v>
      </c>
      <c r="AL275" s="15">
        <v>25</v>
      </c>
      <c r="AM275" s="1">
        <v>2</v>
      </c>
      <c r="AP275" s="15" t="s">
        <v>1010</v>
      </c>
      <c r="AQ275" s="1">
        <v>2</v>
      </c>
      <c r="AR275" s="1">
        <v>4</v>
      </c>
      <c r="BF275" s="15">
        <v>6.8</v>
      </c>
      <c r="BG275" s="15" t="s">
        <v>888</v>
      </c>
      <c r="BI275" s="15">
        <v>249.3</v>
      </c>
      <c r="BJ275" s="15">
        <v>22.8</v>
      </c>
      <c r="BK275" s="15">
        <v>7</v>
      </c>
      <c r="BL275" s="15">
        <v>21.5</v>
      </c>
      <c r="BP275" s="16"/>
      <c r="BQ275" s="16"/>
      <c r="BR275" s="16"/>
      <c r="BS275" s="15">
        <v>30</v>
      </c>
      <c r="BT275" s="15">
        <f t="shared" si="256"/>
        <v>67500</v>
      </c>
      <c r="BU275" s="15" t="s">
        <v>766</v>
      </c>
      <c r="BY275" s="15">
        <f t="shared" si="257"/>
        <v>67500</v>
      </c>
      <c r="BZ275" s="15">
        <f t="shared" si="258"/>
        <v>61.36363636363636</v>
      </c>
      <c r="CA275" s="15">
        <f t="shared" si="259"/>
        <v>135000</v>
      </c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>
        <f t="shared" si="260"/>
        <v>5.6</v>
      </c>
      <c r="FL275" s="16">
        <f t="shared" si="261"/>
        <v>6.09</v>
      </c>
      <c r="FM275" s="15">
        <v>5.6</v>
      </c>
      <c r="FN275" s="15">
        <f t="shared" si="262"/>
        <v>5.5999999999999994E-2</v>
      </c>
      <c r="FO275" s="15">
        <f>FN275*SQRT(AR275)</f>
        <v>0.11199999999999999</v>
      </c>
      <c r="FP275" s="15">
        <v>6.09</v>
      </c>
      <c r="FQ275" s="15">
        <f t="shared" si="263"/>
        <v>6.0900000000000003E-2</v>
      </c>
      <c r="FR275" s="15">
        <f>FQ275*SQRT(AR275)</f>
        <v>0.12180000000000001</v>
      </c>
      <c r="FS275" s="15">
        <f t="shared" si="248"/>
        <v>1.0875000000000001</v>
      </c>
      <c r="FT275" s="15">
        <f t="shared" si="249"/>
        <v>0.49000000000000021</v>
      </c>
      <c r="FU275" s="15">
        <f t="shared" si="251"/>
        <v>8.3881483980702054E-2</v>
      </c>
      <c r="FV275" s="15">
        <f>((FR275*FR275)/(AR275*FP275*FP275)+(FO275*FO275)/(AR275*FM275*FM275))</f>
        <v>2.0000000000000001E-4</v>
      </c>
      <c r="GI275" s="15">
        <v>59</v>
      </c>
      <c r="GJ275" s="15">
        <f t="shared" si="264"/>
        <v>2.95</v>
      </c>
      <c r="GK275" s="15">
        <f>GJ275*SQRT(AR157)</f>
        <v>5.1095498823281877</v>
      </c>
      <c r="GL275" s="15">
        <v>59</v>
      </c>
      <c r="GM275" s="15">
        <f t="shared" si="265"/>
        <v>2.95</v>
      </c>
      <c r="GN275" s="15">
        <f>GM275*SQRT(AR157)</f>
        <v>5.1095498823281877</v>
      </c>
      <c r="GO275" s="15">
        <f t="shared" si="266"/>
        <v>1</v>
      </c>
      <c r="GP275" s="15">
        <f t="shared" si="267"/>
        <v>0</v>
      </c>
      <c r="GQ275" s="15">
        <f t="shared" si="268"/>
        <v>0</v>
      </c>
      <c r="GR275" s="15">
        <f>((GN275*GN275)/(AR157*GL275*GL275)+(GK275*GK275)/(AR157*GI275*GI275))</f>
        <v>4.9999999999999992E-3</v>
      </c>
      <c r="HY275" s="15">
        <f>BY275</f>
        <v>67500</v>
      </c>
      <c r="HZ275" s="15">
        <f>BZ275</f>
        <v>61.36363636363636</v>
      </c>
      <c r="IA275" s="15">
        <f>CA275</f>
        <v>135000</v>
      </c>
    </row>
    <row r="276" spans="1:235" s="15" customFormat="1" x14ac:dyDescent="0.25">
      <c r="A276" s="31">
        <v>274</v>
      </c>
      <c r="B276" s="1">
        <v>46</v>
      </c>
      <c r="C276" s="1">
        <v>50</v>
      </c>
      <c r="D276" s="15" t="s">
        <v>235</v>
      </c>
      <c r="E276" s="1">
        <v>4</v>
      </c>
      <c r="F276" s="15" t="s">
        <v>1007</v>
      </c>
      <c r="G276" s="15" t="s">
        <v>1006</v>
      </c>
      <c r="H276" s="15" t="s">
        <v>1008</v>
      </c>
      <c r="I276" s="1">
        <v>2000</v>
      </c>
      <c r="J276" s="15" t="s">
        <v>1005</v>
      </c>
      <c r="K276" s="1">
        <v>1998</v>
      </c>
      <c r="L276" s="15" t="s">
        <v>883</v>
      </c>
      <c r="M276" s="15" t="s">
        <v>884</v>
      </c>
      <c r="N276" s="15" t="s">
        <v>478</v>
      </c>
      <c r="O276" s="31">
        <v>3</v>
      </c>
      <c r="P276" s="15">
        <v>56.61</v>
      </c>
      <c r="Q276" s="15">
        <v>-114.46</v>
      </c>
      <c r="U276" s="15" t="s">
        <v>807</v>
      </c>
      <c r="V276" s="31">
        <v>2</v>
      </c>
      <c r="W276" s="16" t="s">
        <v>1149</v>
      </c>
      <c r="Y276" s="1"/>
      <c r="Z276" s="15">
        <v>5.6</v>
      </c>
      <c r="AA276" s="15" t="s">
        <v>573</v>
      </c>
      <c r="AB276" s="15">
        <f t="shared" si="255"/>
        <v>5.6</v>
      </c>
      <c r="AC276" s="1">
        <v>4</v>
      </c>
      <c r="AD276" s="15">
        <f>34*1.74</f>
        <v>59.16</v>
      </c>
      <c r="AJ276" s="15">
        <v>12</v>
      </c>
      <c r="AK276" s="15">
        <v>63</v>
      </c>
      <c r="AL276" s="15">
        <v>25</v>
      </c>
      <c r="AM276" s="1">
        <v>2</v>
      </c>
      <c r="AP276" s="15" t="s">
        <v>1010</v>
      </c>
      <c r="AQ276" s="1">
        <v>2</v>
      </c>
      <c r="AR276" s="1">
        <v>4</v>
      </c>
      <c r="BF276" s="15">
        <v>6.8</v>
      </c>
      <c r="BG276" s="15" t="s">
        <v>888</v>
      </c>
      <c r="BI276" s="15">
        <v>249.3</v>
      </c>
      <c r="BJ276" s="15">
        <v>22.8</v>
      </c>
      <c r="BK276" s="15">
        <v>7</v>
      </c>
      <c r="BL276" s="15">
        <v>21.5</v>
      </c>
      <c r="BP276" s="16"/>
      <c r="BQ276" s="16"/>
      <c r="BR276" s="16"/>
      <c r="BS276" s="15">
        <v>40</v>
      </c>
      <c r="BT276" s="15">
        <f t="shared" si="256"/>
        <v>90000</v>
      </c>
      <c r="BU276" s="15" t="s">
        <v>766</v>
      </c>
      <c r="BY276" s="15">
        <f t="shared" si="257"/>
        <v>90000</v>
      </c>
      <c r="BZ276" s="15">
        <f t="shared" si="258"/>
        <v>81.818181818181813</v>
      </c>
      <c r="CA276" s="15">
        <f t="shared" si="259"/>
        <v>180000</v>
      </c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>
        <f t="shared" si="260"/>
        <v>5.6</v>
      </c>
      <c r="FL276" s="16">
        <f t="shared" si="261"/>
        <v>6.23</v>
      </c>
      <c r="FM276" s="15">
        <v>5.6</v>
      </c>
      <c r="FN276" s="15">
        <f t="shared" si="262"/>
        <v>5.5999999999999994E-2</v>
      </c>
      <c r="FO276" s="15">
        <f>FN276*SQRT(AR276)</f>
        <v>0.11199999999999999</v>
      </c>
      <c r="FP276" s="15">
        <v>6.23</v>
      </c>
      <c r="FQ276" s="15">
        <f t="shared" si="263"/>
        <v>6.2300000000000008E-2</v>
      </c>
      <c r="FR276" s="15">
        <f>FQ276*SQRT(AR276)</f>
        <v>0.12460000000000002</v>
      </c>
      <c r="FS276" s="15">
        <f t="shared" si="248"/>
        <v>1.1125</v>
      </c>
      <c r="FT276" s="15">
        <f t="shared" si="249"/>
        <v>0.63000000000000078</v>
      </c>
      <c r="FU276" s="15">
        <f t="shared" si="251"/>
        <v>0.10660973505825821</v>
      </c>
      <c r="FV276" s="15">
        <f>((FR276*FR276)/(AR276*FP276*FP276)+(FO276*FO276)/(AR276*FM276*FM276))</f>
        <v>2.0000000000000001E-4</v>
      </c>
      <c r="GI276" s="15">
        <v>59</v>
      </c>
      <c r="GJ276" s="15">
        <f t="shared" si="264"/>
        <v>2.95</v>
      </c>
      <c r="GK276" s="15">
        <f>GJ276*SQRT(AR158)</f>
        <v>5.1095498823281877</v>
      </c>
      <c r="GL276" s="15">
        <v>58.4</v>
      </c>
      <c r="GM276" s="15">
        <f t="shared" si="265"/>
        <v>2.92</v>
      </c>
      <c r="GN276" s="15">
        <f>GM276*SQRT(AR158)</f>
        <v>5.0575883581011212</v>
      </c>
      <c r="GO276" s="15">
        <f t="shared" si="266"/>
        <v>0.98983050847457621</v>
      </c>
      <c r="GP276" s="15">
        <f t="shared" si="267"/>
        <v>-0.60000000000000142</v>
      </c>
      <c r="GQ276" s="15">
        <f t="shared" si="268"/>
        <v>-1.0221554071538463E-2</v>
      </c>
      <c r="GR276" s="15">
        <f>((GN276*GN276)/(AR158*GL276*GL276)+(GK276*GK276)/(AR158*GI276*GI276))</f>
        <v>4.9999999999999992E-3</v>
      </c>
      <c r="HY276" s="15">
        <f>BY276</f>
        <v>90000</v>
      </c>
      <c r="HZ276" s="15">
        <f>BZ276</f>
        <v>81.818181818181813</v>
      </c>
      <c r="IA276" s="15">
        <f>CA276</f>
        <v>180000</v>
      </c>
    </row>
    <row r="277" spans="1:235" s="15" customFormat="1" x14ac:dyDescent="0.25">
      <c r="A277" s="31">
        <v>275</v>
      </c>
      <c r="B277" s="1">
        <v>47</v>
      </c>
      <c r="C277" s="1">
        <v>51</v>
      </c>
      <c r="D277" s="15" t="s">
        <v>236</v>
      </c>
      <c r="E277" s="1">
        <v>4</v>
      </c>
      <c r="F277" s="15" t="s">
        <v>1019</v>
      </c>
      <c r="G277" s="15" t="s">
        <v>1016</v>
      </c>
      <c r="H277" s="15" t="s">
        <v>1018</v>
      </c>
      <c r="I277" s="1">
        <v>2010</v>
      </c>
      <c r="J277" s="15" t="s">
        <v>1017</v>
      </c>
      <c r="K277" s="1" t="s">
        <v>1022</v>
      </c>
      <c r="L277" s="15" t="s">
        <v>1021</v>
      </c>
      <c r="M277" s="15" t="s">
        <v>480</v>
      </c>
      <c r="N277" s="15" t="s">
        <v>23</v>
      </c>
      <c r="O277" s="31">
        <v>2</v>
      </c>
      <c r="P277" s="15">
        <v>28.26</v>
      </c>
      <c r="Q277" s="15">
        <v>116.34</v>
      </c>
      <c r="S277" s="15">
        <v>1537</v>
      </c>
      <c r="T277" s="15">
        <v>17.5</v>
      </c>
      <c r="U277" s="15" t="s">
        <v>549</v>
      </c>
      <c r="V277" s="31">
        <v>1</v>
      </c>
      <c r="W277" s="16" t="s">
        <v>1173</v>
      </c>
      <c r="X277" s="15" t="s">
        <v>731</v>
      </c>
      <c r="Y277" s="1">
        <v>12</v>
      </c>
      <c r="Z277" s="15">
        <v>5.36</v>
      </c>
      <c r="AA277" s="15" t="s">
        <v>573</v>
      </c>
      <c r="AB277" s="15">
        <f t="shared" si="255"/>
        <v>5.36</v>
      </c>
      <c r="AC277" s="1">
        <v>3</v>
      </c>
      <c r="AD277" s="15">
        <f>8.59*1.74</f>
        <v>14.9466</v>
      </c>
      <c r="AM277" s="1"/>
      <c r="AP277" s="15" t="s">
        <v>697</v>
      </c>
      <c r="AQ277" s="1">
        <v>1</v>
      </c>
      <c r="AR277" s="1">
        <v>3</v>
      </c>
      <c r="BG277" s="15" t="s">
        <v>635</v>
      </c>
      <c r="BP277" s="16"/>
      <c r="BQ277" s="16"/>
      <c r="BR277" s="16"/>
      <c r="BS277" s="15">
        <v>2000</v>
      </c>
      <c r="BT277" s="15">
        <f>BS277</f>
        <v>2000</v>
      </c>
      <c r="BU277" s="15" t="s">
        <v>766</v>
      </c>
      <c r="BY277" s="15">
        <f t="shared" si="257"/>
        <v>2000</v>
      </c>
      <c r="BZ277" s="15">
        <f t="shared" si="258"/>
        <v>1.8181818181818181</v>
      </c>
      <c r="CA277" s="15">
        <f t="shared" si="259"/>
        <v>4000</v>
      </c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>
        <f t="shared" si="260"/>
        <v>5.38</v>
      </c>
      <c r="FL277" s="16">
        <f t="shared" si="261"/>
        <v>5.83</v>
      </c>
      <c r="FM277" s="15">
        <v>5.38</v>
      </c>
      <c r="FN277" s="15">
        <v>0.06</v>
      </c>
      <c r="FO277" s="15">
        <f>FN277*SQRT(AR277)</f>
        <v>0.10392304845413262</v>
      </c>
      <c r="FP277" s="15">
        <v>5.83</v>
      </c>
      <c r="FQ277" s="15">
        <v>0.09</v>
      </c>
      <c r="FR277" s="15">
        <f>FQ277*SQRT(AR277)</f>
        <v>0.15588457268119893</v>
      </c>
      <c r="FS277" s="15">
        <f t="shared" si="248"/>
        <v>1.0836431226765799</v>
      </c>
      <c r="FT277" s="15">
        <f t="shared" si="249"/>
        <v>0.45000000000000018</v>
      </c>
      <c r="FU277" s="15">
        <f t="shared" si="251"/>
        <v>8.0328626188707952E-2</v>
      </c>
      <c r="FV277" s="15">
        <f>((FR277*FR277)/(AR277*FP277*FP277)+(FO277*FO277)/(AR277*FM277*FM277))</f>
        <v>3.6268948693153624E-4</v>
      </c>
      <c r="FX277" s="15">
        <f>10.34*1.74</f>
        <v>17.991599999999998</v>
      </c>
      <c r="FY277" s="15">
        <f>0.55*1.74</f>
        <v>0.95700000000000007</v>
      </c>
      <c r="FZ277" s="15">
        <f>FY277*SQRT(AR277)</f>
        <v>1.6575726228434156</v>
      </c>
      <c r="GA277" s="15">
        <f>11.36*1.74</f>
        <v>19.766399999999997</v>
      </c>
      <c r="GB277" s="15">
        <f>0.09*1.74</f>
        <v>0.15659999999999999</v>
      </c>
      <c r="GC277" s="15">
        <f>GB277*SQRT(AR277)</f>
        <v>0.27123915646528612</v>
      </c>
      <c r="GD277" s="15">
        <f t="shared" ref="GD277:GD293" si="269">GA277/FX277</f>
        <v>1.0986460348162475</v>
      </c>
      <c r="GE277" s="15">
        <f t="shared" ref="GE277:GE293" si="270">GA277-FX277</f>
        <v>1.774799999999999</v>
      </c>
      <c r="GF277" s="15">
        <f t="shared" ref="GF277:GF293" si="271">LN(GA277)-LN(FX277)</f>
        <v>9.4078544212722548E-2</v>
      </c>
      <c r="GG277" s="15">
        <f>((GC277*GC277)/(AR277*GA277*GA277)+(FZ277*FZ277)/(AR277*FX277*FX277))</f>
        <v>2.8921011046898464E-3</v>
      </c>
      <c r="HE277" s="15">
        <v>806.5</v>
      </c>
      <c r="HF277" s="15">
        <v>68.25</v>
      </c>
      <c r="HG277" s="15">
        <f>HF277*SQRT(AR277)</f>
        <v>118.21246761657586</v>
      </c>
      <c r="HH277" s="15">
        <v>3446.25</v>
      </c>
      <c r="HI277" s="15">
        <v>311.5</v>
      </c>
      <c r="HJ277" s="15">
        <f>HI277*SQRT(AR277)</f>
        <v>539.5338265577052</v>
      </c>
      <c r="HK277" s="15">
        <f t="shared" ref="HK277:HK304" si="272">HH277/HE277</f>
        <v>4.2730936143831366</v>
      </c>
      <c r="HL277" s="15">
        <f t="shared" ref="HL277:HL304" si="273">HH277-HE277</f>
        <v>2639.75</v>
      </c>
      <c r="HM277" s="15">
        <f t="shared" ref="HM277:HM304" si="274">LN(HH277)-LN(HE277)</f>
        <v>1.452338064772742</v>
      </c>
      <c r="HN277" s="15">
        <f>((HJ277*HJ277)/(AR166*HH277*HH277)+(HG277*HG277)/(AR166*HE277*HE277))</f>
        <v>1.5331386674758104E-2</v>
      </c>
      <c r="HP277" s="15" t="s">
        <v>766</v>
      </c>
      <c r="HV277" s="15">
        <f t="shared" ref="HV277:HV304" si="275">HX277/HW277/100</f>
        <v>27.541796893038878</v>
      </c>
      <c r="HW277" s="15">
        <f t="shared" ref="HW277:HW304" si="276">HM277</f>
        <v>1.452338064772742</v>
      </c>
      <c r="HX277" s="15">
        <f>CA277</f>
        <v>4000</v>
      </c>
      <c r="HY277" s="15">
        <f>BY277</f>
        <v>2000</v>
      </c>
      <c r="HZ277" s="15">
        <f>BZ277</f>
        <v>1.8181818181818181</v>
      </c>
      <c r="IA277" s="15">
        <f>CA277</f>
        <v>4000</v>
      </c>
    </row>
    <row r="278" spans="1:235" s="15" customFormat="1" x14ac:dyDescent="0.25">
      <c r="A278" s="31">
        <v>276</v>
      </c>
      <c r="B278" s="1">
        <v>47</v>
      </c>
      <c r="C278" s="1">
        <v>51</v>
      </c>
      <c r="D278" s="15" t="s">
        <v>237</v>
      </c>
      <c r="E278" s="1">
        <v>4</v>
      </c>
      <c r="F278" s="15" t="s">
        <v>1020</v>
      </c>
      <c r="G278" s="15" t="s">
        <v>1016</v>
      </c>
      <c r="H278" s="15" t="s">
        <v>1018</v>
      </c>
      <c r="I278" s="1">
        <v>2010</v>
      </c>
      <c r="J278" s="15" t="s">
        <v>1017</v>
      </c>
      <c r="K278" s="1" t="s">
        <v>1023</v>
      </c>
      <c r="L278" s="15" t="s">
        <v>1021</v>
      </c>
      <c r="M278" s="15" t="s">
        <v>480</v>
      </c>
      <c r="N278" s="15" t="s">
        <v>23</v>
      </c>
      <c r="O278" s="31">
        <v>2</v>
      </c>
      <c r="P278" s="15">
        <v>28.26</v>
      </c>
      <c r="Q278" s="15">
        <v>116.34</v>
      </c>
      <c r="S278" s="15">
        <v>1537</v>
      </c>
      <c r="T278" s="15">
        <v>17.5</v>
      </c>
      <c r="U278" s="15" t="s">
        <v>549</v>
      </c>
      <c r="V278" s="31">
        <v>1</v>
      </c>
      <c r="W278" s="16" t="s">
        <v>1173</v>
      </c>
      <c r="X278" s="15" t="s">
        <v>731</v>
      </c>
      <c r="Y278" s="1">
        <v>12</v>
      </c>
      <c r="Z278" s="15">
        <v>5.36</v>
      </c>
      <c r="AA278" s="15" t="s">
        <v>573</v>
      </c>
      <c r="AB278" s="15">
        <f t="shared" si="255"/>
        <v>5.36</v>
      </c>
      <c r="AC278" s="1">
        <v>3</v>
      </c>
      <c r="AD278" s="15">
        <f>8.59*1.74</f>
        <v>14.9466</v>
      </c>
      <c r="AM278" s="1"/>
      <c r="AP278" s="15" t="s">
        <v>697</v>
      </c>
      <c r="AQ278" s="1">
        <v>1</v>
      </c>
      <c r="AR278" s="1">
        <v>3</v>
      </c>
      <c r="BG278" s="15" t="s">
        <v>635</v>
      </c>
      <c r="BP278" s="16"/>
      <c r="BQ278" s="16"/>
      <c r="BR278" s="16"/>
      <c r="BS278" s="15">
        <v>2000</v>
      </c>
      <c r="BT278" s="15">
        <f>BS278</f>
        <v>2000</v>
      </c>
      <c r="BU278" s="15" t="s">
        <v>766</v>
      </c>
      <c r="BY278" s="15">
        <f t="shared" si="257"/>
        <v>2000</v>
      </c>
      <c r="BZ278" s="15">
        <f t="shared" si="258"/>
        <v>1.8181818181818181</v>
      </c>
      <c r="CA278" s="15">
        <f t="shared" si="259"/>
        <v>4000</v>
      </c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>
        <f t="shared" si="260"/>
        <v>5.79</v>
      </c>
      <c r="FL278" s="16">
        <f t="shared" si="261"/>
        <v>5.85</v>
      </c>
      <c r="FM278" s="15">
        <v>5.79</v>
      </c>
      <c r="FN278" s="15">
        <v>0.1</v>
      </c>
      <c r="FO278" s="15">
        <f>FN278*SQRT(AR278)</f>
        <v>0.17320508075688773</v>
      </c>
      <c r="FP278" s="15">
        <v>5.85</v>
      </c>
      <c r="FQ278" s="15">
        <v>0.06</v>
      </c>
      <c r="FR278" s="15">
        <f>FQ278*SQRT(AR278)</f>
        <v>0.10392304845413262</v>
      </c>
      <c r="FS278" s="15">
        <f t="shared" si="248"/>
        <v>1.0103626943005182</v>
      </c>
      <c r="FT278" s="15">
        <f t="shared" si="249"/>
        <v>5.9999999999999609E-2</v>
      </c>
      <c r="FU278" s="15">
        <f t="shared" si="251"/>
        <v>1.03093696588612E-2</v>
      </c>
      <c r="FV278" s="15">
        <f>((FR278*FR278)/(AR278*FP278*FP278)+(FO278*FO278)/(AR278*FM278*FM278))</f>
        <v>4.0348682125332814E-4</v>
      </c>
      <c r="FX278" s="15">
        <f>11.33*1.74</f>
        <v>19.714200000000002</v>
      </c>
      <c r="FY278" s="15">
        <f>0.33*1.74</f>
        <v>0.57420000000000004</v>
      </c>
      <c r="FZ278" s="15">
        <f>FY278*SQRT(AR278)</f>
        <v>0.9945435737060494</v>
      </c>
      <c r="GA278" s="15">
        <f>12.42*1.74</f>
        <v>21.610800000000001</v>
      </c>
      <c r="GB278" s="15">
        <f>0.51*1.74</f>
        <v>0.88739999999999997</v>
      </c>
      <c r="GC278" s="15">
        <f>GB278*SQRT(AR278)</f>
        <v>1.5370218866366216</v>
      </c>
      <c r="GD278" s="15">
        <f t="shared" si="269"/>
        <v>1.0962047661076786</v>
      </c>
      <c r="GE278" s="15">
        <f t="shared" si="270"/>
        <v>1.8965999999999994</v>
      </c>
      <c r="GF278" s="15">
        <f t="shared" si="271"/>
        <v>9.1854001465417667E-2</v>
      </c>
      <c r="GG278" s="15">
        <f>((GC278*GC278)/(AR278*GA278*GA278)+(FZ278*FZ278)/(AR278*FX278*FX278))</f>
        <v>2.5344900207571936E-3</v>
      </c>
      <c r="HE278" s="15">
        <v>3037.5</v>
      </c>
      <c r="HF278" s="15">
        <v>169.75</v>
      </c>
      <c r="HG278" s="15">
        <f>HF278*SQRT(AR278)</f>
        <v>294.01562458481692</v>
      </c>
      <c r="HH278" s="15">
        <v>4695.75</v>
      </c>
      <c r="HI278" s="15">
        <v>133</v>
      </c>
      <c r="HJ278" s="15">
        <f>HI278*SQRT(AR278)</f>
        <v>230.36275740666068</v>
      </c>
      <c r="HK278" s="15">
        <f t="shared" si="272"/>
        <v>1.5459259259259259</v>
      </c>
      <c r="HL278" s="15">
        <f t="shared" si="273"/>
        <v>1658.25</v>
      </c>
      <c r="HM278" s="15">
        <f t="shared" si="274"/>
        <v>0.43562303564472415</v>
      </c>
      <c r="HN278" s="15">
        <f>((HJ278*HJ278)/(AR167*HH278*HH278)+(HG278*HG278)/(AR167*HE278*HE278))</f>
        <v>3.9253276732973035E-3</v>
      </c>
      <c r="HP278" s="15" t="s">
        <v>766</v>
      </c>
      <c r="HV278" s="15">
        <f t="shared" si="275"/>
        <v>91.822508744974456</v>
      </c>
      <c r="HW278" s="15">
        <f t="shared" si="276"/>
        <v>0.43562303564472415</v>
      </c>
      <c r="HX278" s="15">
        <f>CA278</f>
        <v>4000</v>
      </c>
      <c r="HY278" s="15">
        <f>BY278</f>
        <v>2000</v>
      </c>
      <c r="HZ278" s="15">
        <f>BZ278</f>
        <v>1.8181818181818181</v>
      </c>
      <c r="IA278" s="15">
        <f>CA278</f>
        <v>4000</v>
      </c>
    </row>
    <row r="279" spans="1:235" s="15" customFormat="1" x14ac:dyDescent="0.25">
      <c r="A279" s="31">
        <v>277</v>
      </c>
      <c r="B279" s="1">
        <v>48</v>
      </c>
      <c r="C279" s="1">
        <v>52</v>
      </c>
      <c r="D279" s="15" t="s">
        <v>238</v>
      </c>
      <c r="E279" s="1">
        <v>5</v>
      </c>
      <c r="F279" s="15" t="s">
        <v>2344</v>
      </c>
      <c r="G279" s="15" t="s">
        <v>2345</v>
      </c>
      <c r="H279" s="15" t="s">
        <v>839</v>
      </c>
      <c r="I279" s="1">
        <v>2010</v>
      </c>
      <c r="J279" s="15" t="s">
        <v>1024</v>
      </c>
      <c r="K279" s="1" t="s">
        <v>2346</v>
      </c>
      <c r="L279" s="15" t="s">
        <v>2347</v>
      </c>
      <c r="M279" s="15" t="s">
        <v>480</v>
      </c>
      <c r="N279" s="15" t="s">
        <v>23</v>
      </c>
      <c r="O279" s="31">
        <v>3</v>
      </c>
      <c r="P279" s="15">
        <v>35.270000000000003</v>
      </c>
      <c r="Q279" s="15">
        <v>107.5</v>
      </c>
      <c r="R279" s="15">
        <v>1254</v>
      </c>
      <c r="S279" s="15">
        <v>540</v>
      </c>
      <c r="T279" s="15">
        <v>9.8000000000000007</v>
      </c>
      <c r="U279" s="15" t="s">
        <v>549</v>
      </c>
      <c r="V279" s="31">
        <v>1</v>
      </c>
      <c r="W279" s="15" t="s">
        <v>2348</v>
      </c>
      <c r="X279" s="15" t="s">
        <v>729</v>
      </c>
      <c r="Y279" s="61">
        <v>11</v>
      </c>
      <c r="Z279" s="15">
        <v>8.1999999999999993</v>
      </c>
      <c r="AA279" s="15" t="s">
        <v>573</v>
      </c>
      <c r="AB279" s="15">
        <f t="shared" si="255"/>
        <v>8.1999999999999993</v>
      </c>
      <c r="AC279" s="60">
        <v>6</v>
      </c>
      <c r="AD279" s="15">
        <f>6.2*1.74</f>
        <v>10.788</v>
      </c>
      <c r="AM279" s="1"/>
      <c r="AP279" s="15" t="s">
        <v>2349</v>
      </c>
      <c r="AQ279" s="1">
        <v>2</v>
      </c>
      <c r="AR279" s="1">
        <v>3</v>
      </c>
      <c r="DB279" s="15" t="s">
        <v>1028</v>
      </c>
      <c r="DD279" s="15">
        <v>3750</v>
      </c>
      <c r="DE279" s="15">
        <f>DD279</f>
        <v>3750</v>
      </c>
      <c r="DF279" s="15" t="s">
        <v>766</v>
      </c>
      <c r="DJ279" s="15">
        <v>427</v>
      </c>
      <c r="DK279" s="15">
        <v>5.33</v>
      </c>
      <c r="DL279" s="15">
        <v>1.33</v>
      </c>
      <c r="DM279" s="15">
        <v>6.13</v>
      </c>
      <c r="DS279" s="15">
        <f>DE279</f>
        <v>3750</v>
      </c>
      <c r="DT279" s="15">
        <f>DS279/0.6/1000</f>
        <v>6.25</v>
      </c>
      <c r="DU279" s="15">
        <f>DS279*0.2</f>
        <v>750</v>
      </c>
      <c r="FK279" s="16">
        <f t="shared" si="260"/>
        <v>8.18</v>
      </c>
      <c r="FL279" s="16">
        <f t="shared" si="261"/>
        <v>8.0399999999999991</v>
      </c>
      <c r="FM279" s="15">
        <v>8.18</v>
      </c>
      <c r="FN279" s="15">
        <v>0.01</v>
      </c>
      <c r="FO279" s="15">
        <f>FN279*SQRT(AR279)</f>
        <v>1.7320508075688773E-2</v>
      </c>
      <c r="FP279" s="15">
        <v>8.0399999999999991</v>
      </c>
      <c r="FQ279" s="15">
        <v>0.06</v>
      </c>
      <c r="FR279" s="15">
        <f>FQ279*SQRT(AR279)</f>
        <v>0.10392304845413262</v>
      </c>
      <c r="FS279" s="15">
        <f t="shared" si="248"/>
        <v>0.9828850855745721</v>
      </c>
      <c r="FT279" s="15">
        <f t="shared" si="249"/>
        <v>-0.14000000000000057</v>
      </c>
      <c r="FU279" s="15">
        <f t="shared" si="251"/>
        <v>-1.7263067423781031E-2</v>
      </c>
      <c r="FV279" s="15">
        <f>((FR279*FR279)/(AR279*FP279*FP279)+(FO279*FO279)/(AR279*FM279*FM279))</f>
        <v>5.7186182104782267E-5</v>
      </c>
      <c r="FX279" s="15">
        <f>7.52*1.74</f>
        <v>13.0848</v>
      </c>
      <c r="FY279" s="15">
        <f>0.05*1.74</f>
        <v>8.7000000000000008E-2</v>
      </c>
      <c r="FZ279" s="15">
        <f>FY279*SQRT(AR279)</f>
        <v>0.15068842025849233</v>
      </c>
      <c r="GA279" s="15">
        <f>9.98*1.74</f>
        <v>17.365200000000002</v>
      </c>
      <c r="GB279" s="15">
        <f>1.9*1.74</f>
        <v>3.306</v>
      </c>
      <c r="GC279" s="15">
        <f>GB279*SQRT(AR279)</f>
        <v>5.7261599698227084</v>
      </c>
      <c r="GD279" s="15">
        <f t="shared" si="269"/>
        <v>1.3271276595744683</v>
      </c>
      <c r="GE279" s="15">
        <f t="shared" si="270"/>
        <v>4.280400000000002</v>
      </c>
      <c r="GF279" s="15">
        <f t="shared" si="271"/>
        <v>0.28301695236162461</v>
      </c>
      <c r="GG279" s="15">
        <f>((GC279*GC279)/(AR279*GA279*GA279)+(FZ279*FZ279)/(AR279*FX279*FX279))</f>
        <v>3.6289042710290501E-2</v>
      </c>
      <c r="HE279" s="15">
        <v>1600</v>
      </c>
      <c r="HF279" s="15">
        <v>780</v>
      </c>
      <c r="HG279" s="15">
        <f>HF279*SQRT(AR279)</f>
        <v>1350.9996299037241</v>
      </c>
      <c r="HH279" s="15">
        <v>3520</v>
      </c>
      <c r="HI279" s="15">
        <v>1300</v>
      </c>
      <c r="HJ279" s="15">
        <f>HI279*SQRT(AR279)</f>
        <v>2251.6660498395404</v>
      </c>
      <c r="HK279" s="15">
        <f t="shared" si="272"/>
        <v>2.2000000000000002</v>
      </c>
      <c r="HL279" s="15">
        <f t="shared" si="273"/>
        <v>1920</v>
      </c>
      <c r="HM279" s="15">
        <f t="shared" si="274"/>
        <v>0.78845736036427017</v>
      </c>
      <c r="HN279" s="15">
        <f>((HJ279*HJ279)/(AR168*HH279*HH279)+(HG279*HG279)/(AR168*HE279*HE279))</f>
        <v>0.37405216942148756</v>
      </c>
      <c r="HP279" s="15" t="s">
        <v>766</v>
      </c>
      <c r="HV279" s="15">
        <f t="shared" si="275"/>
        <v>9.5122455278177291</v>
      </c>
      <c r="HW279" s="15">
        <f t="shared" si="276"/>
        <v>0.78845736036427017</v>
      </c>
      <c r="HX279" s="15">
        <f>DU279</f>
        <v>750</v>
      </c>
      <c r="HY279" s="15">
        <f t="shared" ref="HY279:IA280" si="277">DS279</f>
        <v>3750</v>
      </c>
      <c r="HZ279" s="15">
        <f t="shared" si="277"/>
        <v>6.25</v>
      </c>
      <c r="IA279" s="15">
        <f t="shared" si="277"/>
        <v>750</v>
      </c>
    </row>
    <row r="280" spans="1:235" s="15" customFormat="1" x14ac:dyDescent="0.25">
      <c r="A280" s="31">
        <v>278</v>
      </c>
      <c r="B280" s="1">
        <v>48</v>
      </c>
      <c r="C280" s="1">
        <v>52</v>
      </c>
      <c r="D280" s="15" t="s">
        <v>239</v>
      </c>
      <c r="E280" s="1">
        <v>5</v>
      </c>
      <c r="F280" s="15" t="s">
        <v>2350</v>
      </c>
      <c r="G280" s="15" t="s">
        <v>2345</v>
      </c>
      <c r="H280" s="15" t="s">
        <v>839</v>
      </c>
      <c r="I280" s="1">
        <v>2010</v>
      </c>
      <c r="J280" s="15" t="s">
        <v>1024</v>
      </c>
      <c r="K280" s="1" t="s">
        <v>1025</v>
      </c>
      <c r="L280" s="15" t="s">
        <v>2347</v>
      </c>
      <c r="M280" s="15" t="s">
        <v>480</v>
      </c>
      <c r="N280" s="15" t="s">
        <v>23</v>
      </c>
      <c r="O280" s="31">
        <v>3</v>
      </c>
      <c r="P280" s="15">
        <v>35.270000000000003</v>
      </c>
      <c r="Q280" s="15">
        <v>107.5</v>
      </c>
      <c r="R280" s="15">
        <v>1254</v>
      </c>
      <c r="S280" s="15">
        <v>540</v>
      </c>
      <c r="T280" s="15">
        <v>9.8000000000000007</v>
      </c>
      <c r="U280" s="15" t="s">
        <v>549</v>
      </c>
      <c r="V280" s="31">
        <v>1</v>
      </c>
      <c r="W280" s="15" t="s">
        <v>2348</v>
      </c>
      <c r="X280" s="15" t="s">
        <v>729</v>
      </c>
      <c r="Y280" s="61">
        <v>11</v>
      </c>
      <c r="Z280" s="15">
        <v>8.1999999999999993</v>
      </c>
      <c r="AA280" s="15" t="s">
        <v>573</v>
      </c>
      <c r="AB280" s="15">
        <f t="shared" si="255"/>
        <v>8.1999999999999993</v>
      </c>
      <c r="AC280" s="60">
        <v>6</v>
      </c>
      <c r="AD280" s="15">
        <f>6.2*1.74</f>
        <v>10.788</v>
      </c>
      <c r="AM280" s="1"/>
      <c r="AP280" s="15" t="s">
        <v>1027</v>
      </c>
      <c r="AQ280" s="1">
        <v>2</v>
      </c>
      <c r="AR280" s="1">
        <v>3</v>
      </c>
      <c r="DB280" s="15" t="s">
        <v>1028</v>
      </c>
      <c r="DD280" s="15">
        <v>3750</v>
      </c>
      <c r="DE280" s="15">
        <f>DD280</f>
        <v>3750</v>
      </c>
      <c r="DF280" s="15" t="s">
        <v>766</v>
      </c>
      <c r="DJ280" s="15">
        <v>427</v>
      </c>
      <c r="DK280" s="15">
        <v>5.33</v>
      </c>
      <c r="DL280" s="15">
        <v>1.33</v>
      </c>
      <c r="DM280" s="15">
        <v>6.13</v>
      </c>
      <c r="DS280" s="15">
        <f>DE280</f>
        <v>3750</v>
      </c>
      <c r="DT280" s="15">
        <f>DS280/0.6/1000</f>
        <v>6.25</v>
      </c>
      <c r="DU280" s="15">
        <f>DS280*0.2</f>
        <v>750</v>
      </c>
      <c r="FK280" s="16">
        <f t="shared" si="260"/>
        <v>7.88</v>
      </c>
      <c r="FL280" s="16">
        <f t="shared" si="261"/>
        <v>7.98</v>
      </c>
      <c r="FM280" s="15">
        <v>7.88</v>
      </c>
      <c r="FN280" s="15">
        <v>7.0000000000000007E-2</v>
      </c>
      <c r="FO280" s="15">
        <f>FN280*SQRT(AR280)</f>
        <v>0.12124355652982141</v>
      </c>
      <c r="FP280" s="15">
        <v>7.98</v>
      </c>
      <c r="FQ280" s="15">
        <v>0.04</v>
      </c>
      <c r="FR280" s="15">
        <f>FQ280*SQRT(AR280)</f>
        <v>6.9282032302755092E-2</v>
      </c>
      <c r="FS280" s="15">
        <f t="shared" si="248"/>
        <v>1.0126903553299493</v>
      </c>
      <c r="FT280" s="15">
        <f t="shared" si="249"/>
        <v>0.10000000000000053</v>
      </c>
      <c r="FU280" s="15">
        <f t="shared" si="251"/>
        <v>1.2610507591929387E-2</v>
      </c>
      <c r="FV280" s="15">
        <f>((FR280*FR280)/(AR280*FP280*FP280)+(FO280*FO280)/(AR280*FM280*FM280))</f>
        <v>1.0403757833357932E-4</v>
      </c>
      <c r="FX280" s="15">
        <f>7.66*1.74</f>
        <v>13.3284</v>
      </c>
      <c r="FY280" s="15">
        <f>0.38*1.74</f>
        <v>0.66120000000000001</v>
      </c>
      <c r="FZ280" s="15">
        <f>FY280*SQRT(AR280)</f>
        <v>1.1452319939645417</v>
      </c>
      <c r="GA280" s="15">
        <f>9.25*1.74</f>
        <v>16.094999999999999</v>
      </c>
      <c r="GB280" s="15">
        <f>0.14*1.74</f>
        <v>0.24360000000000001</v>
      </c>
      <c r="GC280" s="15">
        <f>GB280*SQRT(AR280)</f>
        <v>0.42192757672377851</v>
      </c>
      <c r="GD280" s="15">
        <f t="shared" si="269"/>
        <v>1.2075718015665795</v>
      </c>
      <c r="GE280" s="15">
        <f t="shared" si="270"/>
        <v>2.7665999999999986</v>
      </c>
      <c r="GF280" s="15">
        <f t="shared" si="271"/>
        <v>0.18861156777183385</v>
      </c>
      <c r="GG280" s="15">
        <f>((GC280*GC280)/(AR280*GA280*GA280)+(FZ280*FZ280)/(AR280*FX280*FX280))</f>
        <v>2.690061210431628E-3</v>
      </c>
      <c r="HE280" s="15">
        <v>3920</v>
      </c>
      <c r="HF280" s="15">
        <v>1410</v>
      </c>
      <c r="HG280" s="15">
        <f>HF280*SQRT(AR280)</f>
        <v>2442.1916386721168</v>
      </c>
      <c r="HH280" s="15">
        <v>4120</v>
      </c>
      <c r="HI280" s="15">
        <v>1180</v>
      </c>
      <c r="HJ280" s="15">
        <f>HI280*SQRT(AR280)</f>
        <v>2043.8199529312751</v>
      </c>
      <c r="HK280" s="15">
        <f t="shared" si="272"/>
        <v>1.0510204081632653</v>
      </c>
      <c r="HL280" s="15">
        <f t="shared" si="273"/>
        <v>200</v>
      </c>
      <c r="HM280" s="15">
        <f t="shared" si="274"/>
        <v>4.9761509559063555E-2</v>
      </c>
      <c r="HN280" s="15">
        <f>((HJ280*HJ280)/(AR169*HH280*HH280)+(HG280*HG280)/(AR169*HE280*HE280))</f>
        <v>0.21140909454005341</v>
      </c>
      <c r="HP280" s="15" t="s">
        <v>766</v>
      </c>
      <c r="HV280" s="15">
        <f t="shared" si="275"/>
        <v>150.71890033999082</v>
      </c>
      <c r="HW280" s="15">
        <f t="shared" si="276"/>
        <v>4.9761509559063555E-2</v>
      </c>
      <c r="HX280" s="15">
        <f>DU280</f>
        <v>750</v>
      </c>
      <c r="HY280" s="15">
        <f t="shared" si="277"/>
        <v>3750</v>
      </c>
      <c r="HZ280" s="15">
        <f t="shared" si="277"/>
        <v>6.25</v>
      </c>
      <c r="IA280" s="15">
        <f t="shared" si="277"/>
        <v>750</v>
      </c>
    </row>
    <row r="281" spans="1:235" s="15" customFormat="1" x14ac:dyDescent="0.25">
      <c r="A281" s="31">
        <v>279</v>
      </c>
      <c r="B281" s="1">
        <v>48</v>
      </c>
      <c r="C281" s="1">
        <v>52</v>
      </c>
      <c r="D281" s="15" t="s">
        <v>240</v>
      </c>
      <c r="E281" s="1">
        <v>4</v>
      </c>
      <c r="F281" s="15" t="s">
        <v>2351</v>
      </c>
      <c r="G281" s="15" t="s">
        <v>2345</v>
      </c>
      <c r="H281" s="15" t="s">
        <v>839</v>
      </c>
      <c r="I281" s="1">
        <v>2011</v>
      </c>
      <c r="J281" s="15" t="s">
        <v>1024</v>
      </c>
      <c r="K281" s="1" t="s">
        <v>1026</v>
      </c>
      <c r="L281" s="15" t="s">
        <v>2347</v>
      </c>
      <c r="M281" s="15" t="s">
        <v>480</v>
      </c>
      <c r="N281" s="15" t="s">
        <v>23</v>
      </c>
      <c r="O281" s="31">
        <v>3</v>
      </c>
      <c r="P281" s="15">
        <v>35.270000000000003</v>
      </c>
      <c r="Q281" s="15">
        <v>107.5</v>
      </c>
      <c r="R281" s="15">
        <v>1254</v>
      </c>
      <c r="S281" s="15">
        <v>540</v>
      </c>
      <c r="T281" s="15">
        <v>9.8000000000000007</v>
      </c>
      <c r="U281" s="15" t="s">
        <v>549</v>
      </c>
      <c r="V281" s="31">
        <v>1</v>
      </c>
      <c r="W281" s="15" t="s">
        <v>2348</v>
      </c>
      <c r="X281" s="15" t="s">
        <v>729</v>
      </c>
      <c r="Y281" s="61">
        <v>11</v>
      </c>
      <c r="Z281" s="15">
        <v>9.1999999999999993</v>
      </c>
      <c r="AA281" s="15" t="s">
        <v>573</v>
      </c>
      <c r="AB281" s="15">
        <f t="shared" si="255"/>
        <v>9.1999999999999993</v>
      </c>
      <c r="AC281" s="60">
        <v>6</v>
      </c>
      <c r="AD281" s="15">
        <f>6.2*1.74</f>
        <v>10.788</v>
      </c>
      <c r="AM281" s="1"/>
      <c r="AP281" s="15" t="s">
        <v>1027</v>
      </c>
      <c r="AQ281" s="1">
        <v>2</v>
      </c>
      <c r="AR281" s="1">
        <v>3</v>
      </c>
      <c r="BG281" s="15" t="s">
        <v>2352</v>
      </c>
      <c r="BI281" s="15">
        <v>11.7</v>
      </c>
      <c r="BJ281" s="15">
        <v>1.07</v>
      </c>
      <c r="BK281" s="15">
        <v>0.69</v>
      </c>
      <c r="BL281" s="15">
        <v>12.3</v>
      </c>
      <c r="BS281" s="15">
        <v>3518</v>
      </c>
      <c r="BT281" s="15">
        <f>BS281</f>
        <v>3518</v>
      </c>
      <c r="BU281" s="15" t="s">
        <v>766</v>
      </c>
      <c r="BY281" s="15">
        <f>BT281</f>
        <v>3518</v>
      </c>
      <c r="BZ281" s="15">
        <f>BY281/1.1/1000</f>
        <v>3.1981818181818182</v>
      </c>
      <c r="CA281" s="15">
        <f>BY281*2</f>
        <v>7036</v>
      </c>
      <c r="FK281" s="16">
        <f t="shared" si="260"/>
        <v>7.88</v>
      </c>
      <c r="FL281" s="16">
        <f t="shared" si="261"/>
        <v>8.09</v>
      </c>
      <c r="FM281" s="15">
        <v>7.88</v>
      </c>
      <c r="FN281" s="15">
        <v>7.0000000000000007E-2</v>
      </c>
      <c r="FO281" s="15">
        <f>FN281*SQRT(AR281)</f>
        <v>0.12124355652982141</v>
      </c>
      <c r="FP281" s="15">
        <v>8.09</v>
      </c>
      <c r="FQ281" s="15">
        <v>0.04</v>
      </c>
      <c r="FR281" s="15">
        <f>FQ281*SQRT(AR281)</f>
        <v>6.9282032302755092E-2</v>
      </c>
      <c r="FS281" s="15">
        <f t="shared" si="248"/>
        <v>1.0266497461928934</v>
      </c>
      <c r="FT281" s="15">
        <f t="shared" si="249"/>
        <v>0.20999999999999996</v>
      </c>
      <c r="FU281" s="15">
        <f t="shared" si="251"/>
        <v>2.6300827200612442E-2</v>
      </c>
      <c r="FV281" s="15">
        <f>((FR281*FR281)/(AR281*FP281*FP281)+(FO281*FO281)/(AR281*FM281*FM281))</f>
        <v>1.0335895979644739E-4</v>
      </c>
      <c r="FX281" s="15">
        <f>7.66*1.74</f>
        <v>13.3284</v>
      </c>
      <c r="FY281" s="15">
        <f>0.38*1.74</f>
        <v>0.66120000000000001</v>
      </c>
      <c r="FZ281" s="15">
        <f>FY281*SQRT(AR281)</f>
        <v>1.1452319939645417</v>
      </c>
      <c r="GA281" s="15">
        <f>10.52*1.74</f>
        <v>18.3048</v>
      </c>
      <c r="GB281" s="15">
        <f>1.52*1.74</f>
        <v>2.6448</v>
      </c>
      <c r="GC281" s="15">
        <f>GB281*SQRT(AR281)</f>
        <v>4.5809279758581667</v>
      </c>
      <c r="GD281" s="15">
        <f t="shared" si="269"/>
        <v>1.3733681462140992</v>
      </c>
      <c r="GE281" s="15">
        <f t="shared" si="270"/>
        <v>4.9763999999999999</v>
      </c>
      <c r="GF281" s="15">
        <f t="shared" si="271"/>
        <v>0.31726622355706402</v>
      </c>
      <c r="GG281" s="15">
        <f>((GC281*GC281)/(AR281*GA281*GA281)+(FZ281*FZ281)/(AR281*FX281*FX281))</f>
        <v>2.3337393064370722E-2</v>
      </c>
      <c r="HE281" s="15">
        <v>3920</v>
      </c>
      <c r="HF281" s="15">
        <v>1410</v>
      </c>
      <c r="HG281" s="15">
        <f>HF281*SQRT(AR281)</f>
        <v>2442.1916386721168</v>
      </c>
      <c r="HH281" s="15">
        <v>4620</v>
      </c>
      <c r="HI281" s="15">
        <v>1540</v>
      </c>
      <c r="HJ281" s="15">
        <f>HI281*SQRT(AR281)</f>
        <v>2667.358243656071</v>
      </c>
      <c r="HK281" s="15">
        <f t="shared" si="272"/>
        <v>1.1785714285714286</v>
      </c>
      <c r="HL281" s="15">
        <f t="shared" si="273"/>
        <v>700</v>
      </c>
      <c r="HM281" s="15">
        <f t="shared" si="274"/>
        <v>0.16430305129127554</v>
      </c>
      <c r="HN281" s="15">
        <f>((HJ281*HJ281)/(AR170*HH281*HH281)+(HG281*HG281)/(AR170*HE281*HE281))</f>
        <v>0.24049079665879955</v>
      </c>
      <c r="HP281" s="15" t="s">
        <v>766</v>
      </c>
      <c r="HV281" s="15">
        <f t="shared" si="275"/>
        <v>428.23306960542192</v>
      </c>
      <c r="HW281" s="15">
        <f t="shared" si="276"/>
        <v>0.16430305129127554</v>
      </c>
      <c r="HX281" s="15">
        <f>CA281</f>
        <v>7036</v>
      </c>
      <c r="HY281" s="15">
        <f>BY281</f>
        <v>3518</v>
      </c>
      <c r="HZ281" s="15">
        <f>BZ281</f>
        <v>3.1981818181818182</v>
      </c>
      <c r="IA281" s="15">
        <f>CA281</f>
        <v>7036</v>
      </c>
    </row>
    <row r="282" spans="1:235" s="15" customFormat="1" x14ac:dyDescent="0.25">
      <c r="A282" s="31">
        <v>280</v>
      </c>
      <c r="B282" s="1">
        <v>49</v>
      </c>
      <c r="C282" s="1">
        <v>53</v>
      </c>
      <c r="D282" s="15" t="s">
        <v>241</v>
      </c>
      <c r="E282" s="1">
        <v>4</v>
      </c>
      <c r="F282" s="15" t="s">
        <v>2353</v>
      </c>
      <c r="G282" s="15" t="s">
        <v>2354</v>
      </c>
      <c r="H282" s="15" t="s">
        <v>930</v>
      </c>
      <c r="I282" s="1">
        <v>2018</v>
      </c>
      <c r="J282" s="15" t="s">
        <v>1029</v>
      </c>
      <c r="K282" s="1" t="s">
        <v>2355</v>
      </c>
      <c r="L282" s="15" t="s">
        <v>2356</v>
      </c>
      <c r="M282" s="15" t="s">
        <v>480</v>
      </c>
      <c r="N282" s="15" t="s">
        <v>23</v>
      </c>
      <c r="O282" s="31">
        <v>2</v>
      </c>
      <c r="P282" s="15">
        <v>35.18</v>
      </c>
      <c r="Q282" s="15">
        <v>113.68</v>
      </c>
      <c r="S282" s="15">
        <v>656.3</v>
      </c>
      <c r="T282" s="15">
        <v>14</v>
      </c>
      <c r="U282" s="15" t="s">
        <v>549</v>
      </c>
      <c r="V282" s="31">
        <v>1</v>
      </c>
      <c r="W282" s="15" t="s">
        <v>1171</v>
      </c>
      <c r="X282" s="15" t="s">
        <v>2357</v>
      </c>
      <c r="Y282" s="61">
        <v>11</v>
      </c>
      <c r="AC282" s="1"/>
      <c r="AD282" s="15">
        <v>18.12</v>
      </c>
      <c r="AM282" s="1"/>
      <c r="AQ282" s="1"/>
      <c r="AR282" s="1">
        <v>3</v>
      </c>
      <c r="BG282" s="15" t="s">
        <v>635</v>
      </c>
      <c r="BI282" s="15">
        <v>140.5</v>
      </c>
      <c r="BJ282" s="15">
        <v>20.7</v>
      </c>
      <c r="BS282" s="15">
        <v>7500</v>
      </c>
      <c r="BT282" s="15">
        <f>BS282</f>
        <v>7500</v>
      </c>
      <c r="BU282" s="15" t="s">
        <v>766</v>
      </c>
      <c r="BY282" s="15">
        <f>BT282</f>
        <v>7500</v>
      </c>
      <c r="BZ282" s="15">
        <f>BY282/1.1/1000</f>
        <v>6.8181818181818183</v>
      </c>
      <c r="CA282" s="15">
        <f>BY282*2</f>
        <v>15000</v>
      </c>
      <c r="FX282" s="15">
        <f>(12.05+12.83+13.61+12.67+12.73+13.66+13.72+13.35)*1.74/8</f>
        <v>22.754849999999998</v>
      </c>
      <c r="FY282" s="15">
        <f>9*1.74</f>
        <v>15.66</v>
      </c>
      <c r="FZ282" s="15">
        <f>FY282*SQRT(AR282)</f>
        <v>27.123915646528616</v>
      </c>
      <c r="GA282" s="15">
        <f>13.6*1.74</f>
        <v>23.663999999999998</v>
      </c>
      <c r="GB282" s="15">
        <v>1.64</v>
      </c>
      <c r="GC282" s="15">
        <f>GB282*SQRT(AR282)</f>
        <v>2.8405633244129582</v>
      </c>
      <c r="GD282" s="15">
        <f t="shared" si="269"/>
        <v>1.039954119671191</v>
      </c>
      <c r="GE282" s="15">
        <f t="shared" si="270"/>
        <v>0.90915000000000035</v>
      </c>
      <c r="GF282" s="15">
        <f t="shared" si="271"/>
        <v>3.9176596479377324E-2</v>
      </c>
      <c r="GG282" s="15">
        <f>((GC282*GC282)/(AR282*GA282*GA282)+(FZ282*FZ282)/(AR282*FX282*FX282))</f>
        <v>0.47842901530168702</v>
      </c>
      <c r="HE282" s="15">
        <v>7064</v>
      </c>
      <c r="HF282" s="15">
        <f>HE282*0.065</f>
        <v>459.16</v>
      </c>
      <c r="HG282" s="15">
        <f>HF282*SQRT(AR282)</f>
        <v>795.28844880332565</v>
      </c>
      <c r="HH282" s="15">
        <v>8304</v>
      </c>
      <c r="HI282" s="15">
        <f>HH282*0.0497</f>
        <v>412.7088</v>
      </c>
      <c r="HJ282" s="15">
        <f>HI282*SQRT(AR282)</f>
        <v>714.83261033078225</v>
      </c>
      <c r="HK282" s="15">
        <f t="shared" si="272"/>
        <v>1.175537938844847</v>
      </c>
      <c r="HL282" s="15">
        <f t="shared" si="273"/>
        <v>1240</v>
      </c>
      <c r="HM282" s="15">
        <f t="shared" si="274"/>
        <v>0.1617258631218732</v>
      </c>
      <c r="HN282" s="15">
        <f>((HJ282*HJ282)/(AR171*HH282*HH282)+(HG282*HG282)/(AR171*HE282*HE282))</f>
        <v>6.695089999999999E-3</v>
      </c>
      <c r="HP282" s="15" t="s">
        <v>766</v>
      </c>
      <c r="HV282" s="15">
        <f t="shared" si="275"/>
        <v>927.49543644088112</v>
      </c>
      <c r="HW282" s="15">
        <f t="shared" si="276"/>
        <v>0.1617258631218732</v>
      </c>
      <c r="HX282" s="15">
        <f>CA282</f>
        <v>15000</v>
      </c>
      <c r="HY282" s="15">
        <f>BY282</f>
        <v>7500</v>
      </c>
      <c r="HZ282" s="15">
        <f>BZ282</f>
        <v>6.8181818181818183</v>
      </c>
      <c r="IA282" s="15">
        <f>CA282</f>
        <v>15000</v>
      </c>
    </row>
    <row r="283" spans="1:235" s="15" customFormat="1" x14ac:dyDescent="0.25">
      <c r="A283" s="31">
        <v>281</v>
      </c>
      <c r="B283" s="1">
        <v>49</v>
      </c>
      <c r="C283" s="1">
        <v>53</v>
      </c>
      <c r="D283" s="15" t="s">
        <v>242</v>
      </c>
      <c r="E283" s="1">
        <v>5</v>
      </c>
      <c r="F283" s="15" t="s">
        <v>2358</v>
      </c>
      <c r="G283" s="15" t="s">
        <v>2354</v>
      </c>
      <c r="H283" s="15" t="s">
        <v>930</v>
      </c>
      <c r="I283" s="1">
        <v>2018</v>
      </c>
      <c r="J283" s="15" t="s">
        <v>1029</v>
      </c>
      <c r="K283" s="1" t="s">
        <v>2355</v>
      </c>
      <c r="L283" s="15" t="s">
        <v>2356</v>
      </c>
      <c r="M283" s="15" t="s">
        <v>480</v>
      </c>
      <c r="N283" s="15" t="s">
        <v>23</v>
      </c>
      <c r="O283" s="31">
        <v>2</v>
      </c>
      <c r="P283" s="15">
        <v>35.18</v>
      </c>
      <c r="Q283" s="15">
        <v>113.68</v>
      </c>
      <c r="S283" s="15">
        <v>656.3</v>
      </c>
      <c r="T283" s="15">
        <v>14</v>
      </c>
      <c r="U283" s="15" t="s">
        <v>549</v>
      </c>
      <c r="V283" s="31">
        <v>1</v>
      </c>
      <c r="W283" s="15" t="s">
        <v>1171</v>
      </c>
      <c r="X283" s="15" t="s">
        <v>2357</v>
      </c>
      <c r="Y283" s="61">
        <v>11</v>
      </c>
      <c r="AC283" s="1"/>
      <c r="AD283" s="15">
        <v>18.12</v>
      </c>
      <c r="AM283" s="1"/>
      <c r="AQ283" s="1"/>
      <c r="AR283" s="1">
        <v>3</v>
      </c>
      <c r="DB283" s="15" t="s">
        <v>2359</v>
      </c>
      <c r="DD283" s="15" t="s">
        <v>2360</v>
      </c>
      <c r="DE283" s="15">
        <f>7064*1.2</f>
        <v>8476.7999999999993</v>
      </c>
      <c r="DF283" s="15" t="s">
        <v>766</v>
      </c>
      <c r="DJ283" s="15">
        <v>434</v>
      </c>
      <c r="DK283" s="15">
        <v>9.25</v>
      </c>
      <c r="DS283" s="15">
        <f>DE283</f>
        <v>8476.7999999999993</v>
      </c>
      <c r="DT283" s="15">
        <f>DS283/0.6/1000</f>
        <v>14.128</v>
      </c>
      <c r="DU283" s="15">
        <f>DS283*0.2</f>
        <v>1695.36</v>
      </c>
      <c r="FX283" s="15">
        <f>(12.05+12.83+13.61+12.67+12.73+13.66+13.72+13.35)*1.74/8</f>
        <v>22.754849999999998</v>
      </c>
      <c r="FY283" s="15">
        <f>9*1.74</f>
        <v>15.66</v>
      </c>
      <c r="FZ283" s="15">
        <f>FY283*SQRT(AR283)</f>
        <v>27.123915646528616</v>
      </c>
      <c r="GA283" s="15">
        <f>15.01*1.74</f>
        <v>26.1174</v>
      </c>
      <c r="GB283" s="15">
        <v>1.74</v>
      </c>
      <c r="GC283" s="15">
        <f>GB283*SQRT(AR283)</f>
        <v>3.0137684051698463</v>
      </c>
      <c r="GD283" s="15">
        <f t="shared" si="269"/>
        <v>1.1477728923723955</v>
      </c>
      <c r="GE283" s="15">
        <f t="shared" si="270"/>
        <v>3.3625500000000024</v>
      </c>
      <c r="GF283" s="15">
        <f t="shared" si="271"/>
        <v>0.13782344938274171</v>
      </c>
      <c r="GG283" s="15">
        <f>((GC283*GC283)/(AR283*GA283*GA283)+(FZ283*FZ283)/(AR283*FX283*FX283))</f>
        <v>0.47806455305459888</v>
      </c>
      <c r="HE283" s="15">
        <v>7064</v>
      </c>
      <c r="HF283" s="15">
        <f>HE283*0.065</f>
        <v>459.16</v>
      </c>
      <c r="HG283" s="15">
        <f>HF283*SQRT(AR283)</f>
        <v>795.28844880332565</v>
      </c>
      <c r="HH283" s="15">
        <v>8551</v>
      </c>
      <c r="HI283" s="15">
        <f>HH283*0.0496</f>
        <v>424.12959999999998</v>
      </c>
      <c r="HJ283" s="15">
        <f>HI283*SQRT(AR283)</f>
        <v>734.61401619386481</v>
      </c>
      <c r="HK283" s="15">
        <f t="shared" si="272"/>
        <v>1.2105039637599093</v>
      </c>
      <c r="HL283" s="15">
        <f t="shared" si="273"/>
        <v>1487</v>
      </c>
      <c r="HM283" s="15">
        <f t="shared" si="274"/>
        <v>0.19103677187215951</v>
      </c>
      <c r="HN283" s="15">
        <f>((HJ283*HJ283)/(AR172*HH283*HH283)+(HG283*HG283)/(AR172*HE283*HE283))</f>
        <v>6.685159999999999E-3</v>
      </c>
      <c r="HP283" s="15" t="s">
        <v>766</v>
      </c>
      <c r="HV283" s="15">
        <f t="shared" si="275"/>
        <v>88.745218178965203</v>
      </c>
      <c r="HW283" s="15">
        <f t="shared" si="276"/>
        <v>0.19103677187215951</v>
      </c>
      <c r="HX283" s="15">
        <f>DU283</f>
        <v>1695.36</v>
      </c>
      <c r="HY283" s="15">
        <f>DS283</f>
        <v>8476.7999999999993</v>
      </c>
      <c r="HZ283" s="15">
        <f>DT283</f>
        <v>14.128</v>
      </c>
      <c r="IA283" s="15">
        <f>DU283</f>
        <v>1695.36</v>
      </c>
    </row>
    <row r="284" spans="1:235" s="15" customFormat="1" x14ac:dyDescent="0.25">
      <c r="A284" s="31">
        <v>282</v>
      </c>
      <c r="B284" s="1">
        <v>49</v>
      </c>
      <c r="C284" s="1">
        <v>53</v>
      </c>
      <c r="D284" s="15" t="s">
        <v>243</v>
      </c>
      <c r="E284" s="1">
        <v>6</v>
      </c>
      <c r="F284" s="15" t="s">
        <v>2361</v>
      </c>
      <c r="G284" s="15" t="s">
        <v>2354</v>
      </c>
      <c r="H284" s="15" t="s">
        <v>930</v>
      </c>
      <c r="I284" s="1">
        <v>2018</v>
      </c>
      <c r="J284" s="15" t="s">
        <v>1029</v>
      </c>
      <c r="K284" s="1" t="s">
        <v>2355</v>
      </c>
      <c r="L284" s="15" t="s">
        <v>2356</v>
      </c>
      <c r="M284" s="15" t="s">
        <v>480</v>
      </c>
      <c r="N284" s="15" t="s">
        <v>23</v>
      </c>
      <c r="O284" s="31">
        <v>2</v>
      </c>
      <c r="P284" s="15">
        <v>35.18</v>
      </c>
      <c r="Q284" s="15">
        <v>113.68</v>
      </c>
      <c r="S284" s="15">
        <v>656.3</v>
      </c>
      <c r="T284" s="15">
        <v>14</v>
      </c>
      <c r="U284" s="15" t="s">
        <v>549</v>
      </c>
      <c r="V284" s="31">
        <v>1</v>
      </c>
      <c r="W284" s="15" t="s">
        <v>1171</v>
      </c>
      <c r="X284" s="15" t="s">
        <v>2357</v>
      </c>
      <c r="Y284" s="61">
        <v>11</v>
      </c>
      <c r="AC284" s="1"/>
      <c r="AD284" s="15">
        <v>18.12</v>
      </c>
      <c r="AM284" s="1"/>
      <c r="AQ284" s="1"/>
      <c r="AR284" s="1">
        <v>3</v>
      </c>
      <c r="BG284" s="15" t="s">
        <v>635</v>
      </c>
      <c r="BI284" s="15">
        <v>140.5</v>
      </c>
      <c r="BJ284" s="15">
        <v>20.7</v>
      </c>
      <c r="BS284" s="15">
        <v>7500</v>
      </c>
      <c r="BT284" s="15">
        <f t="shared" ref="BT284:BT289" si="278">BS284</f>
        <v>7500</v>
      </c>
      <c r="BU284" s="15" t="s">
        <v>766</v>
      </c>
      <c r="BY284" s="15">
        <f t="shared" ref="BY284:BY289" si="279">BT284</f>
        <v>7500</v>
      </c>
      <c r="BZ284" s="15">
        <f t="shared" ref="BZ284:BZ289" si="280">BY284/1.1/1000</f>
        <v>6.8181818181818183</v>
      </c>
      <c r="CA284" s="15">
        <f t="shared" ref="CA284:CA289" si="281">BY284*2</f>
        <v>15000</v>
      </c>
      <c r="DB284" s="15" t="s">
        <v>2359</v>
      </c>
      <c r="DD284" s="15" t="s">
        <v>2360</v>
      </c>
      <c r="DE284" s="15">
        <f>7064*1.2</f>
        <v>8476.7999999999993</v>
      </c>
      <c r="DF284" s="15" t="s">
        <v>766</v>
      </c>
      <c r="DJ284" s="15">
        <v>434</v>
      </c>
      <c r="DK284" s="15">
        <v>9.25</v>
      </c>
      <c r="DS284" s="15">
        <f>DE284</f>
        <v>8476.7999999999993</v>
      </c>
      <c r="DT284" s="15">
        <f>DS284/0.6/1000</f>
        <v>14.128</v>
      </c>
      <c r="DU284" s="15">
        <f>DS284*0.2</f>
        <v>1695.36</v>
      </c>
      <c r="EW284" s="46">
        <f>AX284+BT284+CF284+DE284+DY284</f>
        <v>15976.8</v>
      </c>
      <c r="EX284" s="46">
        <f>BA284+BZ284+CZ284+DT284+ET284</f>
        <v>20.94618181818182</v>
      </c>
      <c r="EY284" s="46">
        <f>BB284+CA284+DA284+DU284+EU284</f>
        <v>16695.36</v>
      </c>
      <c r="FX284" s="15">
        <f>(12.05+12.83+13.61+12.67+12.73+13.66+13.72+13.35)*1.74/8</f>
        <v>22.754849999999998</v>
      </c>
      <c r="FY284" s="15">
        <f>9*1.74</f>
        <v>15.66</v>
      </c>
      <c r="FZ284" s="15">
        <f>FY284*SQRT(AR284)</f>
        <v>27.123915646528616</v>
      </c>
      <c r="GA284" s="15">
        <f>17.16*1.74</f>
        <v>29.8584</v>
      </c>
      <c r="GB284" s="15">
        <v>3.48</v>
      </c>
      <c r="GC284" s="15">
        <f>GB284*SQRT(AR284)</f>
        <v>6.0275368103396927</v>
      </c>
      <c r="GD284" s="15">
        <f t="shared" si="269"/>
        <v>1.3121774039380616</v>
      </c>
      <c r="GE284" s="15">
        <f t="shared" si="270"/>
        <v>7.103550000000002</v>
      </c>
      <c r="GF284" s="15">
        <f t="shared" si="271"/>
        <v>0.27168789779718727</v>
      </c>
      <c r="GG284" s="15">
        <f>((GC284*GC284)/(AR284*GA284*GA284)+(FZ284*FZ284)/(AR284*FX284*FX284))</f>
        <v>0.4872099582832633</v>
      </c>
      <c r="HE284" s="15">
        <v>7064</v>
      </c>
      <c r="HF284" s="15">
        <f>HE284*0.065</f>
        <v>459.16</v>
      </c>
      <c r="HG284" s="15">
        <f>HF284*SQRT(AR284)</f>
        <v>795.28844880332565</v>
      </c>
      <c r="HH284" s="15">
        <v>8866</v>
      </c>
      <c r="HI284" s="15">
        <f>HH284*0.0318</f>
        <v>281.93880000000001</v>
      </c>
      <c r="HJ284" s="15">
        <f>HI284*SQRT(AR284)</f>
        <v>488.3323262250002</v>
      </c>
      <c r="HK284" s="15">
        <f t="shared" si="272"/>
        <v>1.2550962627406568</v>
      </c>
      <c r="HL284" s="15">
        <f t="shared" si="273"/>
        <v>1802</v>
      </c>
      <c r="HM284" s="15">
        <f t="shared" si="274"/>
        <v>0.22721227302120361</v>
      </c>
      <c r="HN284" s="15">
        <f>((HJ284*HJ284)/(AR173*HH284*HH284)+(HG284*HG284)/(AR173*HE284*HE284))</f>
        <v>5.2362399999999996E-3</v>
      </c>
      <c r="HP284" s="15" t="s">
        <v>766</v>
      </c>
      <c r="HV284" s="15">
        <f t="shared" si="275"/>
        <v>734.79129353377755</v>
      </c>
      <c r="HW284" s="15">
        <f t="shared" si="276"/>
        <v>0.22721227302120361</v>
      </c>
      <c r="HX284" s="15">
        <f>EY284</f>
        <v>16695.36</v>
      </c>
      <c r="HY284" s="15">
        <f>EW284</f>
        <v>15976.8</v>
      </c>
      <c r="HZ284" s="15">
        <f>EX284</f>
        <v>20.94618181818182</v>
      </c>
      <c r="IA284" s="15">
        <f>EY284</f>
        <v>16695.36</v>
      </c>
    </row>
    <row r="285" spans="1:235" s="15" customFormat="1" x14ac:dyDescent="0.25">
      <c r="A285" s="31">
        <v>283</v>
      </c>
      <c r="B285" s="1">
        <v>50</v>
      </c>
      <c r="C285" s="1">
        <v>54</v>
      </c>
      <c r="D285" s="15" t="s">
        <v>244</v>
      </c>
      <c r="E285" s="1">
        <v>4</v>
      </c>
      <c r="F285" s="15" t="s">
        <v>1037</v>
      </c>
      <c r="G285" s="15" t="s">
        <v>1030</v>
      </c>
      <c r="H285" s="15" t="s">
        <v>1039</v>
      </c>
      <c r="I285" s="1">
        <v>2018</v>
      </c>
      <c r="J285" s="15" t="s">
        <v>1034</v>
      </c>
      <c r="K285" s="1" t="s">
        <v>1035</v>
      </c>
      <c r="L285" s="15" t="s">
        <v>1036</v>
      </c>
      <c r="M285" s="15" t="s">
        <v>480</v>
      </c>
      <c r="N285" s="15" t="s">
        <v>23</v>
      </c>
      <c r="O285" s="31">
        <v>2</v>
      </c>
      <c r="P285" s="15">
        <v>27.23</v>
      </c>
      <c r="Q285" s="15">
        <v>119.57</v>
      </c>
      <c r="R285" s="15">
        <v>163</v>
      </c>
      <c r="S285" s="15">
        <v>1646</v>
      </c>
      <c r="T285" s="15">
        <v>19.3</v>
      </c>
      <c r="U285" s="15" t="s">
        <v>549</v>
      </c>
      <c r="V285" s="31">
        <v>1</v>
      </c>
      <c r="W285" s="15" t="s">
        <v>1174</v>
      </c>
      <c r="X285" s="15" t="s">
        <v>924</v>
      </c>
      <c r="Y285" s="1">
        <v>7</v>
      </c>
      <c r="Z285" s="15">
        <v>4.1500000000000004</v>
      </c>
      <c r="AA285" s="15" t="s">
        <v>573</v>
      </c>
      <c r="AB285" s="15">
        <f t="shared" ref="AB285:AB304" si="282">Z285</f>
        <v>4.1500000000000004</v>
      </c>
      <c r="AC285" s="1">
        <v>1</v>
      </c>
      <c r="AD285" s="15">
        <f>14.1*1.74</f>
        <v>24.533999999999999</v>
      </c>
      <c r="AM285" s="1"/>
      <c r="AQ285" s="1"/>
      <c r="AR285" s="1">
        <v>3</v>
      </c>
      <c r="BF285" s="15">
        <v>8.14</v>
      </c>
      <c r="BG285" s="15" t="s">
        <v>635</v>
      </c>
      <c r="BI285" s="15">
        <v>399</v>
      </c>
      <c r="BJ285" s="15">
        <v>13.3</v>
      </c>
      <c r="BK285" s="15">
        <v>2.64</v>
      </c>
      <c r="BL285" s="15">
        <v>4.1900000000000004</v>
      </c>
      <c r="BS285" s="15">
        <v>5639</v>
      </c>
      <c r="BT285" s="15">
        <f t="shared" si="278"/>
        <v>5639</v>
      </c>
      <c r="BU285" s="15" t="s">
        <v>766</v>
      </c>
      <c r="BY285" s="15">
        <f t="shared" si="279"/>
        <v>5639</v>
      </c>
      <c r="BZ285" s="15">
        <f t="shared" si="280"/>
        <v>5.126363636363636</v>
      </c>
      <c r="CA285" s="15">
        <f t="shared" si="281"/>
        <v>11278</v>
      </c>
      <c r="FK285" s="16">
        <f t="shared" ref="FK285:FK304" si="283">FM285</f>
        <v>4.16</v>
      </c>
      <c r="FL285" s="16">
        <f t="shared" ref="FL285:FL304" si="284">FP285</f>
        <v>4.4400000000000004</v>
      </c>
      <c r="FM285" s="15">
        <v>4.16</v>
      </c>
      <c r="FN285" s="15">
        <v>0.13</v>
      </c>
      <c r="FO285" s="15">
        <f>FN285*SQRT(AR285)</f>
        <v>0.22516660498395405</v>
      </c>
      <c r="FP285" s="15">
        <v>4.4400000000000004</v>
      </c>
      <c r="FQ285" s="15">
        <v>0.08</v>
      </c>
      <c r="FR285" s="15">
        <f>FQ285*SQRT(AR285)</f>
        <v>0.13856406460551018</v>
      </c>
      <c r="FS285" s="15">
        <f t="shared" ref="FS285:FS348" si="285">FP285/FM285</f>
        <v>1.0673076923076923</v>
      </c>
      <c r="FT285" s="15">
        <f t="shared" ref="FT285:FT348" si="286">FP285-FM285</f>
        <v>0.28000000000000025</v>
      </c>
      <c r="FU285" s="15">
        <f t="shared" ref="FU285:FU348" si="287">LN(FP285)-LN(FM285)</f>
        <v>6.5139302170961644E-2</v>
      </c>
      <c r="FV285" s="15">
        <f>((FR285*FR285)/(AR285*FP285*FP285)+(FO285*FO285)/(AR285*FM285*FM285))</f>
        <v>1.301211473297622E-3</v>
      </c>
      <c r="FX285" s="15">
        <v>3.7061999999999999</v>
      </c>
      <c r="FY285" s="15">
        <v>0.05</v>
      </c>
      <c r="FZ285" s="15">
        <f>FY285*SQRT(AR285)</f>
        <v>8.6602540378443865E-2</v>
      </c>
      <c r="GA285" s="15">
        <v>3.5321999999999996</v>
      </c>
      <c r="GB285" s="15">
        <v>0.24</v>
      </c>
      <c r="GC285" s="15">
        <f>GB285*SQRT(AR285)</f>
        <v>0.4156921938165305</v>
      </c>
      <c r="GD285" s="15">
        <f t="shared" si="269"/>
        <v>0.95305164319248814</v>
      </c>
      <c r="GE285" s="15">
        <f t="shared" si="270"/>
        <v>-0.17400000000000038</v>
      </c>
      <c r="GF285" s="15">
        <f t="shared" si="271"/>
        <v>-4.8086186667637865E-2</v>
      </c>
      <c r="GG285" s="15">
        <f>((GC285*GC285)/(AR285*GA285*GA285)+(FZ285*FZ285)/(AR285*FX285*FX285))</f>
        <v>4.7987073035573313E-3</v>
      </c>
      <c r="HE285" s="15">
        <v>6459.24</v>
      </c>
      <c r="HF285" s="15">
        <v>93.65</v>
      </c>
      <c r="HG285" s="15">
        <f>HF285*SQRT(AR285)</f>
        <v>162.20655812882535</v>
      </c>
      <c r="HH285" s="15">
        <v>6652.36</v>
      </c>
      <c r="HI285" s="15">
        <v>158.24</v>
      </c>
      <c r="HJ285" s="15">
        <f>HI285*SQRT(AR285)</f>
        <v>274.07971978969914</v>
      </c>
      <c r="HK285" s="15">
        <f t="shared" si="272"/>
        <v>1.0298982542837858</v>
      </c>
      <c r="HL285" s="15">
        <f t="shared" si="273"/>
        <v>193.11999999999989</v>
      </c>
      <c r="HM285" s="15">
        <f t="shared" si="274"/>
        <v>2.9460015113505378E-2</v>
      </c>
      <c r="HN285" s="15">
        <f>((HJ285*HJ285)/(AR174*HH285*HH285)+(HG285*HG285)/(AR174*HE285*HE285))</f>
        <v>7.7603328961274565E-4</v>
      </c>
      <c r="HP285" s="15" t="s">
        <v>766</v>
      </c>
      <c r="HV285" s="15">
        <f t="shared" si="275"/>
        <v>3828.239719683585</v>
      </c>
      <c r="HW285" s="15">
        <f t="shared" si="276"/>
        <v>2.9460015113505378E-2</v>
      </c>
      <c r="HX285" s="15">
        <f>CA285</f>
        <v>11278</v>
      </c>
      <c r="HY285" s="15">
        <f>BY285</f>
        <v>5639</v>
      </c>
      <c r="HZ285" s="15">
        <f>BZ285</f>
        <v>5.126363636363636</v>
      </c>
      <c r="IA285" s="15">
        <f>CA285</f>
        <v>11278</v>
      </c>
    </row>
    <row r="286" spans="1:235" s="15" customFormat="1" x14ac:dyDescent="0.25">
      <c r="A286" s="31">
        <v>284</v>
      </c>
      <c r="B286" s="1">
        <v>50</v>
      </c>
      <c r="C286" s="1">
        <v>54</v>
      </c>
      <c r="D286" s="15" t="s">
        <v>245</v>
      </c>
      <c r="E286" s="1">
        <v>4</v>
      </c>
      <c r="F286" s="15" t="s">
        <v>1037</v>
      </c>
      <c r="G286" s="15" t="s">
        <v>1031</v>
      </c>
      <c r="H286" s="15" t="s">
        <v>1039</v>
      </c>
      <c r="I286" s="1">
        <v>2018</v>
      </c>
      <c r="J286" s="15" t="s">
        <v>1034</v>
      </c>
      <c r="K286" s="1" t="s">
        <v>1035</v>
      </c>
      <c r="L286" s="15" t="s">
        <v>1036</v>
      </c>
      <c r="M286" s="15" t="s">
        <v>480</v>
      </c>
      <c r="N286" s="15" t="s">
        <v>23</v>
      </c>
      <c r="O286" s="31">
        <v>2</v>
      </c>
      <c r="P286" s="15">
        <v>27.23</v>
      </c>
      <c r="Q286" s="15">
        <v>119.57</v>
      </c>
      <c r="R286" s="15">
        <v>163</v>
      </c>
      <c r="S286" s="15">
        <v>1646</v>
      </c>
      <c r="T286" s="15">
        <v>19.3</v>
      </c>
      <c r="U286" s="15" t="s">
        <v>549</v>
      </c>
      <c r="V286" s="31">
        <v>1</v>
      </c>
      <c r="W286" s="15" t="s">
        <v>1174</v>
      </c>
      <c r="X286" s="15" t="s">
        <v>924</v>
      </c>
      <c r="Y286" s="1">
        <v>7</v>
      </c>
      <c r="Z286" s="15">
        <v>4.1500000000000004</v>
      </c>
      <c r="AA286" s="15" t="s">
        <v>573</v>
      </c>
      <c r="AB286" s="15">
        <f t="shared" si="282"/>
        <v>4.1500000000000004</v>
      </c>
      <c r="AC286" s="1">
        <v>1</v>
      </c>
      <c r="AD286" s="15">
        <f>14.1*1.74</f>
        <v>24.533999999999999</v>
      </c>
      <c r="AM286" s="1"/>
      <c r="AQ286" s="1"/>
      <c r="AR286" s="1">
        <v>3</v>
      </c>
      <c r="BF286" s="15">
        <v>8.14</v>
      </c>
      <c r="BG286" s="15" t="s">
        <v>635</v>
      </c>
      <c r="BI286" s="15">
        <v>399</v>
      </c>
      <c r="BJ286" s="15">
        <v>13.3</v>
      </c>
      <c r="BK286" s="15">
        <v>2.64</v>
      </c>
      <c r="BL286" s="15">
        <v>4.1900000000000004</v>
      </c>
      <c r="BS286" s="15">
        <f>BS285*2</f>
        <v>11278</v>
      </c>
      <c r="BT286" s="15">
        <f t="shared" si="278"/>
        <v>11278</v>
      </c>
      <c r="BU286" s="15" t="s">
        <v>766</v>
      </c>
      <c r="BY286" s="15">
        <f t="shared" si="279"/>
        <v>11278</v>
      </c>
      <c r="BZ286" s="15">
        <f t="shared" si="280"/>
        <v>10.252727272727272</v>
      </c>
      <c r="CA286" s="15">
        <f t="shared" si="281"/>
        <v>22556</v>
      </c>
      <c r="FK286" s="16">
        <f t="shared" si="283"/>
        <v>4.16</v>
      </c>
      <c r="FL286" s="16">
        <f t="shared" si="284"/>
        <v>4.9400000000000004</v>
      </c>
      <c r="FM286" s="15">
        <v>4.16</v>
      </c>
      <c r="FN286" s="15">
        <v>0.13</v>
      </c>
      <c r="FO286" s="15">
        <f>FN286*SQRT(AR286)</f>
        <v>0.22516660498395405</v>
      </c>
      <c r="FP286" s="15">
        <v>4.9400000000000004</v>
      </c>
      <c r="FQ286" s="15">
        <v>0.36</v>
      </c>
      <c r="FR286" s="15">
        <f>FQ286*SQRT(AR286)</f>
        <v>0.62353829072479572</v>
      </c>
      <c r="FS286" s="15">
        <f t="shared" si="285"/>
        <v>1.1875</v>
      </c>
      <c r="FT286" s="15">
        <f t="shared" si="286"/>
        <v>0.78000000000000025</v>
      </c>
      <c r="FU286" s="15">
        <f t="shared" si="287"/>
        <v>0.17185025692665934</v>
      </c>
      <c r="FV286" s="15">
        <f>((FR286*FR286)/(AR286*FP286*FP286)+(FO286*FO286)/(AR286*FM286*FM286))</f>
        <v>6.2872543651346499E-3</v>
      </c>
      <c r="FX286" s="15">
        <v>3.7061999999999999</v>
      </c>
      <c r="FY286" s="15">
        <v>0.05</v>
      </c>
      <c r="FZ286" s="15">
        <f>FY286*SQRT(AR286)</f>
        <v>8.6602540378443865E-2</v>
      </c>
      <c r="GA286" s="15">
        <v>3.5844</v>
      </c>
      <c r="GB286" s="15">
        <v>0.7</v>
      </c>
      <c r="GC286" s="15">
        <f>GB286*SQRT(AR286)</f>
        <v>1.2124355652982139</v>
      </c>
      <c r="GD286" s="15">
        <f t="shared" si="269"/>
        <v>0.96713615023474175</v>
      </c>
      <c r="GE286" s="15">
        <f t="shared" si="270"/>
        <v>-0.12179999999999991</v>
      </c>
      <c r="GF286" s="15">
        <f t="shared" si="271"/>
        <v>-3.3415996919843982E-2</v>
      </c>
      <c r="GG286" s="15">
        <f>((GC286*GC286)/(AR286*GA286*GA286)+(FZ286*FZ286)/(AR286*FX286*FX286))</f>
        <v>3.8320463707430384E-2</v>
      </c>
      <c r="HE286" s="15">
        <v>6459.24</v>
      </c>
      <c r="HF286" s="15">
        <v>93.65</v>
      </c>
      <c r="HG286" s="15">
        <f>HF286*SQRT(AR286)</f>
        <v>162.20655812882535</v>
      </c>
      <c r="HH286" s="15">
        <v>6182.17</v>
      </c>
      <c r="HI286" s="15">
        <v>309.05</v>
      </c>
      <c r="HJ286" s="15">
        <f>HI286*SQRT(AR286)</f>
        <v>535.29030207916151</v>
      </c>
      <c r="HK286" s="15">
        <f t="shared" si="272"/>
        <v>0.95710486063375877</v>
      </c>
      <c r="HL286" s="15">
        <f t="shared" si="273"/>
        <v>-277.06999999999971</v>
      </c>
      <c r="HM286" s="15">
        <f t="shared" si="274"/>
        <v>-4.3842321291700515E-2</v>
      </c>
      <c r="HN286" s="15">
        <f>((HJ286*HJ286)/(AR175*HH286*HH286)+(HG286*HG286)/(AR175*HE286*HE286))</f>
        <v>2.7092635043631814E-3</v>
      </c>
      <c r="HP286" s="15" t="s">
        <v>766</v>
      </c>
      <c r="HV286" s="15">
        <f t="shared" si="275"/>
        <v>-5144.8005797699225</v>
      </c>
      <c r="HW286" s="15">
        <f t="shared" si="276"/>
        <v>-4.3842321291700515E-2</v>
      </c>
      <c r="HX286" s="15">
        <f>CA286</f>
        <v>22556</v>
      </c>
      <c r="HY286" s="15">
        <f>BY286</f>
        <v>11278</v>
      </c>
      <c r="HZ286" s="15">
        <f>BZ286</f>
        <v>10.252727272727272</v>
      </c>
      <c r="IA286" s="15">
        <f>CA286</f>
        <v>22556</v>
      </c>
    </row>
    <row r="287" spans="1:235" s="15" customFormat="1" x14ac:dyDescent="0.25">
      <c r="A287" s="31">
        <v>285</v>
      </c>
      <c r="B287" s="1">
        <v>50</v>
      </c>
      <c r="C287" s="1">
        <v>54</v>
      </c>
      <c r="D287" s="15" t="s">
        <v>246</v>
      </c>
      <c r="E287" s="1">
        <v>4</v>
      </c>
      <c r="F287" s="15" t="s">
        <v>1037</v>
      </c>
      <c r="G287" s="15" t="s">
        <v>1032</v>
      </c>
      <c r="H287" s="15" t="s">
        <v>1039</v>
      </c>
      <c r="I287" s="1">
        <v>2018</v>
      </c>
      <c r="J287" s="15" t="s">
        <v>1034</v>
      </c>
      <c r="K287" s="1" t="s">
        <v>1035</v>
      </c>
      <c r="L287" s="15" t="s">
        <v>1036</v>
      </c>
      <c r="M287" s="15" t="s">
        <v>480</v>
      </c>
      <c r="N287" s="15" t="s">
        <v>23</v>
      </c>
      <c r="O287" s="31">
        <v>2</v>
      </c>
      <c r="P287" s="15">
        <v>27.23</v>
      </c>
      <c r="Q287" s="15">
        <v>119.57</v>
      </c>
      <c r="R287" s="15">
        <v>163</v>
      </c>
      <c r="S287" s="15">
        <v>1646</v>
      </c>
      <c r="T287" s="15">
        <v>19.3</v>
      </c>
      <c r="U287" s="15" t="s">
        <v>549</v>
      </c>
      <c r="V287" s="31">
        <v>1</v>
      </c>
      <c r="W287" s="15" t="s">
        <v>1174</v>
      </c>
      <c r="X287" s="15" t="s">
        <v>924</v>
      </c>
      <c r="Y287" s="1">
        <v>7</v>
      </c>
      <c r="Z287" s="15">
        <v>4.1500000000000004</v>
      </c>
      <c r="AA287" s="15" t="s">
        <v>573</v>
      </c>
      <c r="AB287" s="15">
        <f t="shared" si="282"/>
        <v>4.1500000000000004</v>
      </c>
      <c r="AC287" s="1">
        <v>1</v>
      </c>
      <c r="AD287" s="15">
        <f>14.1*1.74</f>
        <v>24.533999999999999</v>
      </c>
      <c r="AM287" s="1"/>
      <c r="AQ287" s="1"/>
      <c r="AR287" s="1">
        <v>3</v>
      </c>
      <c r="BF287" s="15">
        <v>8.14</v>
      </c>
      <c r="BG287" s="15" t="s">
        <v>635</v>
      </c>
      <c r="BI287" s="15">
        <v>399</v>
      </c>
      <c r="BJ287" s="15">
        <v>13.3</v>
      </c>
      <c r="BK287" s="15">
        <v>2.64</v>
      </c>
      <c r="BL287" s="15">
        <v>4.1900000000000004</v>
      </c>
      <c r="BS287" s="15">
        <f>BS285*3</f>
        <v>16917</v>
      </c>
      <c r="BT287" s="15">
        <f t="shared" si="278"/>
        <v>16917</v>
      </c>
      <c r="BU287" s="15" t="s">
        <v>766</v>
      </c>
      <c r="BY287" s="15">
        <f t="shared" si="279"/>
        <v>16917</v>
      </c>
      <c r="BZ287" s="15">
        <f t="shared" si="280"/>
        <v>15.379090909090909</v>
      </c>
      <c r="CA287" s="15">
        <f t="shared" si="281"/>
        <v>33834</v>
      </c>
      <c r="FK287" s="16">
        <f t="shared" si="283"/>
        <v>4.16</v>
      </c>
      <c r="FL287" s="16">
        <f t="shared" si="284"/>
        <v>5.35</v>
      </c>
      <c r="FM287" s="15">
        <v>4.16</v>
      </c>
      <c r="FN287" s="15">
        <v>0.13</v>
      </c>
      <c r="FO287" s="15">
        <f>FN287*SQRT(AR287)</f>
        <v>0.22516660498395405</v>
      </c>
      <c r="FP287" s="15">
        <v>5.35</v>
      </c>
      <c r="FQ287" s="15">
        <v>0.49</v>
      </c>
      <c r="FR287" s="15">
        <f>FQ287*SQRT(AR287)</f>
        <v>0.84870489570874985</v>
      </c>
      <c r="FS287" s="15">
        <f t="shared" si="285"/>
        <v>1.2860576923076921</v>
      </c>
      <c r="FT287" s="15">
        <f t="shared" si="286"/>
        <v>1.1899999999999995</v>
      </c>
      <c r="FU287" s="15">
        <f t="shared" si="287"/>
        <v>0.25158148663474322</v>
      </c>
      <c r="FV287" s="15">
        <f>((FR287*FR287)/(AR287*FP287*FP287)+(FO287*FO287)/(AR287*FM287*FM287))</f>
        <v>9.3650680463359254E-3</v>
      </c>
      <c r="FX287" s="15">
        <v>3.7061999999999999</v>
      </c>
      <c r="FY287" s="15">
        <v>0.05</v>
      </c>
      <c r="FZ287" s="15">
        <f>FY287*SQRT(AR287)</f>
        <v>8.6602540378443865E-2</v>
      </c>
      <c r="GA287" s="15">
        <v>4.0019999999999998</v>
      </c>
      <c r="GB287" s="15">
        <v>0.31</v>
      </c>
      <c r="GC287" s="15">
        <f>GB287*SQRT(AR287)</f>
        <v>0.53693575034635188</v>
      </c>
      <c r="GD287" s="15">
        <f t="shared" si="269"/>
        <v>1.07981220657277</v>
      </c>
      <c r="GE287" s="15">
        <f t="shared" si="270"/>
        <v>0.29579999999999984</v>
      </c>
      <c r="GF287" s="15">
        <f t="shared" si="271"/>
        <v>7.6787143213770115E-2</v>
      </c>
      <c r="GG287" s="15">
        <f>((GC287*GC287)/(AR287*GA287*GA287)+(FZ287*FZ287)/(AR287*FX287*FX287))</f>
        <v>6.1822528268386332E-3</v>
      </c>
      <c r="HE287" s="15">
        <v>6459.24</v>
      </c>
      <c r="HF287" s="15">
        <v>93.65</v>
      </c>
      <c r="HG287" s="15">
        <f>HF287*SQRT(AR287)</f>
        <v>162.20655812882535</v>
      </c>
      <c r="HH287" s="15">
        <v>6227.24</v>
      </c>
      <c r="HI287" s="15">
        <v>203.86</v>
      </c>
      <c r="HJ287" s="15">
        <f>HI287*SQRT(AR287)</f>
        <v>353.09587763099131</v>
      </c>
      <c r="HK287" s="15">
        <f t="shared" si="272"/>
        <v>0.964082461713762</v>
      </c>
      <c r="HL287" s="15">
        <f t="shared" si="273"/>
        <v>-232</v>
      </c>
      <c r="HM287" s="15">
        <f t="shared" si="274"/>
        <v>-3.6578446833182454E-2</v>
      </c>
      <c r="HN287" s="15">
        <f>((HJ287*HJ287)/(AR176*HH287*HH287)+(HG287*HG287)/(AR176*HE287*HE287))</f>
        <v>1.2819087004599791E-3</v>
      </c>
      <c r="HP287" s="15" t="s">
        <v>766</v>
      </c>
      <c r="HV287" s="15">
        <f t="shared" si="275"/>
        <v>-9249.7093040339805</v>
      </c>
      <c r="HW287" s="15">
        <f t="shared" si="276"/>
        <v>-3.6578446833182454E-2</v>
      </c>
      <c r="HX287" s="15">
        <f>CA287</f>
        <v>33834</v>
      </c>
      <c r="HY287" s="15">
        <f>BY287</f>
        <v>16917</v>
      </c>
      <c r="HZ287" s="15">
        <f>BZ287</f>
        <v>15.379090909090909</v>
      </c>
      <c r="IA287" s="15">
        <f>CA287</f>
        <v>33834</v>
      </c>
    </row>
    <row r="288" spans="1:235" s="15" customFormat="1" x14ac:dyDescent="0.25">
      <c r="A288" s="31">
        <v>286</v>
      </c>
      <c r="B288" s="1">
        <v>50</v>
      </c>
      <c r="C288" s="1">
        <v>54</v>
      </c>
      <c r="D288" s="15" t="s">
        <v>247</v>
      </c>
      <c r="E288" s="1">
        <v>4</v>
      </c>
      <c r="F288" s="15" t="s">
        <v>1037</v>
      </c>
      <c r="G288" s="15" t="s">
        <v>1033</v>
      </c>
      <c r="H288" s="15" t="s">
        <v>1039</v>
      </c>
      <c r="I288" s="1">
        <v>2018</v>
      </c>
      <c r="J288" s="15" t="s">
        <v>1034</v>
      </c>
      <c r="K288" s="1" t="s">
        <v>1035</v>
      </c>
      <c r="L288" s="15" t="s">
        <v>1036</v>
      </c>
      <c r="M288" s="15" t="s">
        <v>480</v>
      </c>
      <c r="N288" s="15" t="s">
        <v>23</v>
      </c>
      <c r="O288" s="31">
        <v>2</v>
      </c>
      <c r="P288" s="15">
        <v>27.23</v>
      </c>
      <c r="Q288" s="15">
        <v>119.57</v>
      </c>
      <c r="R288" s="15">
        <v>163</v>
      </c>
      <c r="S288" s="15">
        <v>1646</v>
      </c>
      <c r="T288" s="15">
        <v>19.3</v>
      </c>
      <c r="U288" s="15" t="s">
        <v>549</v>
      </c>
      <c r="V288" s="31">
        <v>1</v>
      </c>
      <c r="W288" s="15" t="s">
        <v>1174</v>
      </c>
      <c r="X288" s="15" t="s">
        <v>924</v>
      </c>
      <c r="Y288" s="1">
        <v>7</v>
      </c>
      <c r="Z288" s="15">
        <v>4.1500000000000004</v>
      </c>
      <c r="AA288" s="15" t="s">
        <v>573</v>
      </c>
      <c r="AB288" s="15">
        <f t="shared" si="282"/>
        <v>4.1500000000000004</v>
      </c>
      <c r="AC288" s="1">
        <v>1</v>
      </c>
      <c r="AD288" s="15">
        <f>14.1*1.74</f>
        <v>24.533999999999999</v>
      </c>
      <c r="AM288" s="1"/>
      <c r="AQ288" s="1"/>
      <c r="AR288" s="1">
        <v>3</v>
      </c>
      <c r="BF288" s="15">
        <v>8.14</v>
      </c>
      <c r="BG288" s="15" t="s">
        <v>635</v>
      </c>
      <c r="BI288" s="15">
        <v>399</v>
      </c>
      <c r="BJ288" s="15">
        <v>13.3</v>
      </c>
      <c r="BK288" s="15">
        <v>2.64</v>
      </c>
      <c r="BL288" s="15">
        <v>4.1900000000000004</v>
      </c>
      <c r="BS288" s="15">
        <f>BS286*2</f>
        <v>22556</v>
      </c>
      <c r="BT288" s="15">
        <f t="shared" si="278"/>
        <v>22556</v>
      </c>
      <c r="BU288" s="15" t="s">
        <v>766</v>
      </c>
      <c r="BY288" s="15">
        <f t="shared" si="279"/>
        <v>22556</v>
      </c>
      <c r="BZ288" s="15">
        <f t="shared" si="280"/>
        <v>20.505454545454544</v>
      </c>
      <c r="CA288" s="15">
        <f t="shared" si="281"/>
        <v>45112</v>
      </c>
      <c r="FK288" s="16">
        <f t="shared" si="283"/>
        <v>4.16</v>
      </c>
      <c r="FL288" s="16">
        <f t="shared" si="284"/>
        <v>5.39</v>
      </c>
      <c r="FM288" s="15">
        <v>4.16</v>
      </c>
      <c r="FN288" s="15">
        <v>0.13</v>
      </c>
      <c r="FO288" s="15">
        <f>FN288*SQRT(AR288)</f>
        <v>0.22516660498395405</v>
      </c>
      <c r="FP288" s="15">
        <v>5.39</v>
      </c>
      <c r="FQ288" s="15">
        <v>0.46</v>
      </c>
      <c r="FR288" s="15">
        <f>FQ288*SQRT(AR288)</f>
        <v>0.7967433714816835</v>
      </c>
      <c r="FS288" s="15">
        <f t="shared" si="285"/>
        <v>1.2956730769230769</v>
      </c>
      <c r="FT288" s="15">
        <f t="shared" si="286"/>
        <v>1.2299999999999995</v>
      </c>
      <c r="FU288" s="15">
        <f t="shared" si="287"/>
        <v>0.25903031064773385</v>
      </c>
      <c r="FV288" s="15">
        <f>((FR288*FR288)/(AR288*FP288*FP288)+(FO288*FO288)/(AR288*FM288*FM288))</f>
        <v>8.26002909966061E-3</v>
      </c>
      <c r="FX288" s="15">
        <v>3.7061999999999999</v>
      </c>
      <c r="FY288" s="15">
        <v>0.05</v>
      </c>
      <c r="FZ288" s="15">
        <f>FY288*SQRT(AR288)</f>
        <v>8.6602540378443865E-2</v>
      </c>
      <c r="GA288" s="15">
        <v>3.9671999999999996</v>
      </c>
      <c r="GB288" s="15">
        <v>0.63</v>
      </c>
      <c r="GC288" s="15">
        <f>GB288*SQRT(AR288)</f>
        <v>1.0911920087683926</v>
      </c>
      <c r="GD288" s="15">
        <f t="shared" si="269"/>
        <v>1.0704225352112675</v>
      </c>
      <c r="GE288" s="15">
        <f t="shared" si="270"/>
        <v>0.26099999999999968</v>
      </c>
      <c r="GF288" s="15">
        <f t="shared" si="271"/>
        <v>6.80534632450156E-2</v>
      </c>
      <c r="GG288" s="15">
        <f>((GC288*GC288)/(AR288*GA288*GA288)+(FZ288*FZ288)/(AR288*FX288*FX288))</f>
        <v>2.5400136267735744E-2</v>
      </c>
      <c r="HE288" s="15">
        <v>6459.24</v>
      </c>
      <c r="HF288" s="15">
        <v>93.65</v>
      </c>
      <c r="HG288" s="15">
        <f>HF288*SQRT(AR288)</f>
        <v>162.20655812882535</v>
      </c>
      <c r="HH288" s="15">
        <v>5362.34</v>
      </c>
      <c r="HI288" s="15">
        <v>348.92</v>
      </c>
      <c r="HJ288" s="15">
        <f>HI288*SQRT(AR288)</f>
        <v>604.34716777693268</v>
      </c>
      <c r="HK288" s="15">
        <f t="shared" si="272"/>
        <v>0.83018125971476531</v>
      </c>
      <c r="HL288" s="15">
        <f t="shared" si="273"/>
        <v>-1096.8999999999996</v>
      </c>
      <c r="HM288" s="15">
        <f t="shared" si="274"/>
        <v>-0.18611121683555787</v>
      </c>
      <c r="HN288" s="15">
        <f>((HJ288*HJ288)/(AR177*HH288*HH288)+(HG288*HG288)/(AR177*HE288*HE288))</f>
        <v>4.4441334455636071E-3</v>
      </c>
      <c r="HP288" s="15" t="s">
        <v>766</v>
      </c>
      <c r="HV288" s="15">
        <f t="shared" si="275"/>
        <v>-2423.9269812447451</v>
      </c>
      <c r="HW288" s="15">
        <f t="shared" si="276"/>
        <v>-0.18611121683555787</v>
      </c>
      <c r="HX288" s="15">
        <f>CA288</f>
        <v>45112</v>
      </c>
      <c r="HY288" s="15">
        <f>BY288</f>
        <v>22556</v>
      </c>
      <c r="HZ288" s="15">
        <f>BZ288</f>
        <v>20.505454545454544</v>
      </c>
      <c r="IA288" s="15">
        <f>CA288</f>
        <v>45112</v>
      </c>
    </row>
    <row r="289" spans="1:235" s="15" customFormat="1" x14ac:dyDescent="0.25">
      <c r="A289" s="31">
        <v>287</v>
      </c>
      <c r="B289" s="1">
        <v>51</v>
      </c>
      <c r="C289" s="1">
        <v>55</v>
      </c>
      <c r="D289" s="15" t="s">
        <v>248</v>
      </c>
      <c r="E289" s="1">
        <v>4</v>
      </c>
      <c r="F289" s="15" t="s">
        <v>1019</v>
      </c>
      <c r="G289" s="15" t="s">
        <v>1038</v>
      </c>
      <c r="H289" s="15" t="s">
        <v>1040</v>
      </c>
      <c r="I289" s="1">
        <v>2014</v>
      </c>
      <c r="J289" s="15" t="s">
        <v>1041</v>
      </c>
      <c r="K289" s="1" t="s">
        <v>1042</v>
      </c>
      <c r="L289" s="15" t="s">
        <v>1043</v>
      </c>
      <c r="M289" s="15" t="s">
        <v>480</v>
      </c>
      <c r="N289" s="15" t="s">
        <v>23</v>
      </c>
      <c r="O289" s="31">
        <v>2</v>
      </c>
      <c r="P289" s="15">
        <v>26.68</v>
      </c>
      <c r="Q289" s="15">
        <v>119.38</v>
      </c>
      <c r="S289" s="15">
        <v>1540</v>
      </c>
      <c r="T289" s="15">
        <v>19.3</v>
      </c>
      <c r="U289" s="15" t="s">
        <v>549</v>
      </c>
      <c r="V289" s="31">
        <v>1</v>
      </c>
      <c r="W289" s="15" t="s">
        <v>1175</v>
      </c>
      <c r="X289" s="15" t="s">
        <v>924</v>
      </c>
      <c r="Y289" s="1">
        <v>7</v>
      </c>
      <c r="Z289" s="15">
        <v>5.64</v>
      </c>
      <c r="AA289" s="15" t="s">
        <v>573</v>
      </c>
      <c r="AB289" s="15">
        <f t="shared" si="282"/>
        <v>5.64</v>
      </c>
      <c r="AC289" s="1">
        <v>4</v>
      </c>
      <c r="AD289" s="15">
        <v>91.6</v>
      </c>
      <c r="AM289" s="1"/>
      <c r="AQ289" s="1"/>
      <c r="AR289" s="1">
        <v>3</v>
      </c>
      <c r="BG289" s="15" t="s">
        <v>1045</v>
      </c>
      <c r="BI289" s="15">
        <v>369</v>
      </c>
      <c r="BJ289" s="15">
        <v>9</v>
      </c>
      <c r="BK289" s="15">
        <v>22.9</v>
      </c>
      <c r="BL289" s="15">
        <v>5.29</v>
      </c>
      <c r="BS289" s="15">
        <v>11400</v>
      </c>
      <c r="BT289" s="15">
        <f t="shared" si="278"/>
        <v>11400</v>
      </c>
      <c r="BU289" s="15" t="s">
        <v>766</v>
      </c>
      <c r="BY289" s="15">
        <f t="shared" si="279"/>
        <v>11400</v>
      </c>
      <c r="BZ289" s="15">
        <f t="shared" si="280"/>
        <v>10.363636363636362</v>
      </c>
      <c r="CA289" s="15">
        <f t="shared" si="281"/>
        <v>22800</v>
      </c>
      <c r="FK289" s="16">
        <f t="shared" si="283"/>
        <v>5.64</v>
      </c>
      <c r="FL289" s="16">
        <f t="shared" si="284"/>
        <v>5.67</v>
      </c>
      <c r="FM289" s="15">
        <v>5.64</v>
      </c>
      <c r="FN289" s="15">
        <v>0.32</v>
      </c>
      <c r="FO289" s="15">
        <f>FN289*SQRT(AR289)</f>
        <v>0.55425625842204074</v>
      </c>
      <c r="FP289" s="15">
        <v>5.67</v>
      </c>
      <c r="FQ289" s="15">
        <v>0.2</v>
      </c>
      <c r="FR289" s="15">
        <f>FQ289*SQRT(AR289)</f>
        <v>0.34641016151377546</v>
      </c>
      <c r="FS289" s="15">
        <f t="shared" si="285"/>
        <v>1.0053191489361704</v>
      </c>
      <c r="FT289" s="15">
        <f t="shared" si="286"/>
        <v>3.0000000000000249E-2</v>
      </c>
      <c r="FU289" s="15">
        <f t="shared" si="287"/>
        <v>5.3050522296933522E-3</v>
      </c>
      <c r="FV289" s="15">
        <f>((FR289*FR289)/(AR289*FP289*FP289)+(FO289*FO289)/(AR289*FM289*FM289))</f>
        <v>4.4633644989625519E-3</v>
      </c>
      <c r="FX289" s="15">
        <v>91.6</v>
      </c>
      <c r="FY289" s="15">
        <v>25</v>
      </c>
      <c r="FZ289" s="15">
        <f>FY289*SQRT(AR289)</f>
        <v>43.301270189221931</v>
      </c>
      <c r="GA289" s="15">
        <v>300.3</v>
      </c>
      <c r="GB289" s="15">
        <v>58.6</v>
      </c>
      <c r="GC289" s="15">
        <f>GB289*SQRT(AR289)</f>
        <v>101.49817732353621</v>
      </c>
      <c r="GD289" s="15">
        <f t="shared" si="269"/>
        <v>3.2783842794759828</v>
      </c>
      <c r="GE289" s="15">
        <f t="shared" si="270"/>
        <v>208.70000000000002</v>
      </c>
      <c r="GF289" s="15">
        <f t="shared" si="271"/>
        <v>1.1873507033091997</v>
      </c>
      <c r="GG289" s="15">
        <f>((GC289*GC289)/(AR289*GA289*GA289)+(FZ289*FZ289)/(AR289*FX289*FX289))</f>
        <v>0.11256738796165582</v>
      </c>
      <c r="HE289" s="15">
        <v>2309</v>
      </c>
      <c r="HF289" s="15">
        <v>122</v>
      </c>
      <c r="HG289" s="15">
        <f>HF289*SQRT(AR289)</f>
        <v>211.31019852340302</v>
      </c>
      <c r="HH289" s="15">
        <v>5495</v>
      </c>
      <c r="HI289" s="15">
        <v>908</v>
      </c>
      <c r="HJ289" s="15">
        <f>HI289*SQRT(AR289)</f>
        <v>1572.7021332725406</v>
      </c>
      <c r="HK289" s="15">
        <f t="shared" si="272"/>
        <v>2.3798181030749244</v>
      </c>
      <c r="HL289" s="15">
        <f t="shared" si="273"/>
        <v>3186</v>
      </c>
      <c r="HM289" s="15">
        <f t="shared" si="274"/>
        <v>0.86702405748322686</v>
      </c>
      <c r="HN289" s="15">
        <f>((HJ289*HJ289)/(AR178*HH289*HH289)+(HG289*HG289)/(AR178*HE289*HE289))</f>
        <v>3.0096350080459119E-2</v>
      </c>
      <c r="HP289" s="15" t="s">
        <v>766</v>
      </c>
      <c r="HV289" s="15">
        <f t="shared" si="275"/>
        <v>262.96848170722274</v>
      </c>
      <c r="HW289" s="15">
        <f t="shared" si="276"/>
        <v>0.86702405748322686</v>
      </c>
      <c r="HX289" s="15">
        <f>CA289</f>
        <v>22800</v>
      </c>
      <c r="HY289" s="15">
        <f>BY289</f>
        <v>11400</v>
      </c>
      <c r="HZ289" s="15">
        <f>BZ289</f>
        <v>10.363636363636362</v>
      </c>
      <c r="IA289" s="15">
        <f>CA289</f>
        <v>22800</v>
      </c>
    </row>
    <row r="290" spans="1:235" s="15" customFormat="1" x14ac:dyDescent="0.25">
      <c r="A290" s="31">
        <v>288</v>
      </c>
      <c r="B290" s="1">
        <v>51</v>
      </c>
      <c r="C290" s="1">
        <v>55</v>
      </c>
      <c r="D290" s="15" t="s">
        <v>249</v>
      </c>
      <c r="E290" s="1">
        <v>5</v>
      </c>
      <c r="F290" s="15" t="s">
        <v>1046</v>
      </c>
      <c r="G290" s="15" t="s">
        <v>1038</v>
      </c>
      <c r="H290" s="15" t="s">
        <v>1040</v>
      </c>
      <c r="I290" s="1">
        <v>2014</v>
      </c>
      <c r="J290" s="15" t="s">
        <v>1041</v>
      </c>
      <c r="K290" s="1" t="s">
        <v>1042</v>
      </c>
      <c r="L290" s="15" t="s">
        <v>1043</v>
      </c>
      <c r="M290" s="15" t="s">
        <v>480</v>
      </c>
      <c r="N290" s="15" t="s">
        <v>23</v>
      </c>
      <c r="O290" s="31">
        <v>2</v>
      </c>
      <c r="P290" s="15">
        <v>26.68</v>
      </c>
      <c r="Q290" s="15">
        <v>119.38</v>
      </c>
      <c r="S290" s="15">
        <v>1540</v>
      </c>
      <c r="T290" s="15">
        <v>19.3</v>
      </c>
      <c r="U290" s="15" t="s">
        <v>549</v>
      </c>
      <c r="V290" s="31">
        <v>1</v>
      </c>
      <c r="W290" s="15" t="s">
        <v>1175</v>
      </c>
      <c r="X290" s="15" t="s">
        <v>924</v>
      </c>
      <c r="Y290" s="1">
        <v>7</v>
      </c>
      <c r="Z290" s="15">
        <v>5.64</v>
      </c>
      <c r="AA290" s="15" t="s">
        <v>573</v>
      </c>
      <c r="AB290" s="15">
        <f t="shared" si="282"/>
        <v>5.64</v>
      </c>
      <c r="AC290" s="1">
        <v>4</v>
      </c>
      <c r="AD290" s="15">
        <v>91.6</v>
      </c>
      <c r="AM290" s="1"/>
      <c r="AQ290" s="1"/>
      <c r="AR290" s="1">
        <v>3</v>
      </c>
      <c r="DB290" s="15" t="s">
        <v>1044</v>
      </c>
      <c r="DD290" s="15">
        <v>7.5</v>
      </c>
      <c r="DE290" s="15">
        <f>DD290</f>
        <v>7.5</v>
      </c>
      <c r="DF290" s="15" t="s">
        <v>766</v>
      </c>
      <c r="DS290" s="15">
        <f>DE290</f>
        <v>7.5</v>
      </c>
      <c r="DT290" s="15">
        <f>DS290/0.6/1000</f>
        <v>1.2500000000000001E-2</v>
      </c>
      <c r="DU290" s="15">
        <f>DS290*0.2</f>
        <v>1.5</v>
      </c>
      <c r="FK290" s="16">
        <f t="shared" si="283"/>
        <v>5.4</v>
      </c>
      <c r="FL290" s="16">
        <f t="shared" si="284"/>
        <v>5.68</v>
      </c>
      <c r="FM290" s="15">
        <v>5.4</v>
      </c>
      <c r="FN290" s="15">
        <v>0.26</v>
      </c>
      <c r="FO290" s="15">
        <f>FN290*SQRT(AR290)</f>
        <v>0.4503332099679081</v>
      </c>
      <c r="FP290" s="15">
        <v>5.68</v>
      </c>
      <c r="FQ290" s="15">
        <v>0.17</v>
      </c>
      <c r="FR290" s="15">
        <f>FQ290*SQRT(AR290)</f>
        <v>0.29444863728670917</v>
      </c>
      <c r="FS290" s="15">
        <f t="shared" si="285"/>
        <v>1.0518518518518518</v>
      </c>
      <c r="FT290" s="15">
        <f t="shared" si="286"/>
        <v>0.27999999999999936</v>
      </c>
      <c r="FU290" s="15">
        <f t="shared" si="287"/>
        <v>5.0552279162831004E-2</v>
      </c>
      <c r="FV290" s="15">
        <f>((FR290*FR290)/(AR290*FP290*FP290)+(FO290*FO290)/(AR290*FM290*FM290))</f>
        <v>3.2140237773168115E-3</v>
      </c>
      <c r="FX290" s="15">
        <v>90</v>
      </c>
      <c r="FY290" s="15">
        <v>15.7</v>
      </c>
      <c r="FZ290" s="15">
        <f>FY290*SQRT(AR290)</f>
        <v>27.193197678831371</v>
      </c>
      <c r="GA290" s="15">
        <v>126</v>
      </c>
      <c r="GB290" s="15">
        <v>8.6999999999999993</v>
      </c>
      <c r="GC290" s="15">
        <f>GB290*SQRT(AR290)</f>
        <v>15.06884202584923</v>
      </c>
      <c r="GD290" s="15">
        <f t="shared" si="269"/>
        <v>1.4</v>
      </c>
      <c r="GE290" s="15">
        <f t="shared" si="270"/>
        <v>36</v>
      </c>
      <c r="GF290" s="15">
        <f t="shared" si="271"/>
        <v>0.33647223662121295</v>
      </c>
      <c r="GG290" s="15">
        <f>((GC290*GC290)/(AR290*GA290*GA290)+(FZ290*FZ290)/(AR290*FX290*FX290))</f>
        <v>3.5198437893675986E-2</v>
      </c>
      <c r="HE290" s="15">
        <v>3696</v>
      </c>
      <c r="HF290" s="15">
        <v>677</v>
      </c>
      <c r="HG290" s="15">
        <f>HF290*SQRT(AR290)</f>
        <v>1172.5983967241298</v>
      </c>
      <c r="HH290" s="15">
        <v>5102</v>
      </c>
      <c r="HI290" s="15">
        <v>1236</v>
      </c>
      <c r="HJ290" s="15">
        <f>HI290*SQRT(AR290)</f>
        <v>2140.8147981551324</v>
      </c>
      <c r="HK290" s="15">
        <f t="shared" si="272"/>
        <v>1.3804112554112553</v>
      </c>
      <c r="HL290" s="15">
        <f t="shared" si="273"/>
        <v>1406</v>
      </c>
      <c r="HM290" s="15">
        <f t="shared" si="274"/>
        <v>0.32238146594018247</v>
      </c>
      <c r="HN290" s="15">
        <f>((HJ290*HJ290)/(AR179*HH290*HH290)+(HG290*HG290)/(AR179*HE290*HE290))</f>
        <v>9.2240522209884684E-2</v>
      </c>
      <c r="HP290" s="15" t="s">
        <v>766</v>
      </c>
      <c r="HV290" s="15">
        <f t="shared" si="275"/>
        <v>4.6528729423865933E-2</v>
      </c>
      <c r="HW290" s="15">
        <f t="shared" si="276"/>
        <v>0.32238146594018247</v>
      </c>
      <c r="HX290" s="15">
        <f>DU290</f>
        <v>1.5</v>
      </c>
      <c r="HY290" s="15">
        <f>DS290</f>
        <v>7.5</v>
      </c>
      <c r="HZ290" s="15">
        <f>DT290</f>
        <v>1.2500000000000001E-2</v>
      </c>
      <c r="IA290" s="15">
        <f>DU290</f>
        <v>1.5</v>
      </c>
    </row>
    <row r="291" spans="1:235" s="15" customFormat="1" x14ac:dyDescent="0.25">
      <c r="A291" s="31">
        <v>289</v>
      </c>
      <c r="B291" s="1">
        <v>52</v>
      </c>
      <c r="C291" s="1">
        <v>56</v>
      </c>
      <c r="D291" s="15" t="s">
        <v>250</v>
      </c>
      <c r="E291" s="1">
        <v>4</v>
      </c>
      <c r="F291" s="15" t="s">
        <v>1048</v>
      </c>
      <c r="G291" s="15" t="s">
        <v>1047</v>
      </c>
      <c r="H291" s="15" t="s">
        <v>857</v>
      </c>
      <c r="I291" s="1">
        <v>2015</v>
      </c>
      <c r="J291" s="15" t="s">
        <v>1051</v>
      </c>
      <c r="K291" s="1" t="s">
        <v>1062</v>
      </c>
      <c r="L291" s="15" t="s">
        <v>1052</v>
      </c>
      <c r="M291" s="15" t="s">
        <v>480</v>
      </c>
      <c r="N291" s="15" t="s">
        <v>23</v>
      </c>
      <c r="O291" s="31">
        <v>3</v>
      </c>
      <c r="P291" s="15">
        <v>39.35</v>
      </c>
      <c r="Q291" s="15">
        <v>100.12</v>
      </c>
      <c r="R291" s="15">
        <v>1367</v>
      </c>
      <c r="S291" s="15">
        <v>107</v>
      </c>
      <c r="T291" s="15">
        <v>19.2</v>
      </c>
      <c r="U291" s="15" t="s">
        <v>549</v>
      </c>
      <c r="V291" s="31">
        <v>1</v>
      </c>
      <c r="W291" s="15" t="s">
        <v>1176</v>
      </c>
      <c r="X291" s="15" t="s">
        <v>1054</v>
      </c>
      <c r="Y291" s="1"/>
      <c r="Z291" s="15">
        <v>8.9</v>
      </c>
      <c r="AA291" s="15" t="s">
        <v>573</v>
      </c>
      <c r="AB291" s="15">
        <f t="shared" si="282"/>
        <v>8.9</v>
      </c>
      <c r="AC291" s="60">
        <v>6</v>
      </c>
      <c r="AD291" s="15">
        <v>13.38</v>
      </c>
      <c r="AJ291" s="15">
        <v>14.1</v>
      </c>
      <c r="AK291" s="15">
        <v>20.100000000000001</v>
      </c>
      <c r="AL291" s="15">
        <v>65.8</v>
      </c>
      <c r="AM291" s="1">
        <v>3</v>
      </c>
      <c r="AP291" s="15" t="s">
        <v>1053</v>
      </c>
      <c r="AQ291" s="1">
        <v>5</v>
      </c>
      <c r="AR291" s="1">
        <v>3</v>
      </c>
      <c r="BG291" s="15" t="s">
        <v>1055</v>
      </c>
      <c r="BI291" s="15">
        <v>102.96</v>
      </c>
      <c r="BJ291" s="15">
        <v>5.73</v>
      </c>
      <c r="BK291" s="15">
        <v>3.23</v>
      </c>
      <c r="BL291" s="15">
        <v>25</v>
      </c>
      <c r="BS291" s="15">
        <v>30000</v>
      </c>
      <c r="BT291" s="15">
        <f t="shared" ref="BT291:BT298" si="288">BS291</f>
        <v>30000</v>
      </c>
      <c r="BU291" s="15" t="s">
        <v>766</v>
      </c>
      <c r="BY291" s="15">
        <f t="shared" ref="BY291:BY298" si="289">BT291</f>
        <v>30000</v>
      </c>
      <c r="BZ291" s="15">
        <f t="shared" ref="BZ291:BZ298" si="290">BY291/1.1/1000</f>
        <v>27.272727272727273</v>
      </c>
      <c r="CA291" s="15">
        <f t="shared" ref="CA291:CA298" si="291">BY291*2</f>
        <v>60000</v>
      </c>
      <c r="DS291" s="15">
        <f>DE291</f>
        <v>0</v>
      </c>
      <c r="FK291" s="16">
        <f t="shared" si="283"/>
        <v>8.64</v>
      </c>
      <c r="FL291" s="16">
        <f t="shared" si="284"/>
        <v>8.57</v>
      </c>
      <c r="FM291" s="15">
        <v>8.64</v>
      </c>
      <c r="FN291" s="15">
        <f t="shared" ref="FN291:FN323" si="292">FM291*0.05</f>
        <v>0.43200000000000005</v>
      </c>
      <c r="FO291" s="15">
        <f>FN291*SQRT(AR291)</f>
        <v>0.74824594886975504</v>
      </c>
      <c r="FP291" s="15">
        <v>8.57</v>
      </c>
      <c r="FQ291" s="15">
        <f t="shared" ref="FQ291:FQ323" si="293">FP291*0.05</f>
        <v>0.42850000000000005</v>
      </c>
      <c r="FR291" s="15">
        <f>FQ291*SQRT(AR291)</f>
        <v>0.74218377104326394</v>
      </c>
      <c r="FS291" s="15">
        <f t="shared" si="285"/>
        <v>0.99189814814814814</v>
      </c>
      <c r="FT291" s="15">
        <f t="shared" si="286"/>
        <v>-7.0000000000000284E-2</v>
      </c>
      <c r="FU291" s="15">
        <f t="shared" si="287"/>
        <v>-8.13485020627569E-3</v>
      </c>
      <c r="FV291" s="15">
        <f>((FR291*FR291)/(AR291*FP291*FP291)+(FO291*FO291)/(AR291*FM291*FM291))</f>
        <v>4.9999999999999992E-3</v>
      </c>
      <c r="FX291" s="15">
        <v>10.4</v>
      </c>
      <c r="FY291" s="15">
        <f>FX291*0.05</f>
        <v>0.52</v>
      </c>
      <c r="FZ291" s="15">
        <f>FY291*SQRT(AR291)</f>
        <v>0.9006664199358162</v>
      </c>
      <c r="GA291" s="15">
        <v>17.100000000000001</v>
      </c>
      <c r="GB291" s="15">
        <f>GA291*0.05</f>
        <v>0.85500000000000009</v>
      </c>
      <c r="GC291" s="15">
        <f>GB291*SQRT(AR291)</f>
        <v>1.4809034404713901</v>
      </c>
      <c r="GD291" s="15">
        <f t="shared" si="269"/>
        <v>1.6442307692307694</v>
      </c>
      <c r="GE291" s="15">
        <f t="shared" si="270"/>
        <v>6.7000000000000011</v>
      </c>
      <c r="GF291" s="15">
        <f t="shared" si="271"/>
        <v>0.49727265736128734</v>
      </c>
      <c r="GG291" s="15">
        <f>((GC291*GC291)/(AR291*GA291*GA291)+(FZ291*FZ291)/(AR291*FX291*FX291))</f>
        <v>4.9999999999999992E-3</v>
      </c>
      <c r="HE291" s="15">
        <v>10690</v>
      </c>
      <c r="HF291" s="15">
        <v>580</v>
      </c>
      <c r="HG291" s="15">
        <f>HF291*SQRT(AR291)</f>
        <v>1004.5894683899488</v>
      </c>
      <c r="HH291" s="15">
        <v>12310</v>
      </c>
      <c r="HI291" s="15">
        <v>610</v>
      </c>
      <c r="HJ291" s="15">
        <f>HI291*SQRT(AR291)</f>
        <v>1056.550992617015</v>
      </c>
      <c r="HK291" s="15">
        <f t="shared" si="272"/>
        <v>1.1515434985968194</v>
      </c>
      <c r="HL291" s="15">
        <f t="shared" si="273"/>
        <v>1620</v>
      </c>
      <c r="HM291" s="15">
        <f t="shared" si="274"/>
        <v>0.1411032151594096</v>
      </c>
      <c r="HN291" s="15">
        <f>((HJ291*HJ291)/(AR180*HH291*HH291)+(HG291*HG291)/(AR180*HE291*HE291))</f>
        <v>5.399268142506154E-3</v>
      </c>
      <c r="HP291" s="15" t="s">
        <v>766</v>
      </c>
      <c r="HV291" s="15">
        <f t="shared" si="275"/>
        <v>4252.2064385432859</v>
      </c>
      <c r="HW291" s="15">
        <f t="shared" si="276"/>
        <v>0.1411032151594096</v>
      </c>
      <c r="HX291" s="15">
        <f>CA291</f>
        <v>60000</v>
      </c>
      <c r="HY291" s="15">
        <f>BY291</f>
        <v>30000</v>
      </c>
      <c r="HZ291" s="15">
        <f>BZ291</f>
        <v>27.272727272727273</v>
      </c>
      <c r="IA291" s="15">
        <f>CA291</f>
        <v>60000</v>
      </c>
    </row>
    <row r="292" spans="1:235" s="15" customFormat="1" x14ac:dyDescent="0.25">
      <c r="A292" s="31">
        <v>290</v>
      </c>
      <c r="B292" s="1">
        <v>52</v>
      </c>
      <c r="C292" s="1">
        <v>56</v>
      </c>
      <c r="D292" s="15" t="s">
        <v>251</v>
      </c>
      <c r="E292" s="1">
        <v>4</v>
      </c>
      <c r="F292" s="15" t="s">
        <v>1049</v>
      </c>
      <c r="G292" s="15" t="s">
        <v>1047</v>
      </c>
      <c r="H292" s="15" t="s">
        <v>857</v>
      </c>
      <c r="I292" s="1">
        <v>2015</v>
      </c>
      <c r="J292" s="15" t="s">
        <v>1051</v>
      </c>
      <c r="K292" s="1" t="s">
        <v>1062</v>
      </c>
      <c r="L292" s="15" t="s">
        <v>1052</v>
      </c>
      <c r="M292" s="15" t="s">
        <v>480</v>
      </c>
      <c r="N292" s="15" t="s">
        <v>23</v>
      </c>
      <c r="O292" s="31">
        <v>3</v>
      </c>
      <c r="P292" s="15">
        <v>39.35</v>
      </c>
      <c r="Q292" s="15">
        <v>100.12</v>
      </c>
      <c r="R292" s="15">
        <v>1367</v>
      </c>
      <c r="S292" s="15">
        <v>107</v>
      </c>
      <c r="T292" s="15">
        <v>19.2</v>
      </c>
      <c r="U292" s="15" t="s">
        <v>549</v>
      </c>
      <c r="V292" s="31">
        <v>1</v>
      </c>
      <c r="W292" s="15" t="s">
        <v>1176</v>
      </c>
      <c r="X292" s="15" t="s">
        <v>1054</v>
      </c>
      <c r="Y292" s="1"/>
      <c r="Z292" s="15">
        <v>8.9</v>
      </c>
      <c r="AA292" s="15" t="s">
        <v>573</v>
      </c>
      <c r="AB292" s="15">
        <f t="shared" si="282"/>
        <v>8.9</v>
      </c>
      <c r="AC292" s="60">
        <v>6</v>
      </c>
      <c r="AD292" s="15">
        <v>13.38</v>
      </c>
      <c r="AJ292" s="15">
        <v>14.1</v>
      </c>
      <c r="AK292" s="15">
        <v>20.100000000000001</v>
      </c>
      <c r="AL292" s="15">
        <v>65.8</v>
      </c>
      <c r="AM292" s="1">
        <v>3</v>
      </c>
      <c r="AP292" s="15" t="s">
        <v>1053</v>
      </c>
      <c r="AQ292" s="1">
        <v>5</v>
      </c>
      <c r="AR292" s="1">
        <v>3</v>
      </c>
      <c r="BG292" s="15" t="s">
        <v>1055</v>
      </c>
      <c r="BI292" s="15">
        <v>102.96</v>
      </c>
      <c r="BJ292" s="15">
        <v>5.73</v>
      </c>
      <c r="BK292" s="15">
        <v>3.23</v>
      </c>
      <c r="BL292" s="15">
        <v>25</v>
      </c>
      <c r="BS292" s="15">
        <v>22500</v>
      </c>
      <c r="BT292" s="15">
        <f t="shared" si="288"/>
        <v>22500</v>
      </c>
      <c r="BU292" s="15" t="s">
        <v>766</v>
      </c>
      <c r="BY292" s="15">
        <f t="shared" si="289"/>
        <v>22500</v>
      </c>
      <c r="BZ292" s="15">
        <f t="shared" si="290"/>
        <v>20.454545454545453</v>
      </c>
      <c r="CA292" s="15">
        <f t="shared" si="291"/>
        <v>45000</v>
      </c>
      <c r="FK292" s="16">
        <f t="shared" si="283"/>
        <v>8.66</v>
      </c>
      <c r="FL292" s="16">
        <f t="shared" si="284"/>
        <v>8.59</v>
      </c>
      <c r="FM292" s="15">
        <v>8.66</v>
      </c>
      <c r="FN292" s="15">
        <f t="shared" si="292"/>
        <v>0.43300000000000005</v>
      </c>
      <c r="FO292" s="15">
        <f>FN292*SQRT(AR292)</f>
        <v>0.74997799967732393</v>
      </c>
      <c r="FP292" s="15">
        <v>8.59</v>
      </c>
      <c r="FQ292" s="15">
        <f t="shared" si="293"/>
        <v>0.42949999999999999</v>
      </c>
      <c r="FR292" s="15">
        <f>FQ292*SQRT(AR292)</f>
        <v>0.74391582185083271</v>
      </c>
      <c r="FS292" s="15">
        <f t="shared" si="285"/>
        <v>0.9919168591224018</v>
      </c>
      <c r="FT292" s="15">
        <f t="shared" si="286"/>
        <v>-7.0000000000000284E-2</v>
      </c>
      <c r="FU292" s="15">
        <f t="shared" si="287"/>
        <v>-8.1159865781796903E-3</v>
      </c>
      <c r="FV292" s="15">
        <f>((FR292*FR292)/(AR292*FP292*FP292)+(FO292*FO292)/(AR292*FM292*FM292))</f>
        <v>4.9999999999999992E-3</v>
      </c>
      <c r="FX292" s="15">
        <v>8.77</v>
      </c>
      <c r="FY292" s="15">
        <f>FX292*0.05</f>
        <v>0.4385</v>
      </c>
      <c r="FZ292" s="15">
        <f>FY292*SQRT(AR292)</f>
        <v>0.75950427911895269</v>
      </c>
      <c r="GA292" s="15">
        <v>15.5</v>
      </c>
      <c r="GB292" s="15">
        <f>GA292*0.05</f>
        <v>0.77500000000000002</v>
      </c>
      <c r="GC292" s="15">
        <f>GB292*SQRT(AR292)</f>
        <v>1.3423393758658799</v>
      </c>
      <c r="GD292" s="15">
        <f t="shared" si="269"/>
        <v>1.7673888255416192</v>
      </c>
      <c r="GE292" s="15">
        <f t="shared" si="270"/>
        <v>6.73</v>
      </c>
      <c r="GF292" s="15">
        <f t="shared" si="271"/>
        <v>0.56950321754110922</v>
      </c>
      <c r="GG292" s="15">
        <f>((GC292*GC292)/(AR292*GA292*GA292)+(FZ292*FZ292)/(AR292*FX292*FX292))</f>
        <v>5.0000000000000001E-3</v>
      </c>
      <c r="HE292" s="15">
        <v>11180</v>
      </c>
      <c r="HF292" s="15">
        <v>590</v>
      </c>
      <c r="HG292" s="15">
        <f>HF292*SQRT(AR292)</f>
        <v>1021.9099764656376</v>
      </c>
      <c r="HH292" s="15">
        <v>12660</v>
      </c>
      <c r="HI292" s="15">
        <v>650</v>
      </c>
      <c r="HJ292" s="15">
        <f>HI292*SQRT(AR292)</f>
        <v>1125.8330249197702</v>
      </c>
      <c r="HK292" s="15">
        <f t="shared" si="272"/>
        <v>1.1323792486583184</v>
      </c>
      <c r="HL292" s="15">
        <f t="shared" si="273"/>
        <v>1480</v>
      </c>
      <c r="HM292" s="15">
        <f t="shared" si="274"/>
        <v>0.12432094898907664</v>
      </c>
      <c r="HN292" s="15">
        <f>((HJ292*HJ292)/(AR181*HH292*HH292)+(HG292*HG292)/(AR181*HE292*HE292))</f>
        <v>5.4210536708512551E-3</v>
      </c>
      <c r="HP292" s="15" t="s">
        <v>766</v>
      </c>
      <c r="HV292" s="15">
        <f t="shared" si="275"/>
        <v>3619.6634892124166</v>
      </c>
      <c r="HW292" s="15">
        <f t="shared" si="276"/>
        <v>0.12432094898907664</v>
      </c>
      <c r="HX292" s="15">
        <f>CA292</f>
        <v>45000</v>
      </c>
      <c r="HY292" s="15">
        <f>BY292</f>
        <v>22500</v>
      </c>
      <c r="HZ292" s="15">
        <f>BZ292</f>
        <v>20.454545454545453</v>
      </c>
      <c r="IA292" s="15">
        <f>CA292</f>
        <v>45000</v>
      </c>
    </row>
    <row r="293" spans="1:235" s="15" customFormat="1" x14ac:dyDescent="0.25">
      <c r="A293" s="31">
        <v>291</v>
      </c>
      <c r="B293" s="1">
        <v>52</v>
      </c>
      <c r="C293" s="1">
        <v>56</v>
      </c>
      <c r="D293" s="15" t="s">
        <v>252</v>
      </c>
      <c r="E293" s="1">
        <v>4</v>
      </c>
      <c r="F293" s="15" t="s">
        <v>1050</v>
      </c>
      <c r="G293" s="15" t="s">
        <v>1047</v>
      </c>
      <c r="H293" s="15" t="s">
        <v>857</v>
      </c>
      <c r="I293" s="1">
        <v>2015</v>
      </c>
      <c r="J293" s="15" t="s">
        <v>1051</v>
      </c>
      <c r="K293" s="1" t="s">
        <v>1062</v>
      </c>
      <c r="L293" s="15" t="s">
        <v>1052</v>
      </c>
      <c r="M293" s="15" t="s">
        <v>480</v>
      </c>
      <c r="N293" s="15" t="s">
        <v>23</v>
      </c>
      <c r="O293" s="31">
        <v>3</v>
      </c>
      <c r="P293" s="15">
        <v>39.35</v>
      </c>
      <c r="Q293" s="15">
        <v>100.12</v>
      </c>
      <c r="R293" s="15">
        <v>1367</v>
      </c>
      <c r="S293" s="15">
        <v>107</v>
      </c>
      <c r="T293" s="15">
        <v>19.2</v>
      </c>
      <c r="U293" s="15" t="s">
        <v>549</v>
      </c>
      <c r="V293" s="31">
        <v>1</v>
      </c>
      <c r="W293" s="15" t="s">
        <v>1176</v>
      </c>
      <c r="X293" s="15" t="s">
        <v>1054</v>
      </c>
      <c r="Y293" s="1"/>
      <c r="Z293" s="15">
        <v>8.9</v>
      </c>
      <c r="AA293" s="15" t="s">
        <v>573</v>
      </c>
      <c r="AB293" s="15">
        <f t="shared" si="282"/>
        <v>8.9</v>
      </c>
      <c r="AC293" s="60">
        <v>6</v>
      </c>
      <c r="AD293" s="15">
        <v>13.38</v>
      </c>
      <c r="AJ293" s="15">
        <v>14.1</v>
      </c>
      <c r="AK293" s="15">
        <v>20.100000000000001</v>
      </c>
      <c r="AL293" s="15">
        <v>65.8</v>
      </c>
      <c r="AM293" s="1">
        <v>3</v>
      </c>
      <c r="AP293" s="15" t="s">
        <v>1053</v>
      </c>
      <c r="AQ293" s="1">
        <v>5</v>
      </c>
      <c r="AR293" s="1">
        <v>3</v>
      </c>
      <c r="BG293" s="15" t="s">
        <v>1055</v>
      </c>
      <c r="BI293" s="15">
        <v>102.96</v>
      </c>
      <c r="BJ293" s="15">
        <v>5.73</v>
      </c>
      <c r="BK293" s="15">
        <v>3.23</v>
      </c>
      <c r="BL293" s="15">
        <v>25</v>
      </c>
      <c r="BS293" s="15">
        <v>15000</v>
      </c>
      <c r="BT293" s="15">
        <f t="shared" si="288"/>
        <v>15000</v>
      </c>
      <c r="BU293" s="15" t="s">
        <v>766</v>
      </c>
      <c r="BY293" s="15">
        <f t="shared" si="289"/>
        <v>15000</v>
      </c>
      <c r="BZ293" s="15">
        <f t="shared" si="290"/>
        <v>13.636363636363637</v>
      </c>
      <c r="CA293" s="15">
        <f t="shared" si="291"/>
        <v>30000</v>
      </c>
      <c r="FK293" s="16">
        <f t="shared" si="283"/>
        <v>8.4700000000000006</v>
      </c>
      <c r="FL293" s="16">
        <f t="shared" si="284"/>
        <v>8.48</v>
      </c>
      <c r="FM293" s="15">
        <v>8.4700000000000006</v>
      </c>
      <c r="FN293" s="15">
        <f t="shared" si="292"/>
        <v>0.42350000000000004</v>
      </c>
      <c r="FO293" s="15">
        <f>FN293*SQRT(AR293)</f>
        <v>0.73352351700541951</v>
      </c>
      <c r="FP293" s="15">
        <v>8.48</v>
      </c>
      <c r="FQ293" s="15">
        <f t="shared" si="293"/>
        <v>0.42400000000000004</v>
      </c>
      <c r="FR293" s="15">
        <f>FQ293*SQRT(AR293)</f>
        <v>0.73438954240920395</v>
      </c>
      <c r="FS293" s="15">
        <f t="shared" si="285"/>
        <v>1.0011806375442738</v>
      </c>
      <c r="FT293" s="15">
        <f t="shared" si="286"/>
        <v>9.9999999999997868E-3</v>
      </c>
      <c r="FU293" s="15">
        <f t="shared" si="287"/>
        <v>1.1799411398487614E-3</v>
      </c>
      <c r="FV293" s="15">
        <f>((FR293*FR293)/(AR293*FP293*FP293)+(FO293*FO293)/(AR293*FM293*FM293))</f>
        <v>4.9999999999999984E-3</v>
      </c>
      <c r="FX293" s="15">
        <v>10.5</v>
      </c>
      <c r="FY293" s="15">
        <f>FX293*0.05</f>
        <v>0.52500000000000002</v>
      </c>
      <c r="FZ293" s="15">
        <f>FY293*SQRT(AR293)</f>
        <v>0.90932667397366052</v>
      </c>
      <c r="GA293" s="15">
        <v>15.1</v>
      </c>
      <c r="GB293" s="15">
        <f>GA293*0.05</f>
        <v>0.755</v>
      </c>
      <c r="GC293" s="15">
        <f>GB293*SQRT(AR293)</f>
        <v>1.3076983597145022</v>
      </c>
      <c r="GD293" s="15">
        <f t="shared" si="269"/>
        <v>1.4380952380952381</v>
      </c>
      <c r="GE293" s="15">
        <f t="shared" si="270"/>
        <v>4.5999999999999996</v>
      </c>
      <c r="GF293" s="15">
        <f t="shared" si="271"/>
        <v>0.36331948665740121</v>
      </c>
      <c r="GG293" s="15">
        <f>((GC293*GC293)/(AR293*GA293*GA293)+(FZ293*FZ293)/(AR293*FX293*FX293))</f>
        <v>4.9999999999999992E-3</v>
      </c>
      <c r="HE293" s="15">
        <v>11430</v>
      </c>
      <c r="HF293" s="15">
        <v>620</v>
      </c>
      <c r="HG293" s="15">
        <f>HF293*SQRT(AR293)</f>
        <v>1073.8715006927039</v>
      </c>
      <c r="HH293" s="15">
        <v>12370</v>
      </c>
      <c r="HI293" s="15">
        <v>780</v>
      </c>
      <c r="HJ293" s="15">
        <f>HI293*SQRT(AR293)</f>
        <v>1350.9996299037241</v>
      </c>
      <c r="HK293" s="15">
        <f t="shared" si="272"/>
        <v>1.0822397200349956</v>
      </c>
      <c r="HL293" s="15">
        <f t="shared" si="273"/>
        <v>940</v>
      </c>
      <c r="HM293" s="15">
        <f t="shared" si="274"/>
        <v>7.9032708597678081E-2</v>
      </c>
      <c r="HN293" s="15">
        <f>((HJ293*HJ293)/(AR182*HH293*HH293)+(HG293*HG293)/(AR182*HE293*HE293))</f>
        <v>6.9183582779893974E-3</v>
      </c>
      <c r="HP293" s="15" t="s">
        <v>766</v>
      </c>
      <c r="HV293" s="15">
        <f t="shared" si="275"/>
        <v>3795.8967283681554</v>
      </c>
      <c r="HW293" s="15">
        <f t="shared" si="276"/>
        <v>7.9032708597678081E-2</v>
      </c>
      <c r="HX293" s="15">
        <f>CA293</f>
        <v>30000</v>
      </c>
      <c r="HY293" s="15">
        <f>BY293</f>
        <v>15000</v>
      </c>
      <c r="HZ293" s="15">
        <f>BZ293</f>
        <v>13.636363636363637</v>
      </c>
      <c r="IA293" s="15">
        <f>CA293</f>
        <v>30000</v>
      </c>
    </row>
    <row r="294" spans="1:235" s="15" customFormat="1" ht="14.4" x14ac:dyDescent="0.25">
      <c r="A294" s="31">
        <v>292</v>
      </c>
      <c r="B294" s="1">
        <v>53</v>
      </c>
      <c r="C294" s="1">
        <v>57</v>
      </c>
      <c r="D294" s="15" t="s">
        <v>253</v>
      </c>
      <c r="E294" s="1">
        <v>4</v>
      </c>
      <c r="F294" s="15" t="s">
        <v>1056</v>
      </c>
      <c r="G294" s="15" t="s">
        <v>1060</v>
      </c>
      <c r="H294" s="15" t="s">
        <v>1061</v>
      </c>
      <c r="I294" s="1">
        <v>2018</v>
      </c>
      <c r="J294" s="15" t="s">
        <v>1059</v>
      </c>
      <c r="K294" s="1" t="s">
        <v>1063</v>
      </c>
      <c r="L294" s="15" t="s">
        <v>727</v>
      </c>
      <c r="M294" s="15" t="s">
        <v>480</v>
      </c>
      <c r="N294" s="15" t="s">
        <v>23</v>
      </c>
      <c r="O294" s="31">
        <v>2</v>
      </c>
      <c r="P294" s="15">
        <v>26.75</v>
      </c>
      <c r="Q294" s="15">
        <v>111.87</v>
      </c>
      <c r="R294" s="15">
        <v>120</v>
      </c>
      <c r="S294" s="15">
        <v>1408</v>
      </c>
      <c r="T294" s="15">
        <v>18.100000000000001</v>
      </c>
      <c r="U294" s="15" t="s">
        <v>549</v>
      </c>
      <c r="V294" s="31">
        <v>1</v>
      </c>
      <c r="W294" s="15" t="s">
        <v>1177</v>
      </c>
      <c r="X294" s="15" t="s">
        <v>731</v>
      </c>
      <c r="Y294" s="1">
        <v>12</v>
      </c>
      <c r="Z294" s="15">
        <v>4.93</v>
      </c>
      <c r="AA294" s="15" t="s">
        <v>573</v>
      </c>
      <c r="AB294" s="15">
        <f t="shared" si="282"/>
        <v>4.93</v>
      </c>
      <c r="AC294" s="1">
        <v>2</v>
      </c>
      <c r="AD294" s="15">
        <f>7.16*1.74</f>
        <v>12.458400000000001</v>
      </c>
      <c r="AJ294" s="15">
        <v>43.86</v>
      </c>
      <c r="AM294" s="1">
        <v>1</v>
      </c>
      <c r="AP294" s="15" t="s">
        <v>697</v>
      </c>
      <c r="AQ294" s="1">
        <v>1</v>
      </c>
      <c r="AR294" s="1">
        <v>3</v>
      </c>
      <c r="BG294" s="15" t="s">
        <v>1064</v>
      </c>
      <c r="BH294" s="15">
        <v>70</v>
      </c>
      <c r="BI294" s="15">
        <v>413.2</v>
      </c>
      <c r="BJ294" s="15">
        <v>10</v>
      </c>
      <c r="BK294" s="15">
        <v>8</v>
      </c>
      <c r="BL294" s="15">
        <v>5</v>
      </c>
      <c r="BS294" s="15">
        <v>15000</v>
      </c>
      <c r="BT294" s="15">
        <f t="shared" si="288"/>
        <v>15000</v>
      </c>
      <c r="BU294" s="15" t="s">
        <v>766</v>
      </c>
      <c r="BY294" s="15">
        <f t="shared" si="289"/>
        <v>15000</v>
      </c>
      <c r="BZ294" s="15">
        <f t="shared" si="290"/>
        <v>13.636363636363637</v>
      </c>
      <c r="CA294" s="15">
        <f t="shared" si="291"/>
        <v>30000</v>
      </c>
      <c r="FK294" s="16">
        <f t="shared" si="283"/>
        <v>5.39</v>
      </c>
      <c r="FL294" s="16">
        <f t="shared" si="284"/>
        <v>5.53</v>
      </c>
      <c r="FM294" s="15">
        <v>5.39</v>
      </c>
      <c r="FN294" s="15">
        <f t="shared" si="292"/>
        <v>0.26950000000000002</v>
      </c>
      <c r="FO294" s="15">
        <f>FN294*SQRT(AR294)</f>
        <v>0.46678769263981246</v>
      </c>
      <c r="FP294" s="15">
        <v>5.53</v>
      </c>
      <c r="FQ294" s="15">
        <f t="shared" si="293"/>
        <v>0.27650000000000002</v>
      </c>
      <c r="FR294" s="15">
        <f>FQ294*SQRT(AR294)</f>
        <v>0.4789120482927946</v>
      </c>
      <c r="FS294" s="15">
        <f t="shared" si="285"/>
        <v>1.025974025974026</v>
      </c>
      <c r="FT294" s="15">
        <f t="shared" si="286"/>
        <v>0.14000000000000057</v>
      </c>
      <c r="FU294" s="15">
        <f t="shared" si="287"/>
        <v>2.5642430613337597E-2</v>
      </c>
      <c r="FV294" s="15">
        <f>((FR294*FR294)/(AR294*FP294*FP294)+(FO294*FO294)/(AR294*FM294*FM294))</f>
        <v>5.000000000000001E-3</v>
      </c>
      <c r="HE294" s="15">
        <v>4010</v>
      </c>
      <c r="HF294" s="15">
        <v>1200</v>
      </c>
      <c r="HG294" s="15">
        <f>HF294*SQRT(AR294)</f>
        <v>2078.4609690826528</v>
      </c>
      <c r="HH294" s="15">
        <v>4950</v>
      </c>
      <c r="HI294" s="15">
        <v>540</v>
      </c>
      <c r="HJ294" s="15">
        <f>HI294*SQRT(AR294)</f>
        <v>935.30743608719365</v>
      </c>
      <c r="HK294" s="15">
        <f t="shared" si="272"/>
        <v>1.2344139650872819</v>
      </c>
      <c r="HL294" s="15">
        <f t="shared" si="273"/>
        <v>940</v>
      </c>
      <c r="HM294" s="15">
        <f t="shared" si="274"/>
        <v>0.21059633526212096</v>
      </c>
      <c r="HN294" s="15">
        <f>((HJ294*HJ294)/(AR183*HH294*HH294)+(HG294*HG294)/(AR183*HE294*HE294))</f>
        <v>0.10145250833880654</v>
      </c>
      <c r="HP294" s="15" t="s">
        <v>766</v>
      </c>
      <c r="HV294" s="15">
        <f t="shared" si="275"/>
        <v>1424.5262132724288</v>
      </c>
      <c r="HW294" s="15">
        <f t="shared" si="276"/>
        <v>0.21059633526212096</v>
      </c>
      <c r="HX294" s="15">
        <f>CA294</f>
        <v>30000</v>
      </c>
      <c r="HY294" s="15">
        <f>BY294</f>
        <v>15000</v>
      </c>
      <c r="HZ294" s="15">
        <f>BZ294</f>
        <v>13.636363636363637</v>
      </c>
      <c r="IA294" s="15">
        <f>CA294</f>
        <v>30000</v>
      </c>
    </row>
    <row r="295" spans="1:235" s="15" customFormat="1" ht="14.4" x14ac:dyDescent="0.25">
      <c r="A295" s="31">
        <v>293</v>
      </c>
      <c r="B295" s="1">
        <v>53</v>
      </c>
      <c r="C295" s="1">
        <v>57</v>
      </c>
      <c r="D295" s="15" t="s">
        <v>254</v>
      </c>
      <c r="E295" s="1">
        <v>4</v>
      </c>
      <c r="F295" s="15" t="s">
        <v>1057</v>
      </c>
      <c r="G295" s="15" t="s">
        <v>1060</v>
      </c>
      <c r="H295" s="15" t="s">
        <v>1061</v>
      </c>
      <c r="I295" s="1">
        <v>2018</v>
      </c>
      <c r="J295" s="15" t="s">
        <v>1059</v>
      </c>
      <c r="K295" s="1" t="s">
        <v>1063</v>
      </c>
      <c r="L295" s="15" t="s">
        <v>727</v>
      </c>
      <c r="M295" s="15" t="s">
        <v>480</v>
      </c>
      <c r="N295" s="15" t="s">
        <v>23</v>
      </c>
      <c r="O295" s="31">
        <v>2</v>
      </c>
      <c r="P295" s="15">
        <v>26.75</v>
      </c>
      <c r="Q295" s="15">
        <v>111.87</v>
      </c>
      <c r="R295" s="15">
        <v>120</v>
      </c>
      <c r="S295" s="15">
        <v>1408</v>
      </c>
      <c r="T295" s="15">
        <v>18.100000000000001</v>
      </c>
      <c r="U295" s="15" t="s">
        <v>549</v>
      </c>
      <c r="V295" s="31">
        <v>1</v>
      </c>
      <c r="W295" s="15" t="s">
        <v>1177</v>
      </c>
      <c r="X295" s="15" t="s">
        <v>731</v>
      </c>
      <c r="Y295" s="1">
        <v>12</v>
      </c>
      <c r="Z295" s="15">
        <v>4.93</v>
      </c>
      <c r="AA295" s="15" t="s">
        <v>573</v>
      </c>
      <c r="AB295" s="15">
        <f t="shared" si="282"/>
        <v>4.93</v>
      </c>
      <c r="AC295" s="1">
        <v>2</v>
      </c>
      <c r="AD295" s="15">
        <f>7.16*1.74</f>
        <v>12.458400000000001</v>
      </c>
      <c r="AJ295" s="15">
        <v>43.86</v>
      </c>
      <c r="AM295" s="1">
        <v>1</v>
      </c>
      <c r="AP295" s="15" t="s">
        <v>697</v>
      </c>
      <c r="AQ295" s="1">
        <v>1</v>
      </c>
      <c r="AR295" s="1">
        <v>3</v>
      </c>
      <c r="BG295" s="15" t="s">
        <v>1064</v>
      </c>
      <c r="BH295" s="15">
        <v>70</v>
      </c>
      <c r="BI295" s="15">
        <v>413.2</v>
      </c>
      <c r="BJ295" s="15">
        <v>10</v>
      </c>
      <c r="BK295" s="15">
        <v>8</v>
      </c>
      <c r="BL295" s="15">
        <v>5</v>
      </c>
      <c r="BS295" s="15">
        <v>30000</v>
      </c>
      <c r="BT295" s="15">
        <f t="shared" si="288"/>
        <v>30000</v>
      </c>
      <c r="BU295" s="15" t="s">
        <v>766</v>
      </c>
      <c r="BY295" s="15">
        <f t="shared" si="289"/>
        <v>30000</v>
      </c>
      <c r="BZ295" s="15">
        <f t="shared" si="290"/>
        <v>27.272727272727273</v>
      </c>
      <c r="CA295" s="15">
        <f t="shared" si="291"/>
        <v>60000</v>
      </c>
      <c r="FK295" s="16">
        <f t="shared" si="283"/>
        <v>5.39</v>
      </c>
      <c r="FL295" s="16">
        <f t="shared" si="284"/>
        <v>5.7</v>
      </c>
      <c r="FM295" s="15">
        <v>5.39</v>
      </c>
      <c r="FN295" s="15">
        <f t="shared" si="292"/>
        <v>0.26950000000000002</v>
      </c>
      <c r="FO295" s="15">
        <f>FN295*SQRT(AR295)</f>
        <v>0.46678769263981246</v>
      </c>
      <c r="FP295" s="15">
        <v>5.7</v>
      </c>
      <c r="FQ295" s="15">
        <f t="shared" si="293"/>
        <v>0.28500000000000003</v>
      </c>
      <c r="FR295" s="15">
        <f>FQ295*SQRT(AR295)</f>
        <v>0.49363448015713007</v>
      </c>
      <c r="FS295" s="15">
        <f t="shared" si="285"/>
        <v>1.0575139146567718</v>
      </c>
      <c r="FT295" s="15">
        <f t="shared" si="286"/>
        <v>0.3100000000000005</v>
      </c>
      <c r="FU295" s="15">
        <f t="shared" si="287"/>
        <v>5.5920789919598812E-2</v>
      </c>
      <c r="FV295" s="15">
        <f>((FR295*FR295)/(AR295*FP295*FP295)+(FO295*FO295)/(AR295*FM295*FM295))</f>
        <v>5.000000000000001E-3</v>
      </c>
      <c r="HE295" s="15">
        <v>4010</v>
      </c>
      <c r="HF295" s="15">
        <v>1200</v>
      </c>
      <c r="HG295" s="15">
        <f>HF295*SQRT(AR295)</f>
        <v>2078.4609690826528</v>
      </c>
      <c r="HH295" s="15">
        <v>5450</v>
      </c>
      <c r="HI295" s="15">
        <v>1150</v>
      </c>
      <c r="HJ295" s="15">
        <f>HI295*SQRT(AR295)</f>
        <v>1991.8584287042088</v>
      </c>
      <c r="HK295" s="15">
        <f t="shared" si="272"/>
        <v>1.3591022443890275</v>
      </c>
      <c r="HL295" s="15">
        <f t="shared" si="273"/>
        <v>1440</v>
      </c>
      <c r="HM295" s="15">
        <f t="shared" si="274"/>
        <v>0.30682436735667551</v>
      </c>
      <c r="HN295" s="15">
        <f>((HJ295*HJ295)/(AR184*HH295*HH295)+(HG295*HG295)/(AR184*HE295*HE295))</f>
        <v>0.13407655353632658</v>
      </c>
      <c r="HP295" s="15" t="s">
        <v>766</v>
      </c>
      <c r="HV295" s="15">
        <f t="shared" si="275"/>
        <v>1955.5161318152914</v>
      </c>
      <c r="HW295" s="15">
        <f t="shared" si="276"/>
        <v>0.30682436735667551</v>
      </c>
      <c r="HX295" s="15">
        <f>CA295</f>
        <v>60000</v>
      </c>
      <c r="HY295" s="15">
        <f>BY295</f>
        <v>30000</v>
      </c>
      <c r="HZ295" s="15">
        <f>BZ295</f>
        <v>27.272727272727273</v>
      </c>
      <c r="IA295" s="15">
        <f>CA295</f>
        <v>60000</v>
      </c>
    </row>
    <row r="296" spans="1:235" s="15" customFormat="1" ht="14.4" x14ac:dyDescent="0.25">
      <c r="A296" s="31">
        <v>294</v>
      </c>
      <c r="B296" s="1">
        <v>53</v>
      </c>
      <c r="C296" s="1">
        <v>57</v>
      </c>
      <c r="D296" s="15" t="s">
        <v>255</v>
      </c>
      <c r="E296" s="1">
        <v>4</v>
      </c>
      <c r="F296" s="15" t="s">
        <v>1058</v>
      </c>
      <c r="G296" s="15" t="s">
        <v>1060</v>
      </c>
      <c r="H296" s="15" t="s">
        <v>1061</v>
      </c>
      <c r="I296" s="1">
        <v>2018</v>
      </c>
      <c r="J296" s="15" t="s">
        <v>1059</v>
      </c>
      <c r="K296" s="1" t="s">
        <v>1063</v>
      </c>
      <c r="L296" s="15" t="s">
        <v>727</v>
      </c>
      <c r="M296" s="15" t="s">
        <v>480</v>
      </c>
      <c r="N296" s="15" t="s">
        <v>23</v>
      </c>
      <c r="O296" s="31">
        <v>2</v>
      </c>
      <c r="P296" s="15">
        <v>26.75</v>
      </c>
      <c r="Q296" s="15">
        <v>111.87</v>
      </c>
      <c r="R296" s="15">
        <v>120</v>
      </c>
      <c r="S296" s="15">
        <v>1408</v>
      </c>
      <c r="T296" s="15">
        <v>18.100000000000001</v>
      </c>
      <c r="U296" s="15" t="s">
        <v>549</v>
      </c>
      <c r="V296" s="31">
        <v>1</v>
      </c>
      <c r="W296" s="15" t="s">
        <v>1177</v>
      </c>
      <c r="X296" s="15" t="s">
        <v>731</v>
      </c>
      <c r="Y296" s="1">
        <v>12</v>
      </c>
      <c r="Z296" s="15">
        <v>4.93</v>
      </c>
      <c r="AA296" s="15" t="s">
        <v>573</v>
      </c>
      <c r="AB296" s="15">
        <f t="shared" si="282"/>
        <v>4.93</v>
      </c>
      <c r="AC296" s="1">
        <v>2</v>
      </c>
      <c r="AD296" s="15">
        <f>7.16*1.74</f>
        <v>12.458400000000001</v>
      </c>
      <c r="AJ296" s="15">
        <v>43.86</v>
      </c>
      <c r="AM296" s="1">
        <v>1</v>
      </c>
      <c r="AP296" s="15" t="s">
        <v>697</v>
      </c>
      <c r="AQ296" s="1">
        <v>1</v>
      </c>
      <c r="AR296" s="1">
        <v>3</v>
      </c>
      <c r="BG296" s="15" t="s">
        <v>1064</v>
      </c>
      <c r="BH296" s="15">
        <v>70</v>
      </c>
      <c r="BI296" s="15">
        <v>413.2</v>
      </c>
      <c r="BJ296" s="15">
        <v>10</v>
      </c>
      <c r="BK296" s="15">
        <v>8</v>
      </c>
      <c r="BL296" s="15">
        <v>5</v>
      </c>
      <c r="BS296" s="15">
        <v>45000</v>
      </c>
      <c r="BT296" s="15">
        <f t="shared" si="288"/>
        <v>45000</v>
      </c>
      <c r="BU296" s="15" t="s">
        <v>766</v>
      </c>
      <c r="BY296" s="15">
        <f t="shared" si="289"/>
        <v>45000</v>
      </c>
      <c r="BZ296" s="15">
        <f t="shared" si="290"/>
        <v>40.909090909090907</v>
      </c>
      <c r="CA296" s="15">
        <f t="shared" si="291"/>
        <v>90000</v>
      </c>
      <c r="FK296" s="16">
        <f t="shared" si="283"/>
        <v>5.39</v>
      </c>
      <c r="FL296" s="16">
        <f t="shared" si="284"/>
        <v>6.05</v>
      </c>
      <c r="FM296" s="15">
        <v>5.39</v>
      </c>
      <c r="FN296" s="15">
        <f t="shared" si="292"/>
        <v>0.26950000000000002</v>
      </c>
      <c r="FO296" s="15">
        <f>FN296*SQRT(AR296)</f>
        <v>0.46678769263981246</v>
      </c>
      <c r="FP296" s="15">
        <v>6.05</v>
      </c>
      <c r="FQ296" s="15">
        <f t="shared" si="293"/>
        <v>0.30249999999999999</v>
      </c>
      <c r="FR296" s="15">
        <f>FQ296*SQRT(AR296)</f>
        <v>0.52394536928958535</v>
      </c>
      <c r="FS296" s="15">
        <f t="shared" si="285"/>
        <v>1.1224489795918369</v>
      </c>
      <c r="FT296" s="15">
        <f t="shared" si="286"/>
        <v>0.66000000000000014</v>
      </c>
      <c r="FU296" s="15">
        <f t="shared" si="287"/>
        <v>0.11551288712184427</v>
      </c>
      <c r="FV296" s="15">
        <f>((FR296*FR296)/(AR296*FP296*FP296)+(FO296*FO296)/(AR296*FM296*FM296))</f>
        <v>5.000000000000001E-3</v>
      </c>
      <c r="HE296" s="15">
        <v>4010</v>
      </c>
      <c r="HF296" s="15">
        <v>1200</v>
      </c>
      <c r="HG296" s="15">
        <f>HF296*SQRT(AR296)</f>
        <v>2078.4609690826528</v>
      </c>
      <c r="HH296" s="15">
        <v>5400</v>
      </c>
      <c r="HI296" s="15">
        <v>1060</v>
      </c>
      <c r="HJ296" s="15">
        <f>HI296*SQRT(AR296)</f>
        <v>1835.9738560230098</v>
      </c>
      <c r="HK296" s="15">
        <f t="shared" si="272"/>
        <v>1.3466334164588529</v>
      </c>
      <c r="HL296" s="15">
        <f t="shared" si="273"/>
        <v>1390</v>
      </c>
      <c r="HM296" s="15">
        <f t="shared" si="274"/>
        <v>0.29760771225175198</v>
      </c>
      <c r="HN296" s="15">
        <f>((HJ296*HJ296)/(AR185*HH296*HH296)+(HG296*HG296)/(AR185*HE296*HE296))</f>
        <v>0.12808391783216888</v>
      </c>
      <c r="HP296" s="15" t="s">
        <v>766</v>
      </c>
      <c r="HV296" s="15">
        <f t="shared" si="275"/>
        <v>3024.1151789731612</v>
      </c>
      <c r="HW296" s="15">
        <f t="shared" si="276"/>
        <v>0.29760771225175198</v>
      </c>
      <c r="HX296" s="15">
        <f>CA296</f>
        <v>90000</v>
      </c>
      <c r="HY296" s="15">
        <f>BY296</f>
        <v>45000</v>
      </c>
      <c r="HZ296" s="15">
        <f>BZ296</f>
        <v>40.909090909090907</v>
      </c>
      <c r="IA296" s="15">
        <f>CA296</f>
        <v>90000</v>
      </c>
    </row>
    <row r="297" spans="1:235" s="15" customFormat="1" x14ac:dyDescent="0.25">
      <c r="A297" s="31">
        <v>295</v>
      </c>
      <c r="B297" s="1">
        <v>54</v>
      </c>
      <c r="C297" s="1">
        <v>58</v>
      </c>
      <c r="D297" s="15" t="s">
        <v>256</v>
      </c>
      <c r="E297" s="1">
        <v>4</v>
      </c>
      <c r="F297" s="15" t="s">
        <v>1019</v>
      </c>
      <c r="G297" s="15" t="s">
        <v>1066</v>
      </c>
      <c r="H297" s="15" t="s">
        <v>1067</v>
      </c>
      <c r="I297" s="1">
        <v>2014</v>
      </c>
      <c r="J297" s="15" t="s">
        <v>1068</v>
      </c>
      <c r="K297" s="1" t="s">
        <v>1069</v>
      </c>
      <c r="L297" s="15" t="s">
        <v>1070</v>
      </c>
      <c r="M297" s="15" t="s">
        <v>480</v>
      </c>
      <c r="N297" s="15" t="s">
        <v>23</v>
      </c>
      <c r="O297" s="31">
        <v>2</v>
      </c>
      <c r="P297" s="15">
        <v>21.2</v>
      </c>
      <c r="Q297" s="15">
        <v>110.28</v>
      </c>
      <c r="R297" s="15">
        <v>9</v>
      </c>
      <c r="S297" s="15">
        <v>1610</v>
      </c>
      <c r="U297" s="15" t="s">
        <v>549</v>
      </c>
      <c r="V297" s="31">
        <v>1</v>
      </c>
      <c r="W297" s="16" t="s">
        <v>1158</v>
      </c>
      <c r="X297" s="15" t="s">
        <v>1071</v>
      </c>
      <c r="Y297" s="1">
        <v>2</v>
      </c>
      <c r="Z297" s="15">
        <v>4.5199999999999996</v>
      </c>
      <c r="AA297" s="15" t="s">
        <v>573</v>
      </c>
      <c r="AB297" s="15">
        <f t="shared" si="282"/>
        <v>4.5199999999999996</v>
      </c>
      <c r="AC297" s="1">
        <v>2</v>
      </c>
      <c r="AD297" s="15">
        <v>21.2</v>
      </c>
      <c r="AM297" s="1"/>
      <c r="AQ297" s="1"/>
      <c r="AR297" s="1">
        <v>3</v>
      </c>
      <c r="BG297" s="15" t="s">
        <v>1045</v>
      </c>
      <c r="BI297" s="15">
        <f>201/1.74</f>
        <v>115.51724137931035</v>
      </c>
      <c r="BJ297" s="15">
        <v>16.8</v>
      </c>
      <c r="BK297" s="15">
        <v>20.3</v>
      </c>
      <c r="BL297" s="15">
        <v>17</v>
      </c>
      <c r="BP297" s="16"/>
      <c r="BQ297" s="16"/>
      <c r="BR297" s="16"/>
      <c r="BS297" s="15">
        <v>6250</v>
      </c>
      <c r="BT297" s="15">
        <f t="shared" si="288"/>
        <v>6250</v>
      </c>
      <c r="BU297" s="15" t="s">
        <v>766</v>
      </c>
      <c r="BY297" s="15">
        <f t="shared" si="289"/>
        <v>6250</v>
      </c>
      <c r="BZ297" s="15">
        <f t="shared" si="290"/>
        <v>5.6818181818181808</v>
      </c>
      <c r="CA297" s="15">
        <f t="shared" si="291"/>
        <v>12500</v>
      </c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>
        <f t="shared" si="283"/>
        <v>4.7</v>
      </c>
      <c r="FL297" s="16">
        <f t="shared" si="284"/>
        <v>4.78</v>
      </c>
      <c r="FM297" s="15">
        <v>4.7</v>
      </c>
      <c r="FN297" s="15">
        <f t="shared" si="292"/>
        <v>0.23500000000000001</v>
      </c>
      <c r="FO297" s="15">
        <f>FN297*SQRT(AR297)</f>
        <v>0.40703193977868618</v>
      </c>
      <c r="FP297" s="15">
        <v>4.78</v>
      </c>
      <c r="FQ297" s="15">
        <f t="shared" si="293"/>
        <v>0.23900000000000002</v>
      </c>
      <c r="FR297" s="15">
        <f>FQ297*SQRT(AR297)</f>
        <v>0.41396014300896167</v>
      </c>
      <c r="FS297" s="15">
        <f t="shared" si="285"/>
        <v>1.0170212765957447</v>
      </c>
      <c r="FT297" s="15">
        <f t="shared" si="286"/>
        <v>8.0000000000000071E-2</v>
      </c>
      <c r="FU297" s="15">
        <f t="shared" si="287"/>
        <v>1.6878037787351641E-2</v>
      </c>
      <c r="FV297" s="15">
        <f>((FR297*FR297)/(AR297*FP297*FP297)+(FO297*FO297)/(AR297*FM297*FM297))</f>
        <v>4.9999999999999992E-3</v>
      </c>
      <c r="FX297" s="15">
        <v>19.600000000000001</v>
      </c>
      <c r="FY297" s="15">
        <f>FX297*0.05</f>
        <v>0.98000000000000009</v>
      </c>
      <c r="FZ297" s="15">
        <f>FY297*SQRT(AR297)</f>
        <v>1.6974097914174997</v>
      </c>
      <c r="GA297" s="15">
        <v>23.8</v>
      </c>
      <c r="GB297" s="15">
        <f>GA297*0.05</f>
        <v>1.1900000000000002</v>
      </c>
      <c r="GC297" s="15">
        <f>GB297*SQRT(AR297)</f>
        <v>2.0611404610069641</v>
      </c>
      <c r="GD297" s="15">
        <f>GA297/FX297</f>
        <v>1.2142857142857142</v>
      </c>
      <c r="GE297" s="15">
        <f>GA297-FX297</f>
        <v>4.1999999999999993</v>
      </c>
      <c r="GF297" s="15">
        <f>LN(GA297)-LN(FX297)</f>
        <v>0.19415601444095731</v>
      </c>
      <c r="GG297" s="15">
        <f>((GC297*GC297)/(AR297*GA297*GA297)+(FZ297*FZ297)/(AR297*FX297*FX297))</f>
        <v>4.9999999999999992E-3</v>
      </c>
      <c r="HE297" s="15">
        <v>4030</v>
      </c>
      <c r="HF297" s="15">
        <v>1000</v>
      </c>
      <c r="HG297" s="15">
        <f>HF297*SQRT(AR297)</f>
        <v>1732.0508075688772</v>
      </c>
      <c r="HH297" s="15">
        <v>5250.107</v>
      </c>
      <c r="HI297" s="15">
        <v>1070</v>
      </c>
      <c r="HJ297" s="15">
        <f>HI297*SQRT(AR297)</f>
        <v>1853.2943640986987</v>
      </c>
      <c r="HK297" s="15">
        <f t="shared" si="272"/>
        <v>1.3027560794044666</v>
      </c>
      <c r="HL297" s="15">
        <f t="shared" si="273"/>
        <v>1220.107</v>
      </c>
      <c r="HM297" s="15">
        <f t="shared" si="274"/>
        <v>0.26448208138963381</v>
      </c>
      <c r="HN297" s="15">
        <f>((HJ297*HJ297)/(AR186*HH297*HH297)+(HG297*HG297)/(AR186*HE297*HE297))</f>
        <v>0.10310957125229907</v>
      </c>
      <c r="HP297" s="15" t="s">
        <v>766</v>
      </c>
      <c r="HV297" s="15">
        <f t="shared" si="275"/>
        <v>472.62180992840331</v>
      </c>
      <c r="HW297" s="15">
        <f t="shared" si="276"/>
        <v>0.26448208138963381</v>
      </c>
      <c r="HX297" s="15">
        <f>CA297</f>
        <v>12500</v>
      </c>
      <c r="HY297" s="15">
        <f>BY297</f>
        <v>6250</v>
      </c>
      <c r="HZ297" s="15">
        <f>BZ297</f>
        <v>5.6818181818181808</v>
      </c>
      <c r="IA297" s="15">
        <f>CA297</f>
        <v>12500</v>
      </c>
    </row>
    <row r="298" spans="1:235" s="15" customFormat="1" x14ac:dyDescent="0.25">
      <c r="A298" s="31">
        <v>296</v>
      </c>
      <c r="B298" s="1">
        <v>54</v>
      </c>
      <c r="C298" s="1">
        <v>58</v>
      </c>
      <c r="D298" s="15" t="s">
        <v>257</v>
      </c>
      <c r="E298" s="1">
        <v>4</v>
      </c>
      <c r="F298" s="15" t="s">
        <v>1019</v>
      </c>
      <c r="G298" s="15" t="s">
        <v>1066</v>
      </c>
      <c r="H298" s="15" t="s">
        <v>1067</v>
      </c>
      <c r="I298" s="1">
        <v>2014</v>
      </c>
      <c r="J298" s="15" t="s">
        <v>1068</v>
      </c>
      <c r="K298" s="1" t="s">
        <v>1069</v>
      </c>
      <c r="L298" s="15" t="s">
        <v>1070</v>
      </c>
      <c r="M298" s="15" t="s">
        <v>480</v>
      </c>
      <c r="N298" s="15" t="s">
        <v>23</v>
      </c>
      <c r="O298" s="31">
        <v>2</v>
      </c>
      <c r="P298" s="15">
        <v>21.2</v>
      </c>
      <c r="Q298" s="15">
        <v>110.28</v>
      </c>
      <c r="R298" s="15">
        <v>9</v>
      </c>
      <c r="S298" s="15">
        <v>1610</v>
      </c>
      <c r="U298" s="15" t="s">
        <v>549</v>
      </c>
      <c r="V298" s="31">
        <v>1</v>
      </c>
      <c r="W298" s="16" t="s">
        <v>1158</v>
      </c>
      <c r="X298" s="15" t="s">
        <v>1071</v>
      </c>
      <c r="Y298" s="1">
        <v>2</v>
      </c>
      <c r="Z298" s="15">
        <v>4.5199999999999996</v>
      </c>
      <c r="AA298" s="15" t="s">
        <v>573</v>
      </c>
      <c r="AB298" s="15">
        <f t="shared" si="282"/>
        <v>4.5199999999999996</v>
      </c>
      <c r="AC298" s="1">
        <v>2</v>
      </c>
      <c r="AD298" s="15">
        <v>21.2</v>
      </c>
      <c r="AM298" s="1"/>
      <c r="AQ298" s="1"/>
      <c r="AR298" s="1">
        <v>3</v>
      </c>
      <c r="BG298" s="15" t="s">
        <v>1072</v>
      </c>
      <c r="BI298" s="15">
        <f>455/1.74</f>
        <v>261.4942528735632</v>
      </c>
      <c r="BJ298" s="15">
        <v>32.700000000000003</v>
      </c>
      <c r="BK298" s="15">
        <v>13.4</v>
      </c>
      <c r="BL298" s="15">
        <v>15.5</v>
      </c>
      <c r="BP298" s="16"/>
      <c r="BQ298" s="16"/>
      <c r="BR298" s="16"/>
      <c r="BS298" s="15">
        <v>3750</v>
      </c>
      <c r="BT298" s="15">
        <f t="shared" si="288"/>
        <v>3750</v>
      </c>
      <c r="BU298" s="15" t="s">
        <v>766</v>
      </c>
      <c r="BY298" s="15">
        <f t="shared" si="289"/>
        <v>3750</v>
      </c>
      <c r="BZ298" s="15">
        <f t="shared" si="290"/>
        <v>3.4090909090909092</v>
      </c>
      <c r="CA298" s="15">
        <f t="shared" si="291"/>
        <v>7500</v>
      </c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>
        <f t="shared" si="283"/>
        <v>4.7</v>
      </c>
      <c r="FL298" s="16">
        <f t="shared" si="284"/>
        <v>4.83</v>
      </c>
      <c r="FM298" s="15">
        <v>4.7</v>
      </c>
      <c r="FN298" s="15">
        <f t="shared" si="292"/>
        <v>0.23500000000000001</v>
      </c>
      <c r="FO298" s="15">
        <f>FN298*SQRT(AR298)</f>
        <v>0.40703193977868618</v>
      </c>
      <c r="FP298" s="15">
        <v>4.83</v>
      </c>
      <c r="FQ298" s="15">
        <f t="shared" si="293"/>
        <v>0.24150000000000002</v>
      </c>
      <c r="FR298" s="15">
        <f>FQ298*SQRT(AR298)</f>
        <v>0.41829027002788388</v>
      </c>
      <c r="FS298" s="15">
        <f t="shared" si="285"/>
        <v>1.027659574468085</v>
      </c>
      <c r="FT298" s="15">
        <f t="shared" si="286"/>
        <v>0.12999999999999989</v>
      </c>
      <c r="FU298" s="15">
        <f t="shared" si="287"/>
        <v>2.7283958948468356E-2</v>
      </c>
      <c r="FV298" s="15">
        <f>((FR298*FR298)/(AR298*FP298*FP298)+(FO298*FO298)/(AR298*FM298*FM298))</f>
        <v>5.0000000000000001E-3</v>
      </c>
      <c r="FX298" s="15">
        <v>19.600000000000001</v>
      </c>
      <c r="FY298" s="15">
        <f>FX298*0.05</f>
        <v>0.98000000000000009</v>
      </c>
      <c r="FZ298" s="15">
        <f>FY298*SQRT(AR298)</f>
        <v>1.6974097914174997</v>
      </c>
      <c r="GA298" s="15">
        <v>26.2</v>
      </c>
      <c r="GB298" s="15">
        <f>GA298*0.05</f>
        <v>1.31</v>
      </c>
      <c r="GC298" s="15">
        <f>GB298*SQRT(AR298)</f>
        <v>2.2689865579152291</v>
      </c>
      <c r="GD298" s="15">
        <f>GA298/FX298</f>
        <v>1.3367346938775508</v>
      </c>
      <c r="GE298" s="15">
        <f>GA298-FX298</f>
        <v>6.5999999999999979</v>
      </c>
      <c r="GF298" s="15">
        <f>LN(GA298)-LN(FX298)</f>
        <v>0.29022984453057932</v>
      </c>
      <c r="GG298" s="15">
        <f>((GC298*GC298)/(AR298*GA298*GA298)+(FZ298*FZ298)/(AR298*FX298*FX298))</f>
        <v>4.9999999999999992E-3</v>
      </c>
      <c r="HE298" s="15">
        <v>4030</v>
      </c>
      <c r="HF298" s="15">
        <v>1000</v>
      </c>
      <c r="HG298" s="15">
        <f>HF298*SQRT(AR298)</f>
        <v>1732.0508075688772</v>
      </c>
      <c r="HH298" s="15">
        <v>6800</v>
      </c>
      <c r="HI298" s="15">
        <v>710</v>
      </c>
      <c r="HJ298" s="15">
        <f>HI298*SQRT(AR298)</f>
        <v>1229.7560733739028</v>
      </c>
      <c r="HK298" s="15">
        <f t="shared" si="272"/>
        <v>1.6873449131513647</v>
      </c>
      <c r="HL298" s="15">
        <f t="shared" si="273"/>
        <v>2770</v>
      </c>
      <c r="HM298" s="15">
        <f t="shared" si="274"/>
        <v>0.52315623622346941</v>
      </c>
      <c r="HN298" s="15">
        <f>((HJ298*HJ298)/(AR187*HH298*HH298)+(HG298*HG298)/(AR187*HE298*HE298))</f>
        <v>7.2474758995194344E-2</v>
      </c>
      <c r="HP298" s="15" t="s">
        <v>766</v>
      </c>
      <c r="HV298" s="15">
        <f t="shared" si="275"/>
        <v>143.36061544712865</v>
      </c>
      <c r="HW298" s="15">
        <f t="shared" si="276"/>
        <v>0.52315623622346941</v>
      </c>
      <c r="HX298" s="15">
        <f>CA298</f>
        <v>7500</v>
      </c>
      <c r="HY298" s="15">
        <f>BY298</f>
        <v>3750</v>
      </c>
      <c r="HZ298" s="15">
        <f>BZ298</f>
        <v>3.4090909090909092</v>
      </c>
      <c r="IA298" s="15">
        <f>CA298</f>
        <v>7500</v>
      </c>
    </row>
    <row r="299" spans="1:235" s="15" customFormat="1" x14ac:dyDescent="0.25">
      <c r="A299" s="31">
        <v>297</v>
      </c>
      <c r="B299" s="1">
        <v>55</v>
      </c>
      <c r="C299" s="1">
        <v>59</v>
      </c>
      <c r="D299" s="15" t="s">
        <v>258</v>
      </c>
      <c r="E299" s="1">
        <v>1</v>
      </c>
      <c r="F299" s="15" t="s">
        <v>1073</v>
      </c>
      <c r="G299" s="15" t="s">
        <v>1075</v>
      </c>
      <c r="H299" s="15" t="s">
        <v>1074</v>
      </c>
      <c r="I299" s="1">
        <v>2016</v>
      </c>
      <c r="J299" s="15" t="s">
        <v>1076</v>
      </c>
      <c r="K299" s="1" t="s">
        <v>1077</v>
      </c>
      <c r="L299" s="15" t="s">
        <v>779</v>
      </c>
      <c r="M299" s="15" t="s">
        <v>480</v>
      </c>
      <c r="N299" s="15" t="s">
        <v>23</v>
      </c>
      <c r="O299" s="31">
        <v>2</v>
      </c>
      <c r="P299" s="15">
        <v>28.62</v>
      </c>
      <c r="Q299" s="15">
        <v>112.13</v>
      </c>
      <c r="R299" s="15">
        <v>100</v>
      </c>
      <c r="S299" s="15">
        <v>1385</v>
      </c>
      <c r="U299" s="15" t="s">
        <v>549</v>
      </c>
      <c r="V299" s="31">
        <v>1</v>
      </c>
      <c r="W299" s="15" t="s">
        <v>1178</v>
      </c>
      <c r="X299" s="15" t="s">
        <v>689</v>
      </c>
      <c r="Y299" s="1">
        <v>1</v>
      </c>
      <c r="Z299" s="15">
        <v>6.06</v>
      </c>
      <c r="AA299" s="15" t="s">
        <v>573</v>
      </c>
      <c r="AB299" s="15">
        <f t="shared" si="282"/>
        <v>6.06</v>
      </c>
      <c r="AC299" s="1">
        <v>5</v>
      </c>
      <c r="AD299" s="15">
        <v>34.700000000000003</v>
      </c>
      <c r="AM299" s="1"/>
      <c r="AQ299" s="1"/>
      <c r="AR299" s="1">
        <v>3</v>
      </c>
      <c r="AT299" s="15" t="s">
        <v>545</v>
      </c>
      <c r="AU299" s="15">
        <v>70</v>
      </c>
      <c r="AW299" s="15">
        <v>975</v>
      </c>
      <c r="AX299" s="15">
        <f t="shared" ref="AX299:AX304" si="294">AW299*1.78</f>
        <v>1735.5</v>
      </c>
      <c r="AY299" s="15" t="s">
        <v>766</v>
      </c>
      <c r="AZ299" s="15">
        <f t="shared" ref="AZ299:AZ329" si="295">AX299</f>
        <v>1735.5</v>
      </c>
      <c r="BA299" s="15">
        <f t="shared" ref="BA299:BA329" si="296">AZ299/2.93/1000</f>
        <v>0.59232081911262802</v>
      </c>
      <c r="BB299" s="15">
        <f t="shared" ref="BB299:BB329" si="297">AZ299*0.6</f>
        <v>1041.3</v>
      </c>
      <c r="FK299" s="16">
        <f t="shared" si="283"/>
        <v>5.3</v>
      </c>
      <c r="FL299" s="16">
        <f t="shared" si="284"/>
        <v>5.8</v>
      </c>
      <c r="FM299" s="15">
        <v>5.3</v>
      </c>
      <c r="FN299" s="15">
        <f t="shared" si="292"/>
        <v>0.26500000000000001</v>
      </c>
      <c r="FO299" s="15">
        <f>FN299*SQRT(AR299)</f>
        <v>0.45899346400575247</v>
      </c>
      <c r="FP299" s="15">
        <v>5.8</v>
      </c>
      <c r="FQ299" s="15">
        <f t="shared" si="293"/>
        <v>0.28999999999999998</v>
      </c>
      <c r="FR299" s="15">
        <f>FQ299*SQRT(AR299)</f>
        <v>0.50229473419497439</v>
      </c>
      <c r="FS299" s="15">
        <f t="shared" si="285"/>
        <v>1.0943396226415094</v>
      </c>
      <c r="FT299" s="15">
        <f t="shared" si="286"/>
        <v>0.5</v>
      </c>
      <c r="FU299" s="15">
        <f t="shared" si="287"/>
        <v>9.0151096994297575E-2</v>
      </c>
      <c r="FV299" s="15">
        <f>((FR299*FR299)/(AR299*FP299*FP299)+(FO299*FO299)/(AR299*FM299*FM299))</f>
        <v>5.0000000000000001E-3</v>
      </c>
      <c r="GI299" s="15">
        <v>12.86</v>
      </c>
      <c r="GJ299" s="15">
        <f>GI299*0.05</f>
        <v>0.64300000000000002</v>
      </c>
      <c r="GK299" s="15">
        <f>GJ299*SQRT(AR151)</f>
        <v>1.1137086692667881</v>
      </c>
      <c r="GL299" s="15">
        <v>13.94</v>
      </c>
      <c r="GM299" s="15">
        <f>GL299*0.05</f>
        <v>0.69700000000000006</v>
      </c>
      <c r="GN299" s="15">
        <f>GM299*SQRT(AR151)</f>
        <v>1.2072394128755075</v>
      </c>
      <c r="GO299" s="15">
        <f>GL299/GI299</f>
        <v>1.0839813374805598</v>
      </c>
      <c r="GP299" s="15">
        <f>GL299-GI299</f>
        <v>1.08</v>
      </c>
      <c r="GQ299" s="15">
        <f>LN(GL299)-LN(GI299)</f>
        <v>8.064068652290457E-2</v>
      </c>
      <c r="GR299" s="15">
        <f>((GN299*GN299)/(AR151*GL299*GL299)+(GK299*GK299)/(AR151*GI299*GI299))</f>
        <v>5.000000000000001E-3</v>
      </c>
      <c r="GT299" s="15">
        <v>45.2</v>
      </c>
      <c r="GU299" s="15">
        <f>GT299*0.05</f>
        <v>2.2600000000000002</v>
      </c>
      <c r="GV299" s="15">
        <f>GU299*SQRT(AR141)</f>
        <v>3.9144348251056629</v>
      </c>
      <c r="GW299" s="15">
        <v>66.5</v>
      </c>
      <c r="GX299" s="15">
        <f>GW299*0.05</f>
        <v>3.3250000000000002</v>
      </c>
      <c r="GY299" s="15">
        <f>GX299*SQRT(AR141)</f>
        <v>5.7590689351665167</v>
      </c>
      <c r="GZ299" s="15">
        <f>GW299/GT299</f>
        <v>1.4712389380530972</v>
      </c>
      <c r="HA299" s="15">
        <f>GW299-GT299</f>
        <v>21.299999999999997</v>
      </c>
      <c r="HB299" s="15">
        <f>LN(GW299)-LN(GT299)</f>
        <v>0.38610486082362261</v>
      </c>
      <c r="HC299" s="15">
        <f>((GY299*GY299)/(AR141*GW299*GW299)+(GV299*GV299)/(AR141*GT299*GT299))</f>
        <v>4.9999999999999992E-3</v>
      </c>
      <c r="HE299" s="15">
        <v>6275</v>
      </c>
      <c r="HF299" s="15">
        <f t="shared" ref="HF299:HF304" si="298">HE299*0.05</f>
        <v>313.75</v>
      </c>
      <c r="HG299" s="15">
        <f>HF299*SQRT(AR299)</f>
        <v>543.43094087473526</v>
      </c>
      <c r="HH299" s="15">
        <v>6425</v>
      </c>
      <c r="HI299" s="15">
        <f t="shared" ref="HI299:HI304" si="299">HH299*0.05</f>
        <v>321.25</v>
      </c>
      <c r="HJ299" s="15">
        <f>HI299*SQRT(AR299)</f>
        <v>556.42132193150178</v>
      </c>
      <c r="HK299" s="15">
        <f t="shared" si="272"/>
        <v>1.0239043824701195</v>
      </c>
      <c r="HL299" s="15">
        <f t="shared" si="273"/>
        <v>150</v>
      </c>
      <c r="HM299" s="15">
        <f t="shared" si="274"/>
        <v>2.3623145763435716E-2</v>
      </c>
      <c r="HN299" s="15">
        <f>((HJ299*HJ299)/(AR188*HH299*HH299)+(HG299*HG299)/(AR188*HE299*HE299))</f>
        <v>4.9999999999999992E-3</v>
      </c>
      <c r="HP299" s="15" t="s">
        <v>766</v>
      </c>
      <c r="HV299" s="15">
        <f t="shared" si="275"/>
        <v>440.79650120592356</v>
      </c>
      <c r="HW299" s="15">
        <f t="shared" si="276"/>
        <v>2.3623145763435716E-2</v>
      </c>
      <c r="HX299" s="15">
        <f>BB299</f>
        <v>1041.3</v>
      </c>
      <c r="HY299" s="15">
        <f>AZ299</f>
        <v>1735.5</v>
      </c>
      <c r="HZ299" s="15">
        <f>BA299</f>
        <v>0.59232081911262802</v>
      </c>
      <c r="IA299" s="15">
        <f>BB299</f>
        <v>1041.3</v>
      </c>
    </row>
    <row r="300" spans="1:235" s="15" customFormat="1" x14ac:dyDescent="0.25">
      <c r="A300" s="31">
        <v>298</v>
      </c>
      <c r="B300" s="1">
        <v>55</v>
      </c>
      <c r="C300" s="1">
        <v>59</v>
      </c>
      <c r="D300" s="15" t="s">
        <v>259</v>
      </c>
      <c r="E300" s="1">
        <v>1</v>
      </c>
      <c r="F300" s="15" t="s">
        <v>1073</v>
      </c>
      <c r="G300" s="15" t="s">
        <v>1075</v>
      </c>
      <c r="H300" s="15" t="s">
        <v>1074</v>
      </c>
      <c r="I300" s="1">
        <v>2016</v>
      </c>
      <c r="J300" s="15" t="s">
        <v>1076</v>
      </c>
      <c r="K300" s="1" t="s">
        <v>1077</v>
      </c>
      <c r="L300" s="15" t="s">
        <v>779</v>
      </c>
      <c r="M300" s="15" t="s">
        <v>480</v>
      </c>
      <c r="N300" s="15" t="s">
        <v>23</v>
      </c>
      <c r="O300" s="31">
        <v>2</v>
      </c>
      <c r="P300" s="15">
        <v>28.62</v>
      </c>
      <c r="Q300" s="15">
        <v>112.13</v>
      </c>
      <c r="R300" s="15">
        <v>100</v>
      </c>
      <c r="S300" s="15">
        <v>1385</v>
      </c>
      <c r="U300" s="15" t="s">
        <v>549</v>
      </c>
      <c r="V300" s="31">
        <v>1</v>
      </c>
      <c r="W300" s="15" t="s">
        <v>1178</v>
      </c>
      <c r="X300" s="15" t="s">
        <v>689</v>
      </c>
      <c r="Y300" s="1">
        <v>1</v>
      </c>
      <c r="Z300" s="15">
        <v>6.06</v>
      </c>
      <c r="AA300" s="15" t="s">
        <v>573</v>
      </c>
      <c r="AB300" s="15">
        <f t="shared" si="282"/>
        <v>6.06</v>
      </c>
      <c r="AC300" s="1">
        <v>5</v>
      </c>
      <c r="AD300" s="15">
        <v>34.700000000000003</v>
      </c>
      <c r="AM300" s="1"/>
      <c r="AQ300" s="1"/>
      <c r="AR300" s="1">
        <v>3</v>
      </c>
      <c r="AT300" s="15" t="s">
        <v>545</v>
      </c>
      <c r="AU300" s="15">
        <v>70</v>
      </c>
      <c r="AW300" s="15">
        <v>975</v>
      </c>
      <c r="AX300" s="15">
        <f t="shared" si="294"/>
        <v>1735.5</v>
      </c>
      <c r="AY300" s="15" t="s">
        <v>766</v>
      </c>
      <c r="AZ300" s="15">
        <f t="shared" si="295"/>
        <v>1735.5</v>
      </c>
      <c r="BA300" s="15">
        <f t="shared" si="296"/>
        <v>0.59232081911262802</v>
      </c>
      <c r="BB300" s="15">
        <f t="shared" si="297"/>
        <v>1041.3</v>
      </c>
      <c r="FK300" s="16">
        <f t="shared" si="283"/>
        <v>5.0999999999999996</v>
      </c>
      <c r="FL300" s="16">
        <f t="shared" si="284"/>
        <v>5.8</v>
      </c>
      <c r="FM300" s="15">
        <v>5.0999999999999996</v>
      </c>
      <c r="FN300" s="15">
        <f t="shared" si="292"/>
        <v>0.255</v>
      </c>
      <c r="FO300" s="15">
        <f>FN300*SQRT(AR300)</f>
        <v>0.44167295593006367</v>
      </c>
      <c r="FP300" s="15">
        <v>5.8</v>
      </c>
      <c r="FQ300" s="15">
        <f t="shared" si="293"/>
        <v>0.28999999999999998</v>
      </c>
      <c r="FR300" s="15">
        <f>FQ300*SQRT(AR300)</f>
        <v>0.50229473419497439</v>
      </c>
      <c r="FS300" s="15">
        <f t="shared" si="285"/>
        <v>1.1372549019607843</v>
      </c>
      <c r="FT300" s="15">
        <f t="shared" si="286"/>
        <v>0.70000000000000018</v>
      </c>
      <c r="FU300" s="15">
        <f t="shared" si="287"/>
        <v>0.12861737782209359</v>
      </c>
      <c r="FV300" s="15">
        <f>((FR300*FR300)/(AR300*FP300*FP300)+(FO300*FO300)/(AR300*FM300*FM300))</f>
        <v>5.0000000000000001E-3</v>
      </c>
      <c r="GI300" s="15">
        <v>12.68</v>
      </c>
      <c r="GJ300" s="15">
        <f>GI300*0.05</f>
        <v>0.63400000000000001</v>
      </c>
      <c r="GK300" s="15">
        <f>GJ300*SQRT(AR152)</f>
        <v>1.0981202119986682</v>
      </c>
      <c r="GL300" s="15">
        <v>13.52</v>
      </c>
      <c r="GM300" s="15">
        <f>GL300*0.05</f>
        <v>0.67600000000000005</v>
      </c>
      <c r="GN300" s="15">
        <f>GM300*SQRT(AR152)</f>
        <v>1.1708663459165611</v>
      </c>
      <c r="GO300" s="15">
        <f>GL300/GI300</f>
        <v>1.0662460567823344</v>
      </c>
      <c r="GP300" s="15">
        <f>GL300-GI300</f>
        <v>0.83999999999999986</v>
      </c>
      <c r="GQ300" s="15">
        <f>LN(GL300)-LN(GI300)</f>
        <v>6.4144121605738125E-2</v>
      </c>
      <c r="GR300" s="15">
        <f>((GN300*GN300)/(AR152*GL300*GL300)+(GK300*GK300)/(AR152*GI300*GI300))</f>
        <v>5.0000000000000001E-3</v>
      </c>
      <c r="GT300" s="15">
        <v>50.9</v>
      </c>
      <c r="GU300" s="15">
        <f>GT300*0.05</f>
        <v>2.5449999999999999</v>
      </c>
      <c r="GV300" s="15">
        <f>GU300*SQRT(AR142)</f>
        <v>4.4080693052627922</v>
      </c>
      <c r="GW300" s="15">
        <v>70.900000000000006</v>
      </c>
      <c r="GX300" s="15">
        <f>GW300*0.05</f>
        <v>3.5450000000000004</v>
      </c>
      <c r="GY300" s="15">
        <f>GX300*SQRT(AR142)</f>
        <v>6.1401201128316707</v>
      </c>
      <c r="GZ300" s="15">
        <f>GW300/GT300</f>
        <v>1.3929273084479372</v>
      </c>
      <c r="HA300" s="15">
        <f>GW300-GT300</f>
        <v>20.000000000000007</v>
      </c>
      <c r="HB300" s="15">
        <f>LN(GW300)-LN(GT300)</f>
        <v>0.33140750998160451</v>
      </c>
      <c r="HC300" s="15">
        <f>((GY300*GY300)/(AR142*GW300*GW300)+(GV300*GV300)/(AR142*GT300*GT300))</f>
        <v>5.0000000000000001E-3</v>
      </c>
      <c r="HE300" s="15">
        <v>8450</v>
      </c>
      <c r="HF300" s="15">
        <f t="shared" si="298"/>
        <v>422.5</v>
      </c>
      <c r="HG300" s="15">
        <f>HF300*SQRT(AR300)</f>
        <v>731.79146619785058</v>
      </c>
      <c r="HH300" s="15">
        <v>8400</v>
      </c>
      <c r="HI300" s="15">
        <f t="shared" si="299"/>
        <v>420</v>
      </c>
      <c r="HJ300" s="15">
        <f>HI300*SQRT(AR300)</f>
        <v>727.46133917892837</v>
      </c>
      <c r="HK300" s="15">
        <f t="shared" si="272"/>
        <v>0.99408284023668636</v>
      </c>
      <c r="HL300" s="15">
        <f t="shared" si="273"/>
        <v>-50</v>
      </c>
      <c r="HM300" s="15">
        <f t="shared" si="274"/>
        <v>-5.9347355198138274E-3</v>
      </c>
      <c r="HN300" s="15">
        <f>((HJ300*HJ300)/(AR189*HH300*HH300)+(HG300*HG300)/(AR189*HE300*HE300))</f>
        <v>4.9999999999999992E-3</v>
      </c>
      <c r="HP300" s="15" t="s">
        <v>766</v>
      </c>
      <c r="HV300" s="15">
        <f t="shared" si="275"/>
        <v>-1754.5853501364886</v>
      </c>
      <c r="HW300" s="15">
        <f t="shared" si="276"/>
        <v>-5.9347355198138274E-3</v>
      </c>
      <c r="HX300" s="15">
        <f>BB300</f>
        <v>1041.3</v>
      </c>
      <c r="HY300" s="15">
        <f>AZ300</f>
        <v>1735.5</v>
      </c>
      <c r="HZ300" s="15">
        <f>BA300</f>
        <v>0.59232081911262802</v>
      </c>
      <c r="IA300" s="15">
        <f>BB300</f>
        <v>1041.3</v>
      </c>
    </row>
    <row r="301" spans="1:235" s="15" customFormat="1" x14ac:dyDescent="0.25">
      <c r="A301" s="31">
        <v>299</v>
      </c>
      <c r="B301" s="1">
        <v>56</v>
      </c>
      <c r="C301" s="1">
        <v>60</v>
      </c>
      <c r="D301" s="15" t="s">
        <v>260</v>
      </c>
      <c r="E301" s="1">
        <v>1</v>
      </c>
      <c r="F301" s="15" t="s">
        <v>761</v>
      </c>
      <c r="G301" s="15" t="s">
        <v>1081</v>
      </c>
      <c r="H301" s="15" t="s">
        <v>1078</v>
      </c>
      <c r="I301" s="1">
        <v>2015</v>
      </c>
      <c r="J301" s="15" t="s">
        <v>1080</v>
      </c>
      <c r="K301" s="1">
        <v>2014</v>
      </c>
      <c r="L301" s="15" t="s">
        <v>1079</v>
      </c>
      <c r="M301" s="15" t="s">
        <v>480</v>
      </c>
      <c r="N301" s="15" t="s">
        <v>23</v>
      </c>
      <c r="O301" s="31">
        <v>2</v>
      </c>
      <c r="P301" s="15">
        <v>27.54</v>
      </c>
      <c r="Q301" s="15">
        <v>113.18</v>
      </c>
      <c r="R301" s="15">
        <v>43</v>
      </c>
      <c r="U301" s="15" t="s">
        <v>549</v>
      </c>
      <c r="V301" s="31">
        <v>1</v>
      </c>
      <c r="W301" s="16" t="s">
        <v>1158</v>
      </c>
      <c r="X301" s="15" t="s">
        <v>689</v>
      </c>
      <c r="Y301" s="1">
        <v>1</v>
      </c>
      <c r="Z301" s="15">
        <v>4.74</v>
      </c>
      <c r="AA301" s="15" t="s">
        <v>573</v>
      </c>
      <c r="AB301" s="15">
        <f t="shared" si="282"/>
        <v>4.74</v>
      </c>
      <c r="AC301" s="1">
        <v>2</v>
      </c>
      <c r="AM301" s="1"/>
      <c r="AQ301" s="1"/>
      <c r="AR301" s="1">
        <v>3</v>
      </c>
      <c r="AT301" s="15" t="s">
        <v>545</v>
      </c>
      <c r="AU301" s="15">
        <v>80</v>
      </c>
      <c r="AW301" s="15">
        <v>375</v>
      </c>
      <c r="AX301" s="15">
        <f t="shared" si="294"/>
        <v>667.5</v>
      </c>
      <c r="AY301" s="15" t="s">
        <v>766</v>
      </c>
      <c r="AZ301" s="15">
        <f t="shared" si="295"/>
        <v>667.5</v>
      </c>
      <c r="BA301" s="15">
        <f t="shared" si="296"/>
        <v>0.22781569965870307</v>
      </c>
      <c r="BB301" s="15">
        <f t="shared" si="297"/>
        <v>400.5</v>
      </c>
      <c r="BP301" s="16"/>
      <c r="BQ301" s="16"/>
      <c r="BR301" s="16"/>
      <c r="BU301" s="16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>
        <f t="shared" si="283"/>
        <v>4.88</v>
      </c>
      <c r="FL301" s="16">
        <f t="shared" si="284"/>
        <v>4.9800000000000004</v>
      </c>
      <c r="FM301" s="15">
        <v>4.88</v>
      </c>
      <c r="FN301" s="15">
        <f t="shared" si="292"/>
        <v>0.24399999999999999</v>
      </c>
      <c r="FO301" s="15">
        <f>FN301*SQRT(AR301)</f>
        <v>0.42262039704680604</v>
      </c>
      <c r="FP301" s="15">
        <v>4.9800000000000004</v>
      </c>
      <c r="FQ301" s="15">
        <f t="shared" si="293"/>
        <v>0.24900000000000003</v>
      </c>
      <c r="FR301" s="15">
        <f>FQ301*SQRT(AR301)</f>
        <v>0.43128065108465047</v>
      </c>
      <c r="FS301" s="15">
        <f t="shared" si="285"/>
        <v>1.0204918032786887</v>
      </c>
      <c r="FT301" s="15">
        <f t="shared" si="286"/>
        <v>0.10000000000000053</v>
      </c>
      <c r="FU301" s="15">
        <f t="shared" si="287"/>
        <v>2.0284671171505897E-2</v>
      </c>
      <c r="FV301" s="15">
        <f>((FR301*FR301)/(AR301*FP301*FP301)+(FO301*FO301)/(AR301*FM301*FM301))</f>
        <v>4.9999999999999992E-3</v>
      </c>
      <c r="FX301" s="15">
        <v>37.200000000000003</v>
      </c>
      <c r="FY301" s="15">
        <f>FX301*0.05</f>
        <v>1.8600000000000003</v>
      </c>
      <c r="FZ301" s="15">
        <f>FY301*SQRT(AR301)</f>
        <v>3.2216145020781122</v>
      </c>
      <c r="GA301" s="15">
        <v>36.700000000000003</v>
      </c>
      <c r="GB301" s="15">
        <f>GA301*0.05</f>
        <v>1.8350000000000002</v>
      </c>
      <c r="GC301" s="15">
        <f>GB301*SQRT(AR301)</f>
        <v>3.17831323188889</v>
      </c>
      <c r="GD301" s="15">
        <f>GA301/FX301</f>
        <v>0.98655913978494625</v>
      </c>
      <c r="GE301" s="15">
        <f>GA301-FX301</f>
        <v>-0.5</v>
      </c>
      <c r="GF301" s="15">
        <f>LN(GA301)-LN(FX301)</f>
        <v>-1.353200621857642E-2</v>
      </c>
      <c r="GG301" s="15">
        <f>((GC301*GC301)/(AR301*GA301*GA301)+(FZ301*FZ301)/(AR301*FX301*FX301))</f>
        <v>5.0000000000000001E-3</v>
      </c>
      <c r="HE301" s="15">
        <v>6603</v>
      </c>
      <c r="HF301" s="15">
        <f t="shared" si="298"/>
        <v>330.15000000000003</v>
      </c>
      <c r="HG301" s="15">
        <f>HF301*SQRT(AR301)</f>
        <v>571.83657411886486</v>
      </c>
      <c r="HH301" s="15">
        <v>6890</v>
      </c>
      <c r="HI301" s="15">
        <f t="shared" si="299"/>
        <v>344.5</v>
      </c>
      <c r="HJ301" s="15">
        <f>HI301*SQRT(AR301)</f>
        <v>596.69150320747815</v>
      </c>
      <c r="HK301" s="15">
        <f t="shared" si="272"/>
        <v>1.043465091625019</v>
      </c>
      <c r="HL301" s="15">
        <f t="shared" si="273"/>
        <v>287</v>
      </c>
      <c r="HM301" s="15">
        <f t="shared" si="274"/>
        <v>4.2546993813132872E-2</v>
      </c>
      <c r="HN301" s="15">
        <f>((HJ301*HJ301)/(AR190*HH301*HH301)+(HG301*HG301)/(AR190*HE301*HE301))</f>
        <v>4.9999999999999992E-3</v>
      </c>
      <c r="HP301" s="15" t="s">
        <v>766</v>
      </c>
      <c r="HV301" s="15">
        <f t="shared" si="275"/>
        <v>94.131209776888795</v>
      </c>
      <c r="HW301" s="15">
        <f t="shared" si="276"/>
        <v>4.2546993813132872E-2</v>
      </c>
      <c r="HX301" s="15">
        <f>BB301</f>
        <v>400.5</v>
      </c>
      <c r="HY301" s="15">
        <f>AZ301</f>
        <v>667.5</v>
      </c>
      <c r="HZ301" s="15">
        <f>BA301</f>
        <v>0.22781569965870307</v>
      </c>
      <c r="IA301" s="15">
        <f>BB301</f>
        <v>400.5</v>
      </c>
    </row>
    <row r="302" spans="1:235" s="15" customFormat="1" ht="15.6" x14ac:dyDescent="0.25">
      <c r="A302" s="31">
        <v>300</v>
      </c>
      <c r="B302" s="1">
        <v>56</v>
      </c>
      <c r="C302" s="1">
        <v>60</v>
      </c>
      <c r="D302" s="15" t="s">
        <v>261</v>
      </c>
      <c r="E302" s="1">
        <v>1</v>
      </c>
      <c r="F302" s="15" t="s">
        <v>761</v>
      </c>
      <c r="G302" s="15" t="s">
        <v>1082</v>
      </c>
      <c r="H302" s="15" t="s">
        <v>1078</v>
      </c>
      <c r="I302" s="1">
        <v>2015</v>
      </c>
      <c r="J302" s="15" t="s">
        <v>1080</v>
      </c>
      <c r="K302" s="1">
        <v>2014</v>
      </c>
      <c r="L302" s="15" t="s">
        <v>1079</v>
      </c>
      <c r="M302" s="15" t="s">
        <v>480</v>
      </c>
      <c r="N302" s="15" t="s">
        <v>23</v>
      </c>
      <c r="O302" s="31">
        <v>2</v>
      </c>
      <c r="P302" s="15">
        <v>27.54</v>
      </c>
      <c r="Q302" s="15">
        <v>113.18</v>
      </c>
      <c r="R302" s="15">
        <v>43</v>
      </c>
      <c r="U302" s="15" t="s">
        <v>549</v>
      </c>
      <c r="V302" s="31">
        <v>1</v>
      </c>
      <c r="W302" s="16" t="s">
        <v>1158</v>
      </c>
      <c r="X302" s="15" t="s">
        <v>689</v>
      </c>
      <c r="Y302" s="1">
        <v>1</v>
      </c>
      <c r="Z302" s="15">
        <v>4.74</v>
      </c>
      <c r="AA302" s="15" t="s">
        <v>573</v>
      </c>
      <c r="AB302" s="15">
        <f t="shared" si="282"/>
        <v>4.74</v>
      </c>
      <c r="AC302" s="1">
        <v>2</v>
      </c>
      <c r="AM302" s="1"/>
      <c r="AQ302" s="1"/>
      <c r="AR302" s="1">
        <v>3</v>
      </c>
      <c r="AT302" s="15" t="s">
        <v>545</v>
      </c>
      <c r="AU302" s="15">
        <v>80</v>
      </c>
      <c r="AW302" s="15">
        <v>750</v>
      </c>
      <c r="AX302" s="15">
        <f t="shared" si="294"/>
        <v>1335</v>
      </c>
      <c r="AY302" s="15" t="s">
        <v>766</v>
      </c>
      <c r="AZ302" s="15">
        <f t="shared" si="295"/>
        <v>1335</v>
      </c>
      <c r="BA302" s="15">
        <f t="shared" si="296"/>
        <v>0.45563139931740615</v>
      </c>
      <c r="BB302" s="15">
        <f t="shared" si="297"/>
        <v>801</v>
      </c>
      <c r="BP302" s="16"/>
      <c r="BQ302" s="16"/>
      <c r="BR302" s="16"/>
      <c r="BU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>
        <f t="shared" si="283"/>
        <v>4.88</v>
      </c>
      <c r="FL302" s="16">
        <f t="shared" si="284"/>
        <v>5.0599999999999996</v>
      </c>
      <c r="FM302" s="15">
        <v>4.88</v>
      </c>
      <c r="FN302" s="15">
        <f t="shared" si="292"/>
        <v>0.24399999999999999</v>
      </c>
      <c r="FO302" s="15">
        <f>FN302*SQRT(AR302)</f>
        <v>0.42262039704680604</v>
      </c>
      <c r="FP302" s="15">
        <v>5.0599999999999996</v>
      </c>
      <c r="FQ302" s="15">
        <f t="shared" si="293"/>
        <v>0.253</v>
      </c>
      <c r="FR302" s="15">
        <f>FQ302*SQRT(AR302)</f>
        <v>0.43820885431492596</v>
      </c>
      <c r="FS302" s="15">
        <f t="shared" si="285"/>
        <v>1.0368852459016393</v>
      </c>
      <c r="FT302" s="15">
        <f t="shared" si="286"/>
        <v>0.17999999999999972</v>
      </c>
      <c r="FU302" s="15">
        <f t="shared" si="287"/>
        <v>3.6221263434318418E-2</v>
      </c>
      <c r="FV302" s="15">
        <f>((FR302*FR302)/(AR302*FP302*FP302)+(FO302*FO302)/(AR302*FM302*FM302))</f>
        <v>5.0000000000000001E-3</v>
      </c>
      <c r="FX302" s="15">
        <v>37.200000000000003</v>
      </c>
      <c r="FY302" s="15">
        <f>FX302*0.05</f>
        <v>1.8600000000000003</v>
      </c>
      <c r="FZ302" s="15">
        <f>FY302*SQRT(AR302)</f>
        <v>3.2216145020781122</v>
      </c>
      <c r="GA302" s="15">
        <v>38.299999999999997</v>
      </c>
      <c r="GB302" s="15">
        <f>GA302*0.05</f>
        <v>1.915</v>
      </c>
      <c r="GC302" s="15">
        <f>GB302*SQRT(AR302)</f>
        <v>3.3168772964944</v>
      </c>
      <c r="GD302" s="15">
        <f>GA302/FX302</f>
        <v>1.029569892473118</v>
      </c>
      <c r="GE302" s="15">
        <f>GA302-FX302</f>
        <v>1.0999999999999943</v>
      </c>
      <c r="GF302" s="15">
        <f>LN(GA302)-LN(FX302)</f>
        <v>2.9141134907499033E-2</v>
      </c>
      <c r="GG302" s="15">
        <f>((GC302*GC302)/(AR302*GA302*GA302)+(FZ302*FZ302)/(AR302*FX302*FX302))</f>
        <v>5.000000000000001E-3</v>
      </c>
      <c r="HE302" s="15">
        <v>6603</v>
      </c>
      <c r="HF302" s="15">
        <f t="shared" si="298"/>
        <v>330.15000000000003</v>
      </c>
      <c r="HG302" s="15">
        <f>HF302*SQRT(AR302)</f>
        <v>571.83657411886486</v>
      </c>
      <c r="HH302" s="15">
        <v>6927</v>
      </c>
      <c r="HI302" s="15">
        <f t="shared" si="299"/>
        <v>346.35</v>
      </c>
      <c r="HJ302" s="15">
        <f>HI302*SQRT(AR302)</f>
        <v>599.8957972014806</v>
      </c>
      <c r="HK302" s="15">
        <f t="shared" si="272"/>
        <v>1.049068605179464</v>
      </c>
      <c r="HL302" s="15">
        <f t="shared" si="273"/>
        <v>324</v>
      </c>
      <c r="HM302" s="15">
        <f t="shared" si="274"/>
        <v>4.7902727828034841E-2</v>
      </c>
      <c r="HN302" s="15">
        <f>((HJ302*HJ302)/(AR191*HH302*HH302)+(HG302*HG302)/(AR191*HE302*HE302))</f>
        <v>4.9999999999999992E-3</v>
      </c>
      <c r="HP302" s="15" t="s">
        <v>766</v>
      </c>
      <c r="HV302" s="15">
        <f t="shared" si="275"/>
        <v>167.2138594853086</v>
      </c>
      <c r="HW302" s="15">
        <f t="shared" si="276"/>
        <v>4.7902727828034841E-2</v>
      </c>
      <c r="HX302" s="15">
        <f>BB302</f>
        <v>801</v>
      </c>
      <c r="HY302" s="15">
        <f>AZ302</f>
        <v>1335</v>
      </c>
      <c r="HZ302" s="15">
        <f>BA302</f>
        <v>0.45563139931740615</v>
      </c>
      <c r="IA302" s="15">
        <f>BB302</f>
        <v>801</v>
      </c>
    </row>
    <row r="303" spans="1:235" s="15" customFormat="1" x14ac:dyDescent="0.25">
      <c r="A303" s="31">
        <v>301</v>
      </c>
      <c r="B303" s="1">
        <v>56</v>
      </c>
      <c r="C303" s="1">
        <v>60</v>
      </c>
      <c r="D303" s="15" t="s">
        <v>262</v>
      </c>
      <c r="E303" s="1">
        <v>1</v>
      </c>
      <c r="F303" s="15" t="s">
        <v>761</v>
      </c>
      <c r="G303" s="15" t="s">
        <v>1081</v>
      </c>
      <c r="H303" s="15" t="s">
        <v>1078</v>
      </c>
      <c r="I303" s="1">
        <v>2015</v>
      </c>
      <c r="J303" s="15" t="s">
        <v>1080</v>
      </c>
      <c r="K303" s="1">
        <v>2014</v>
      </c>
      <c r="L303" s="15" t="s">
        <v>1079</v>
      </c>
      <c r="M303" s="15" t="s">
        <v>480</v>
      </c>
      <c r="N303" s="15" t="s">
        <v>23</v>
      </c>
      <c r="O303" s="31">
        <v>2</v>
      </c>
      <c r="P303" s="15">
        <v>27.54</v>
      </c>
      <c r="Q303" s="15">
        <v>113.18</v>
      </c>
      <c r="R303" s="15">
        <v>43</v>
      </c>
      <c r="U303" s="15" t="s">
        <v>549</v>
      </c>
      <c r="V303" s="31">
        <v>1</v>
      </c>
      <c r="W303" s="16" t="s">
        <v>1158</v>
      </c>
      <c r="X303" s="15" t="s">
        <v>689</v>
      </c>
      <c r="Y303" s="1">
        <v>1</v>
      </c>
      <c r="Z303" s="15">
        <v>4.74</v>
      </c>
      <c r="AA303" s="15" t="s">
        <v>573</v>
      </c>
      <c r="AB303" s="15">
        <f t="shared" si="282"/>
        <v>4.74</v>
      </c>
      <c r="AC303" s="1">
        <v>2</v>
      </c>
      <c r="AM303" s="1"/>
      <c r="AQ303" s="1"/>
      <c r="AR303" s="1">
        <v>3</v>
      </c>
      <c r="AT303" s="15" t="s">
        <v>545</v>
      </c>
      <c r="AU303" s="15">
        <v>80</v>
      </c>
      <c r="AW303" s="15">
        <v>1126</v>
      </c>
      <c r="AX303" s="15">
        <f t="shared" si="294"/>
        <v>2004.28</v>
      </c>
      <c r="AY303" s="15" t="s">
        <v>766</v>
      </c>
      <c r="AZ303" s="15">
        <f t="shared" si="295"/>
        <v>2004.28</v>
      </c>
      <c r="BA303" s="15">
        <f t="shared" si="296"/>
        <v>0.68405460750853242</v>
      </c>
      <c r="BB303" s="15">
        <f t="shared" si="297"/>
        <v>1202.568</v>
      </c>
      <c r="BP303" s="16"/>
      <c r="BQ303" s="16"/>
      <c r="BR303" s="16"/>
      <c r="BU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>
        <f t="shared" si="283"/>
        <v>4.88</v>
      </c>
      <c r="FL303" s="16">
        <f t="shared" si="284"/>
        <v>5.81</v>
      </c>
      <c r="FM303" s="15">
        <v>4.88</v>
      </c>
      <c r="FN303" s="15">
        <f t="shared" si="292"/>
        <v>0.24399999999999999</v>
      </c>
      <c r="FO303" s="15">
        <f>FN303*SQRT(AR303)</f>
        <v>0.42262039704680604</v>
      </c>
      <c r="FP303" s="15">
        <v>5.81</v>
      </c>
      <c r="FQ303" s="15">
        <f t="shared" si="293"/>
        <v>0.29049999999999998</v>
      </c>
      <c r="FR303" s="15">
        <f>FQ303*SQRT(AR303)</f>
        <v>0.50316075959875883</v>
      </c>
      <c r="FS303" s="15">
        <f t="shared" si="285"/>
        <v>1.1905737704918031</v>
      </c>
      <c r="FT303" s="15">
        <f t="shared" si="286"/>
        <v>0.92999999999999972</v>
      </c>
      <c r="FU303" s="15">
        <f t="shared" si="287"/>
        <v>0.17443535099876395</v>
      </c>
      <c r="FV303" s="15">
        <f>((FR303*FR303)/(AR303*FP303*FP303)+(FO303*FO303)/(AR303*FM303*FM303))</f>
        <v>4.9999999999999992E-3</v>
      </c>
      <c r="FX303" s="15">
        <v>37.200000000000003</v>
      </c>
      <c r="FY303" s="15">
        <f>FX303*0.05</f>
        <v>1.8600000000000003</v>
      </c>
      <c r="FZ303" s="15">
        <f>FY303*SQRT(AR303)</f>
        <v>3.2216145020781122</v>
      </c>
      <c r="GA303" s="15">
        <v>35.200000000000003</v>
      </c>
      <c r="GB303" s="15">
        <f>GA303*0.05</f>
        <v>1.7600000000000002</v>
      </c>
      <c r="GC303" s="15">
        <f>GB303*SQRT(AR303)</f>
        <v>3.0484094213212241</v>
      </c>
      <c r="GD303" s="15">
        <f>GA303/FX303</f>
        <v>0.94623655913978499</v>
      </c>
      <c r="GE303" s="15">
        <f>GA303-FX303</f>
        <v>-2</v>
      </c>
      <c r="GF303" s="15">
        <f>LN(GA303)-LN(FX303)</f>
        <v>-5.5262678675049859E-2</v>
      </c>
      <c r="GG303" s="15">
        <f>((GC303*GC303)/(AR303*GA303*GA303)+(FZ303*FZ303)/(AR303*FX303*FX303))</f>
        <v>4.9999999999999992E-3</v>
      </c>
      <c r="HE303" s="15">
        <v>6603</v>
      </c>
      <c r="HF303" s="15">
        <f t="shared" si="298"/>
        <v>330.15000000000003</v>
      </c>
      <c r="HG303" s="15">
        <f>HF303*SQRT(AR303)</f>
        <v>571.83657411886486</v>
      </c>
      <c r="HH303" s="15">
        <v>6903</v>
      </c>
      <c r="HI303" s="15">
        <f t="shared" si="299"/>
        <v>345.15000000000003</v>
      </c>
      <c r="HJ303" s="15">
        <f>HI303*SQRT(AR303)</f>
        <v>597.81733623239802</v>
      </c>
      <c r="HK303" s="15">
        <f t="shared" si="272"/>
        <v>1.0454338936846888</v>
      </c>
      <c r="HL303" s="15">
        <f t="shared" si="273"/>
        <v>300</v>
      </c>
      <c r="HM303" s="15">
        <f t="shared" si="274"/>
        <v>4.4432008508904275E-2</v>
      </c>
      <c r="HN303" s="15">
        <f>((HJ303*HJ303)/(AR192*HH303*HH303)+(HG303*HG303)/(AR192*HE303*HE303))</f>
        <v>5.0000000000000001E-3</v>
      </c>
      <c r="HP303" s="15" t="s">
        <v>766</v>
      </c>
      <c r="HV303" s="15">
        <f t="shared" si="275"/>
        <v>270.65353117201596</v>
      </c>
      <c r="HW303" s="15">
        <f t="shared" si="276"/>
        <v>4.4432008508904275E-2</v>
      </c>
      <c r="HX303" s="15">
        <f>BB303</f>
        <v>1202.568</v>
      </c>
      <c r="HY303" s="15">
        <f>AZ303</f>
        <v>2004.28</v>
      </c>
      <c r="HZ303" s="15">
        <f>BA303</f>
        <v>0.68405460750853242</v>
      </c>
      <c r="IA303" s="15">
        <f>BB303</f>
        <v>1202.568</v>
      </c>
    </row>
    <row r="304" spans="1:235" s="15" customFormat="1" x14ac:dyDescent="0.25">
      <c r="A304" s="31">
        <v>302</v>
      </c>
      <c r="B304" s="1">
        <v>56</v>
      </c>
      <c r="C304" s="1">
        <v>60</v>
      </c>
      <c r="D304" s="15" t="s">
        <v>263</v>
      </c>
      <c r="E304" s="1">
        <v>1</v>
      </c>
      <c r="F304" s="15" t="s">
        <v>761</v>
      </c>
      <c r="G304" s="15" t="s">
        <v>1081</v>
      </c>
      <c r="H304" s="15" t="s">
        <v>1078</v>
      </c>
      <c r="I304" s="1">
        <v>2015</v>
      </c>
      <c r="J304" s="15" t="s">
        <v>1080</v>
      </c>
      <c r="K304" s="1">
        <v>2014</v>
      </c>
      <c r="L304" s="15" t="s">
        <v>1079</v>
      </c>
      <c r="M304" s="15" t="s">
        <v>480</v>
      </c>
      <c r="N304" s="15" t="s">
        <v>23</v>
      </c>
      <c r="O304" s="31">
        <v>2</v>
      </c>
      <c r="P304" s="15">
        <v>27.54</v>
      </c>
      <c r="Q304" s="15">
        <v>113.18</v>
      </c>
      <c r="R304" s="15">
        <v>43</v>
      </c>
      <c r="U304" s="15" t="s">
        <v>549</v>
      </c>
      <c r="V304" s="31">
        <v>1</v>
      </c>
      <c r="W304" s="16" t="s">
        <v>1158</v>
      </c>
      <c r="X304" s="15" t="s">
        <v>689</v>
      </c>
      <c r="Y304" s="1">
        <v>1</v>
      </c>
      <c r="Z304" s="15">
        <v>4.74</v>
      </c>
      <c r="AA304" s="15" t="s">
        <v>573</v>
      </c>
      <c r="AB304" s="15">
        <f t="shared" si="282"/>
        <v>4.74</v>
      </c>
      <c r="AC304" s="1">
        <v>2</v>
      </c>
      <c r="AM304" s="1"/>
      <c r="AQ304" s="1"/>
      <c r="AR304" s="1">
        <v>3</v>
      </c>
      <c r="AT304" s="15" t="s">
        <v>545</v>
      </c>
      <c r="AU304" s="15">
        <v>80</v>
      </c>
      <c r="AW304" s="15">
        <v>1500</v>
      </c>
      <c r="AX304" s="15">
        <f t="shared" si="294"/>
        <v>2670</v>
      </c>
      <c r="AY304" s="15" t="s">
        <v>766</v>
      </c>
      <c r="AZ304" s="15">
        <f t="shared" si="295"/>
        <v>2670</v>
      </c>
      <c r="BA304" s="15">
        <f t="shared" si="296"/>
        <v>0.9112627986348123</v>
      </c>
      <c r="BB304" s="15">
        <f t="shared" si="297"/>
        <v>1602</v>
      </c>
      <c r="BP304" s="16"/>
      <c r="BQ304" s="16"/>
      <c r="BR304" s="16"/>
      <c r="BU304" s="16"/>
      <c r="EZ304" s="16"/>
      <c r="FA304" s="16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>
        <f t="shared" si="283"/>
        <v>4.88</v>
      </c>
      <c r="FL304" s="16">
        <f t="shared" si="284"/>
        <v>5.89</v>
      </c>
      <c r="FM304" s="15">
        <v>4.88</v>
      </c>
      <c r="FN304" s="15">
        <f t="shared" si="292"/>
        <v>0.24399999999999999</v>
      </c>
      <c r="FO304" s="15">
        <f>FN304*SQRT(AR304)</f>
        <v>0.42262039704680604</v>
      </c>
      <c r="FP304" s="15">
        <v>5.89</v>
      </c>
      <c r="FQ304" s="15">
        <f t="shared" si="293"/>
        <v>0.29449999999999998</v>
      </c>
      <c r="FR304" s="15">
        <f>FQ304*SQRT(AR304)</f>
        <v>0.51008896282903426</v>
      </c>
      <c r="FS304" s="15">
        <f t="shared" si="285"/>
        <v>1.206967213114754</v>
      </c>
      <c r="FT304" s="15">
        <f t="shared" si="286"/>
        <v>1.0099999999999998</v>
      </c>
      <c r="FU304" s="15">
        <f t="shared" si="287"/>
        <v>0.18811077779843943</v>
      </c>
      <c r="FV304" s="15">
        <f>((FR304*FR304)/(AR304*FP304*FP304)+(FO304*FO304)/(AR304*FM304*FM304))</f>
        <v>4.9999999999999992E-3</v>
      </c>
      <c r="FX304" s="15">
        <v>37.200000000000003</v>
      </c>
      <c r="FY304" s="15">
        <f>FX304*0.05</f>
        <v>1.8600000000000003</v>
      </c>
      <c r="FZ304" s="15">
        <f>FY304*SQRT(AR304)</f>
        <v>3.2216145020781122</v>
      </c>
      <c r="GA304" s="15">
        <v>34.700000000000003</v>
      </c>
      <c r="GB304" s="15">
        <f>GA304*0.05</f>
        <v>1.7350000000000003</v>
      </c>
      <c r="GC304" s="15">
        <f>GB304*SQRT(AR304)</f>
        <v>3.0051081511320024</v>
      </c>
      <c r="GD304" s="15">
        <f>GA304/FX304</f>
        <v>0.93279569892473124</v>
      </c>
      <c r="GE304" s="15">
        <f>GA304-FX304</f>
        <v>-2.5</v>
      </c>
      <c r="GF304" s="15">
        <f>LN(GA304)-LN(FX304)</f>
        <v>-6.9569074326287783E-2</v>
      </c>
      <c r="GG304" s="15">
        <f>((GC304*GC304)/(AR304*GA304*GA304)+(FZ304*FZ304)/(AR304*FX304*FX304))</f>
        <v>5.000000000000001E-3</v>
      </c>
      <c r="HE304" s="15">
        <v>6603</v>
      </c>
      <c r="HF304" s="15">
        <f t="shared" si="298"/>
        <v>330.15000000000003</v>
      </c>
      <c r="HG304" s="15">
        <f>HF304*SQRT(AR304)</f>
        <v>571.83657411886486</v>
      </c>
      <c r="HH304" s="15">
        <v>6970</v>
      </c>
      <c r="HI304" s="15">
        <f t="shared" si="299"/>
        <v>348.5</v>
      </c>
      <c r="HJ304" s="15">
        <f>HI304*SQRT(AR304)</f>
        <v>603.61970643775373</v>
      </c>
      <c r="HK304" s="15">
        <f t="shared" si="272"/>
        <v>1.0555807966076025</v>
      </c>
      <c r="HL304" s="15">
        <f t="shared" si="273"/>
        <v>367</v>
      </c>
      <c r="HM304" s="15">
        <f t="shared" si="274"/>
        <v>5.4091133559998283E-2</v>
      </c>
      <c r="HN304" s="15">
        <f>((HJ304*HJ304)/(AR193*HH304*HH304)+(HG304*HG304)/(AR193*HE304*HE304))</f>
        <v>5.0000000000000001E-3</v>
      </c>
      <c r="HP304" s="15" t="s">
        <v>766</v>
      </c>
      <c r="HV304" s="15">
        <f t="shared" si="275"/>
        <v>296.16683817932005</v>
      </c>
      <c r="HW304" s="15">
        <f t="shared" si="276"/>
        <v>5.4091133559998283E-2</v>
      </c>
      <c r="HX304" s="15">
        <f>BB304</f>
        <v>1602</v>
      </c>
      <c r="HY304" s="15">
        <f>AZ304</f>
        <v>2670</v>
      </c>
      <c r="HZ304" s="15">
        <f>BA304</f>
        <v>0.9112627986348123</v>
      </c>
      <c r="IA304" s="15">
        <f>BB304</f>
        <v>1602</v>
      </c>
    </row>
    <row r="305" spans="1:235" s="15" customFormat="1" x14ac:dyDescent="0.25">
      <c r="A305" s="31">
        <v>303</v>
      </c>
      <c r="B305" s="1">
        <v>57</v>
      </c>
      <c r="C305" s="1">
        <v>61</v>
      </c>
      <c r="D305" s="15" t="s">
        <v>264</v>
      </c>
      <c r="E305" s="1">
        <v>1</v>
      </c>
      <c r="F305" s="15" t="s">
        <v>761</v>
      </c>
      <c r="G305" s="15" t="s">
        <v>1083</v>
      </c>
      <c r="H305" s="15" t="s">
        <v>1084</v>
      </c>
      <c r="I305" s="1">
        <v>2012</v>
      </c>
      <c r="J305" s="15" t="s">
        <v>703</v>
      </c>
      <c r="K305" s="1" t="s">
        <v>1085</v>
      </c>
      <c r="L305" s="15" t="s">
        <v>1097</v>
      </c>
      <c r="M305" s="15" t="s">
        <v>1099</v>
      </c>
      <c r="N305" s="15" t="s">
        <v>1100</v>
      </c>
      <c r="O305" s="31">
        <v>3</v>
      </c>
      <c r="P305" s="15">
        <v>37.07</v>
      </c>
      <c r="Q305" s="15">
        <v>-93.88</v>
      </c>
      <c r="R305" s="15">
        <v>350</v>
      </c>
      <c r="U305" s="15" t="s">
        <v>549</v>
      </c>
      <c r="V305" s="31">
        <v>1</v>
      </c>
      <c r="W305" s="16" t="s">
        <v>1179</v>
      </c>
      <c r="X305" s="15" t="s">
        <v>1101</v>
      </c>
      <c r="Y305" s="1"/>
      <c r="Z305" s="15">
        <v>5</v>
      </c>
      <c r="AA305" s="15" t="s">
        <v>663</v>
      </c>
      <c r="AB305" s="15">
        <f t="shared" ref="AB305:AB316" si="300">Z305+0.77</f>
        <v>5.77</v>
      </c>
      <c r="AC305" s="1">
        <v>4</v>
      </c>
      <c r="AO305" s="1">
        <v>1</v>
      </c>
      <c r="AP305" s="15" t="s">
        <v>1619</v>
      </c>
      <c r="AQ305" s="57">
        <v>10</v>
      </c>
      <c r="AR305" s="1">
        <v>6</v>
      </c>
      <c r="AT305" s="15" t="s">
        <v>576</v>
      </c>
      <c r="AW305" s="15">
        <v>806.33333333333337</v>
      </c>
      <c r="AX305" s="15">
        <f>AW305</f>
        <v>806.33333333333337</v>
      </c>
      <c r="AY305" s="15" t="s">
        <v>766</v>
      </c>
      <c r="AZ305" s="15">
        <f t="shared" si="295"/>
        <v>806.33333333333337</v>
      </c>
      <c r="BA305" s="15">
        <f t="shared" si="296"/>
        <v>0.27519908987485781</v>
      </c>
      <c r="BB305" s="15">
        <f t="shared" si="297"/>
        <v>483.8</v>
      </c>
      <c r="BP305" s="16"/>
      <c r="BQ305" s="16"/>
      <c r="BR305" s="16"/>
      <c r="BU305" s="16"/>
      <c r="EZ305" s="16"/>
      <c r="FA305" s="16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>
        <f t="shared" ref="FK305:FK316" si="301">FM305+0.77</f>
        <v>5.57</v>
      </c>
      <c r="FL305" s="16">
        <f t="shared" ref="FL305:FL316" si="302">FP305+0.77</f>
        <v>5.9700000000000006</v>
      </c>
      <c r="FM305" s="15">
        <v>4.8</v>
      </c>
      <c r="FN305" s="15">
        <f t="shared" si="292"/>
        <v>0.24</v>
      </c>
      <c r="FO305" s="15">
        <f>FN305*SQRT(AR305)</f>
        <v>0.58787753826796263</v>
      </c>
      <c r="FP305" s="15">
        <v>5.2</v>
      </c>
      <c r="FQ305" s="15">
        <f t="shared" si="293"/>
        <v>0.26</v>
      </c>
      <c r="FR305" s="15">
        <f>FQ305*SQRT(AR305)</f>
        <v>0.63686733312362631</v>
      </c>
      <c r="FS305" s="15">
        <f t="shared" si="285"/>
        <v>1.0833333333333335</v>
      </c>
      <c r="FT305" s="15">
        <f t="shared" si="286"/>
        <v>0.40000000000000036</v>
      </c>
      <c r="FU305" s="15">
        <f t="shared" si="287"/>
        <v>8.0042707673536384E-2</v>
      </c>
      <c r="FV305" s="15">
        <f>((FR305*FR305)/(AR305*FP305*FP305)+(FO305*FO305)/(AR305*FM305*FM305))</f>
        <v>4.9999999999999992E-3</v>
      </c>
      <c r="HY305" s="15">
        <f>AZ305</f>
        <v>806.33333333333337</v>
      </c>
      <c r="HZ305" s="15">
        <f>BA305</f>
        <v>0.27519908987485781</v>
      </c>
      <c r="IA305" s="15">
        <f>BB305</f>
        <v>483.8</v>
      </c>
    </row>
    <row r="306" spans="1:235" s="15" customFormat="1" x14ac:dyDescent="0.25">
      <c r="A306" s="31">
        <v>304</v>
      </c>
      <c r="B306" s="1">
        <v>57</v>
      </c>
      <c r="C306" s="1">
        <v>61</v>
      </c>
      <c r="D306" s="15" t="s">
        <v>265</v>
      </c>
      <c r="E306" s="1">
        <v>1</v>
      </c>
      <c r="F306" s="15" t="s">
        <v>761</v>
      </c>
      <c r="G306" s="15" t="s">
        <v>1083</v>
      </c>
      <c r="H306" s="15" t="s">
        <v>1084</v>
      </c>
      <c r="I306" s="1">
        <v>2012</v>
      </c>
      <c r="J306" s="15" t="s">
        <v>703</v>
      </c>
      <c r="K306" s="1" t="s">
        <v>1086</v>
      </c>
      <c r="L306" s="15" t="s">
        <v>1097</v>
      </c>
      <c r="M306" s="15" t="s">
        <v>1099</v>
      </c>
      <c r="N306" s="15" t="s">
        <v>1100</v>
      </c>
      <c r="O306" s="31">
        <v>3</v>
      </c>
      <c r="P306" s="15">
        <v>37.07</v>
      </c>
      <c r="Q306" s="15">
        <v>-93.88</v>
      </c>
      <c r="R306" s="15">
        <v>350</v>
      </c>
      <c r="U306" s="15" t="s">
        <v>549</v>
      </c>
      <c r="V306" s="31">
        <v>1</v>
      </c>
      <c r="W306" s="16" t="s">
        <v>1179</v>
      </c>
      <c r="X306" s="15" t="s">
        <v>1102</v>
      </c>
      <c r="Y306" s="1"/>
      <c r="Z306" s="15">
        <v>5</v>
      </c>
      <c r="AA306" s="15" t="s">
        <v>663</v>
      </c>
      <c r="AB306" s="15">
        <f t="shared" si="300"/>
        <v>5.77</v>
      </c>
      <c r="AC306" s="1">
        <v>4</v>
      </c>
      <c r="AO306" s="1">
        <v>1</v>
      </c>
      <c r="AP306" s="15" t="s">
        <v>1113</v>
      </c>
      <c r="AQ306" s="57">
        <v>10</v>
      </c>
      <c r="AR306" s="1">
        <v>6</v>
      </c>
      <c r="AT306" s="15" t="s">
        <v>576</v>
      </c>
      <c r="AW306" s="15">
        <v>1612.6666666666667</v>
      </c>
      <c r="AX306" s="15">
        <f>AW306</f>
        <v>1612.6666666666667</v>
      </c>
      <c r="AY306" s="15" t="s">
        <v>766</v>
      </c>
      <c r="AZ306" s="15">
        <f t="shared" si="295"/>
        <v>1612.6666666666667</v>
      </c>
      <c r="BA306" s="15">
        <f t="shared" si="296"/>
        <v>0.55039817974971561</v>
      </c>
      <c r="BB306" s="15">
        <f t="shared" si="297"/>
        <v>967.6</v>
      </c>
      <c r="BP306" s="16"/>
      <c r="BQ306" s="16"/>
      <c r="BR306" s="16"/>
      <c r="BU306" s="16"/>
      <c r="EZ306" s="16"/>
      <c r="FA306" s="16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>
        <f t="shared" si="301"/>
        <v>5.57</v>
      </c>
      <c r="FL306" s="16">
        <f t="shared" si="302"/>
        <v>6.27</v>
      </c>
      <c r="FM306" s="15">
        <v>4.8</v>
      </c>
      <c r="FN306" s="15">
        <f t="shared" si="292"/>
        <v>0.24</v>
      </c>
      <c r="FO306" s="15">
        <f>FN306*SQRT(AR306)</f>
        <v>0.58787753826796263</v>
      </c>
      <c r="FP306" s="15">
        <v>5.5</v>
      </c>
      <c r="FQ306" s="15">
        <f t="shared" si="293"/>
        <v>0.27500000000000002</v>
      </c>
      <c r="FR306" s="15">
        <f>FQ306*SQRT(AR306)</f>
        <v>0.67360967926537396</v>
      </c>
      <c r="FS306" s="15">
        <f t="shared" si="285"/>
        <v>1.1458333333333335</v>
      </c>
      <c r="FT306" s="15">
        <f t="shared" si="286"/>
        <v>0.70000000000000018</v>
      </c>
      <c r="FU306" s="15">
        <f t="shared" si="287"/>
        <v>0.13613217432458002</v>
      </c>
      <c r="FV306" s="15">
        <f>((FR306*FR306)/(AR306*FP306*FP306)+(FO306*FO306)/(AR306*FM306*FM306))</f>
        <v>4.9999999999999992E-3</v>
      </c>
      <c r="HY306" s="15">
        <f>AZ306</f>
        <v>1612.6666666666667</v>
      </c>
      <c r="HZ306" s="15">
        <f>BA306</f>
        <v>0.55039817974971561</v>
      </c>
      <c r="IA306" s="15">
        <f>BB306</f>
        <v>967.6</v>
      </c>
    </row>
    <row r="307" spans="1:235" s="15" customFormat="1" x14ac:dyDescent="0.25">
      <c r="A307" s="31">
        <v>305</v>
      </c>
      <c r="B307" s="1">
        <v>57</v>
      </c>
      <c r="C307" s="1">
        <v>61</v>
      </c>
      <c r="D307" s="15" t="s">
        <v>266</v>
      </c>
      <c r="E307" s="1">
        <v>1</v>
      </c>
      <c r="F307" s="15" t="s">
        <v>761</v>
      </c>
      <c r="G307" s="15" t="s">
        <v>1083</v>
      </c>
      <c r="H307" s="15" t="s">
        <v>1084</v>
      </c>
      <c r="I307" s="1">
        <v>2012</v>
      </c>
      <c r="J307" s="15" t="s">
        <v>703</v>
      </c>
      <c r="K307" s="1" t="s">
        <v>1087</v>
      </c>
      <c r="L307" s="15" t="s">
        <v>1097</v>
      </c>
      <c r="M307" s="15" t="s">
        <v>1099</v>
      </c>
      <c r="N307" s="15" t="s">
        <v>1100</v>
      </c>
      <c r="O307" s="31">
        <v>3</v>
      </c>
      <c r="P307" s="15">
        <v>37.07</v>
      </c>
      <c r="Q307" s="15">
        <v>-93.88</v>
      </c>
      <c r="R307" s="15">
        <v>350</v>
      </c>
      <c r="U307" s="15" t="s">
        <v>549</v>
      </c>
      <c r="V307" s="31">
        <v>1</v>
      </c>
      <c r="W307" s="16" t="s">
        <v>1179</v>
      </c>
      <c r="X307" s="15" t="s">
        <v>1103</v>
      </c>
      <c r="Y307" s="1">
        <v>8</v>
      </c>
      <c r="Z307" s="15">
        <v>5</v>
      </c>
      <c r="AA307" s="15" t="s">
        <v>663</v>
      </c>
      <c r="AB307" s="15">
        <f t="shared" si="300"/>
        <v>5.77</v>
      </c>
      <c r="AC307" s="1">
        <v>4</v>
      </c>
      <c r="AO307" s="1">
        <v>1</v>
      </c>
      <c r="AP307" s="15" t="s">
        <v>1619</v>
      </c>
      <c r="AQ307" s="57">
        <v>10</v>
      </c>
      <c r="AR307" s="1">
        <v>6</v>
      </c>
      <c r="AT307" s="15" t="s">
        <v>576</v>
      </c>
      <c r="AW307" s="15">
        <v>3225.3333333333335</v>
      </c>
      <c r="AX307" s="15">
        <f>AW307</f>
        <v>3225.3333333333335</v>
      </c>
      <c r="AY307" s="15" t="s">
        <v>766</v>
      </c>
      <c r="AZ307" s="15">
        <f t="shared" si="295"/>
        <v>3225.3333333333335</v>
      </c>
      <c r="BA307" s="15">
        <f t="shared" si="296"/>
        <v>1.1007963594994312</v>
      </c>
      <c r="BB307" s="15">
        <f t="shared" si="297"/>
        <v>1935.2</v>
      </c>
      <c r="BP307" s="16"/>
      <c r="BQ307" s="16"/>
      <c r="BR307" s="16"/>
      <c r="BU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>
        <f t="shared" si="301"/>
        <v>5.57</v>
      </c>
      <c r="FL307" s="16">
        <f t="shared" si="302"/>
        <v>6.77</v>
      </c>
      <c r="FM307" s="15">
        <v>4.8</v>
      </c>
      <c r="FN307" s="15">
        <f t="shared" si="292"/>
        <v>0.24</v>
      </c>
      <c r="FO307" s="15">
        <f>FN307*SQRT(AR307)</f>
        <v>0.58787753826796263</v>
      </c>
      <c r="FP307" s="15">
        <v>6</v>
      </c>
      <c r="FQ307" s="15">
        <f t="shared" si="293"/>
        <v>0.30000000000000004</v>
      </c>
      <c r="FR307" s="15">
        <f>FQ307*SQRT(AR307)</f>
        <v>0.73484692283495345</v>
      </c>
      <c r="FS307" s="15">
        <f t="shared" si="285"/>
        <v>1.25</v>
      </c>
      <c r="FT307" s="15">
        <f t="shared" si="286"/>
        <v>1.2000000000000002</v>
      </c>
      <c r="FU307" s="15">
        <f t="shared" si="287"/>
        <v>0.22314355131420971</v>
      </c>
      <c r="FV307" s="15">
        <f>((FR307*FR307)/(AR307*FP307*FP307)+(FO307*FO307)/(AR307*FM307*FM307))</f>
        <v>4.9999999999999992E-3</v>
      </c>
      <c r="HY307" s="15">
        <f>AZ307</f>
        <v>3225.3333333333335</v>
      </c>
      <c r="HZ307" s="15">
        <f>BA307</f>
        <v>1.1007963594994312</v>
      </c>
      <c r="IA307" s="15">
        <f>BB307</f>
        <v>1935.2</v>
      </c>
    </row>
    <row r="308" spans="1:235" s="15" customFormat="1" x14ac:dyDescent="0.25">
      <c r="A308" s="31">
        <v>306</v>
      </c>
      <c r="B308" s="1">
        <v>57</v>
      </c>
      <c r="C308" s="1">
        <v>61</v>
      </c>
      <c r="D308" s="15" t="s">
        <v>267</v>
      </c>
      <c r="E308" s="1">
        <v>1</v>
      </c>
      <c r="F308" s="15" t="s">
        <v>761</v>
      </c>
      <c r="G308" s="15" t="s">
        <v>1083</v>
      </c>
      <c r="H308" s="15" t="s">
        <v>1084</v>
      </c>
      <c r="I308" s="1">
        <v>2012</v>
      </c>
      <c r="J308" s="15" t="s">
        <v>703</v>
      </c>
      <c r="K308" s="1" t="s">
        <v>1088</v>
      </c>
      <c r="L308" s="15" t="s">
        <v>1097</v>
      </c>
      <c r="M308" s="15" t="s">
        <v>1099</v>
      </c>
      <c r="N308" s="15" t="s">
        <v>1100</v>
      </c>
      <c r="O308" s="31">
        <v>3</v>
      </c>
      <c r="P308" s="15">
        <v>37.07</v>
      </c>
      <c r="Q308" s="15">
        <v>-93.88</v>
      </c>
      <c r="R308" s="15">
        <v>350</v>
      </c>
      <c r="U308" s="15" t="s">
        <v>549</v>
      </c>
      <c r="V308" s="31">
        <v>1</v>
      </c>
      <c r="W308" s="16" t="s">
        <v>1179</v>
      </c>
      <c r="X308" s="15" t="s">
        <v>1104</v>
      </c>
      <c r="Y308" s="1">
        <v>8</v>
      </c>
      <c r="Z308" s="15">
        <v>5</v>
      </c>
      <c r="AA308" s="15" t="s">
        <v>663</v>
      </c>
      <c r="AB308" s="15">
        <f t="shared" si="300"/>
        <v>5.77</v>
      </c>
      <c r="AC308" s="1">
        <v>4</v>
      </c>
      <c r="AO308" s="1">
        <v>1</v>
      </c>
      <c r="AP308" s="15" t="s">
        <v>1113</v>
      </c>
      <c r="AQ308" s="57">
        <v>10</v>
      </c>
      <c r="AR308" s="1">
        <v>6</v>
      </c>
      <c r="AT308" s="15" t="s">
        <v>993</v>
      </c>
      <c r="AW308" s="15">
        <v>720</v>
      </c>
      <c r="AX308" s="15">
        <f>AW308*1.09</f>
        <v>784.80000000000007</v>
      </c>
      <c r="AY308" s="15" t="s">
        <v>766</v>
      </c>
      <c r="AZ308" s="15">
        <f t="shared" si="295"/>
        <v>784.80000000000007</v>
      </c>
      <c r="BA308" s="15">
        <f t="shared" si="296"/>
        <v>0.26784982935153584</v>
      </c>
      <c r="BB308" s="15">
        <f t="shared" si="297"/>
        <v>470.88</v>
      </c>
      <c r="BP308" s="16"/>
      <c r="BQ308" s="16"/>
      <c r="BR308" s="16"/>
      <c r="BU308" s="16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>
        <f t="shared" si="301"/>
        <v>5.57</v>
      </c>
      <c r="FL308" s="16">
        <f t="shared" si="302"/>
        <v>5.9700000000000006</v>
      </c>
      <c r="FM308" s="15">
        <v>4.8</v>
      </c>
      <c r="FN308" s="15">
        <f t="shared" si="292"/>
        <v>0.24</v>
      </c>
      <c r="FO308" s="15">
        <f>FN308*SQRT(AR308)</f>
        <v>0.58787753826796263</v>
      </c>
      <c r="FP308" s="15">
        <v>5.2</v>
      </c>
      <c r="FQ308" s="15">
        <f t="shared" si="293"/>
        <v>0.26</v>
      </c>
      <c r="FR308" s="15">
        <f>FQ308*SQRT(AR308)</f>
        <v>0.63686733312362631</v>
      </c>
      <c r="FS308" s="15">
        <f t="shared" si="285"/>
        <v>1.0833333333333335</v>
      </c>
      <c r="FT308" s="15">
        <f t="shared" si="286"/>
        <v>0.40000000000000036</v>
      </c>
      <c r="FU308" s="15">
        <f t="shared" si="287"/>
        <v>8.0042707673536384E-2</v>
      </c>
      <c r="FV308" s="15">
        <f>((FR308*FR308)/(AR308*FP308*FP308)+(FO308*FO308)/(AR308*FM308*FM308))</f>
        <v>4.9999999999999992E-3</v>
      </c>
      <c r="HY308" s="15">
        <f>AZ308</f>
        <v>784.80000000000007</v>
      </c>
      <c r="HZ308" s="15">
        <f>BA308</f>
        <v>0.26784982935153584</v>
      </c>
      <c r="IA308" s="15">
        <f>BB308</f>
        <v>470.88</v>
      </c>
    </row>
    <row r="309" spans="1:235" s="15" customFormat="1" x14ac:dyDescent="0.25">
      <c r="A309" s="31">
        <v>307</v>
      </c>
      <c r="B309" s="1">
        <v>57</v>
      </c>
      <c r="C309" s="1">
        <v>61</v>
      </c>
      <c r="D309" s="15" t="s">
        <v>268</v>
      </c>
      <c r="E309" s="1">
        <v>1</v>
      </c>
      <c r="F309" s="15" t="s">
        <v>761</v>
      </c>
      <c r="G309" s="15" t="s">
        <v>1083</v>
      </c>
      <c r="H309" s="15" t="s">
        <v>1084</v>
      </c>
      <c r="I309" s="1">
        <v>2012</v>
      </c>
      <c r="J309" s="15" t="s">
        <v>703</v>
      </c>
      <c r="K309" s="1" t="s">
        <v>1089</v>
      </c>
      <c r="L309" s="15" t="s">
        <v>1097</v>
      </c>
      <c r="M309" s="15" t="s">
        <v>1099</v>
      </c>
      <c r="N309" s="15" t="s">
        <v>1100</v>
      </c>
      <c r="O309" s="31">
        <v>3</v>
      </c>
      <c r="P309" s="15">
        <v>37.07</v>
      </c>
      <c r="Q309" s="15">
        <v>-93.88</v>
      </c>
      <c r="R309" s="15">
        <v>350</v>
      </c>
      <c r="U309" s="15" t="s">
        <v>549</v>
      </c>
      <c r="V309" s="31">
        <v>1</v>
      </c>
      <c r="W309" s="16" t="s">
        <v>1179</v>
      </c>
      <c r="X309" s="15" t="s">
        <v>1105</v>
      </c>
      <c r="Y309" s="1">
        <v>8</v>
      </c>
      <c r="Z309" s="15">
        <v>5</v>
      </c>
      <c r="AA309" s="15" t="s">
        <v>663</v>
      </c>
      <c r="AB309" s="15">
        <f t="shared" si="300"/>
        <v>5.77</v>
      </c>
      <c r="AC309" s="1">
        <v>4</v>
      </c>
      <c r="AO309" s="1">
        <v>1</v>
      </c>
      <c r="AP309" s="15" t="s">
        <v>1113</v>
      </c>
      <c r="AQ309" s="57">
        <v>10</v>
      </c>
      <c r="AR309" s="1">
        <v>6</v>
      </c>
      <c r="AT309" s="15" t="s">
        <v>993</v>
      </c>
      <c r="AW309" s="15">
        <v>1440</v>
      </c>
      <c r="AX309" s="15">
        <f>AW309*1.09</f>
        <v>1569.6000000000001</v>
      </c>
      <c r="AY309" s="15" t="s">
        <v>766</v>
      </c>
      <c r="AZ309" s="15">
        <f t="shared" si="295"/>
        <v>1569.6000000000001</v>
      </c>
      <c r="BA309" s="15">
        <f t="shared" si="296"/>
        <v>0.53569965870307168</v>
      </c>
      <c r="BB309" s="15">
        <f t="shared" si="297"/>
        <v>941.76</v>
      </c>
      <c r="BP309" s="16"/>
      <c r="BQ309" s="16"/>
      <c r="BR309" s="16"/>
      <c r="BU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>
        <f t="shared" si="301"/>
        <v>5.57</v>
      </c>
      <c r="FL309" s="16">
        <f t="shared" si="302"/>
        <v>6.07</v>
      </c>
      <c r="FM309" s="15">
        <v>4.8</v>
      </c>
      <c r="FN309" s="15">
        <f t="shared" si="292"/>
        <v>0.24</v>
      </c>
      <c r="FO309" s="15">
        <f>FN309*SQRT(AR309)</f>
        <v>0.58787753826796263</v>
      </c>
      <c r="FP309" s="15">
        <v>5.3</v>
      </c>
      <c r="FQ309" s="15">
        <f t="shared" si="293"/>
        <v>0.26500000000000001</v>
      </c>
      <c r="FR309" s="15">
        <f>FQ309*SQRT(AR309)</f>
        <v>0.64911478183754212</v>
      </c>
      <c r="FS309" s="15">
        <f t="shared" si="285"/>
        <v>1.1041666666666667</v>
      </c>
      <c r="FT309" s="15">
        <f t="shared" si="286"/>
        <v>0.5</v>
      </c>
      <c r="FU309" s="15">
        <f t="shared" si="287"/>
        <v>9.9090902644230816E-2</v>
      </c>
      <c r="FV309" s="15">
        <f>((FR309*FR309)/(AR309*FP309*FP309)+(FO309*FO309)/(AR309*FM309*FM309))</f>
        <v>4.9999999999999992E-3</v>
      </c>
      <c r="HY309" s="15">
        <f>AZ309</f>
        <v>1569.6000000000001</v>
      </c>
      <c r="HZ309" s="15">
        <f>BA309</f>
        <v>0.53569965870307168</v>
      </c>
      <c r="IA309" s="15">
        <f>BB309</f>
        <v>941.76</v>
      </c>
    </row>
    <row r="310" spans="1:235" s="15" customFormat="1" x14ac:dyDescent="0.25">
      <c r="A310" s="31">
        <v>308</v>
      </c>
      <c r="B310" s="1">
        <v>57</v>
      </c>
      <c r="C310" s="1">
        <v>61</v>
      </c>
      <c r="D310" s="15" t="s">
        <v>269</v>
      </c>
      <c r="E310" s="1">
        <v>1</v>
      </c>
      <c r="F310" s="15" t="s">
        <v>761</v>
      </c>
      <c r="G310" s="15" t="s">
        <v>1083</v>
      </c>
      <c r="H310" s="15" t="s">
        <v>1084</v>
      </c>
      <c r="I310" s="1">
        <v>2012</v>
      </c>
      <c r="J310" s="15" t="s">
        <v>703</v>
      </c>
      <c r="K310" s="1" t="s">
        <v>1090</v>
      </c>
      <c r="L310" s="15" t="s">
        <v>1097</v>
      </c>
      <c r="M310" s="15" t="s">
        <v>1099</v>
      </c>
      <c r="N310" s="15" t="s">
        <v>1100</v>
      </c>
      <c r="O310" s="31">
        <v>3</v>
      </c>
      <c r="P310" s="15">
        <v>37.07</v>
      </c>
      <c r="Q310" s="15">
        <v>-93.88</v>
      </c>
      <c r="R310" s="15">
        <v>350</v>
      </c>
      <c r="U310" s="15" t="s">
        <v>549</v>
      </c>
      <c r="V310" s="31">
        <v>1</v>
      </c>
      <c r="W310" s="16" t="s">
        <v>1179</v>
      </c>
      <c r="X310" s="15" t="s">
        <v>1106</v>
      </c>
      <c r="Y310" s="1">
        <v>8</v>
      </c>
      <c r="Z310" s="15">
        <v>5</v>
      </c>
      <c r="AA310" s="15" t="s">
        <v>663</v>
      </c>
      <c r="AB310" s="15">
        <f t="shared" si="300"/>
        <v>5.77</v>
      </c>
      <c r="AC310" s="1">
        <v>4</v>
      </c>
      <c r="AO310" s="1">
        <v>1</v>
      </c>
      <c r="AP310" s="15" t="s">
        <v>1113</v>
      </c>
      <c r="AQ310" s="57">
        <v>10</v>
      </c>
      <c r="AR310" s="1">
        <v>6</v>
      </c>
      <c r="AT310" s="15" t="s">
        <v>993</v>
      </c>
      <c r="AW310" s="15">
        <v>2880</v>
      </c>
      <c r="AX310" s="15">
        <f>AW310*1.09</f>
        <v>3139.2000000000003</v>
      </c>
      <c r="AY310" s="15" t="s">
        <v>766</v>
      </c>
      <c r="AZ310" s="15">
        <f t="shared" si="295"/>
        <v>3139.2000000000003</v>
      </c>
      <c r="BA310" s="15">
        <f t="shared" si="296"/>
        <v>1.0713993174061434</v>
      </c>
      <c r="BB310" s="15">
        <f t="shared" si="297"/>
        <v>1883.52</v>
      </c>
      <c r="BP310" s="16"/>
      <c r="BQ310" s="16"/>
      <c r="BR310" s="16"/>
      <c r="BU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>
        <f t="shared" si="301"/>
        <v>5.57</v>
      </c>
      <c r="FL310" s="16">
        <f t="shared" si="302"/>
        <v>6.4700000000000006</v>
      </c>
      <c r="FM310" s="15">
        <v>4.8</v>
      </c>
      <c r="FN310" s="15">
        <f t="shared" si="292"/>
        <v>0.24</v>
      </c>
      <c r="FO310" s="15">
        <f>FN310*SQRT(AR310)</f>
        <v>0.58787753826796263</v>
      </c>
      <c r="FP310" s="15">
        <v>5.7</v>
      </c>
      <c r="FQ310" s="15">
        <f t="shared" si="293"/>
        <v>0.28500000000000003</v>
      </c>
      <c r="FR310" s="15">
        <f>FQ310*SQRT(AR310)</f>
        <v>0.6981045766932058</v>
      </c>
      <c r="FS310" s="15">
        <f t="shared" si="285"/>
        <v>1.1875</v>
      </c>
      <c r="FT310" s="15">
        <f t="shared" si="286"/>
        <v>0.90000000000000036</v>
      </c>
      <c r="FU310" s="15">
        <f t="shared" si="287"/>
        <v>0.17185025692665934</v>
      </c>
      <c r="FV310" s="15">
        <f>((FR310*FR310)/(AR310*FP310*FP310)+(FO310*FO310)/(AR310*FM310*FM310))</f>
        <v>4.9999999999999992E-3</v>
      </c>
      <c r="HY310" s="15">
        <f>AZ310</f>
        <v>3139.2000000000003</v>
      </c>
      <c r="HZ310" s="15">
        <f>BA310</f>
        <v>1.0713993174061434</v>
      </c>
      <c r="IA310" s="15">
        <f>BB310</f>
        <v>1883.52</v>
      </c>
    </row>
    <row r="311" spans="1:235" s="15" customFormat="1" x14ac:dyDescent="0.25">
      <c r="A311" s="31">
        <v>309</v>
      </c>
      <c r="B311" s="1">
        <v>57</v>
      </c>
      <c r="C311" s="1">
        <v>61</v>
      </c>
      <c r="D311" s="15" t="s">
        <v>270</v>
      </c>
      <c r="E311" s="1">
        <v>1</v>
      </c>
      <c r="F311" s="15" t="s">
        <v>761</v>
      </c>
      <c r="G311" s="15" t="s">
        <v>1083</v>
      </c>
      <c r="H311" s="15" t="s">
        <v>1084</v>
      </c>
      <c r="I311" s="1">
        <v>2012</v>
      </c>
      <c r="J311" s="15" t="s">
        <v>703</v>
      </c>
      <c r="K311" s="1" t="s">
        <v>1091</v>
      </c>
      <c r="L311" s="15" t="s">
        <v>1098</v>
      </c>
      <c r="M311" s="15" t="s">
        <v>1099</v>
      </c>
      <c r="N311" s="15" t="s">
        <v>1100</v>
      </c>
      <c r="O311" s="31">
        <v>3</v>
      </c>
      <c r="P311" s="15">
        <v>38.5</v>
      </c>
      <c r="Q311" s="15">
        <v>-92.1</v>
      </c>
      <c r="R311" s="15">
        <v>270</v>
      </c>
      <c r="U311" s="15" t="s">
        <v>549</v>
      </c>
      <c r="V311" s="31">
        <v>1</v>
      </c>
      <c r="W311" s="16" t="s">
        <v>1179</v>
      </c>
      <c r="X311" s="15" t="s">
        <v>1107</v>
      </c>
      <c r="Y311" s="1">
        <v>8</v>
      </c>
      <c r="Z311" s="15">
        <v>5.0999999999999996</v>
      </c>
      <c r="AA311" s="15" t="s">
        <v>690</v>
      </c>
      <c r="AB311" s="15">
        <f t="shared" si="300"/>
        <v>5.8699999999999992</v>
      </c>
      <c r="AC311" s="1">
        <v>4</v>
      </c>
      <c r="AM311" s="1">
        <v>1</v>
      </c>
      <c r="AP311" s="15" t="s">
        <v>1114</v>
      </c>
      <c r="AQ311" s="57">
        <v>7</v>
      </c>
      <c r="AR311" s="1">
        <v>6</v>
      </c>
      <c r="AT311" s="15" t="s">
        <v>576</v>
      </c>
      <c r="AW311" s="15">
        <v>725.66666666666663</v>
      </c>
      <c r="AX311" s="15">
        <f>AW311</f>
        <v>725.66666666666663</v>
      </c>
      <c r="AY311" s="15" t="s">
        <v>766</v>
      </c>
      <c r="AZ311" s="15">
        <f t="shared" si="295"/>
        <v>725.66666666666663</v>
      </c>
      <c r="BA311" s="15">
        <f t="shared" si="296"/>
        <v>0.2476678043230944</v>
      </c>
      <c r="BB311" s="15">
        <f t="shared" si="297"/>
        <v>435.4</v>
      </c>
      <c r="BP311" s="16"/>
      <c r="BQ311" s="16"/>
      <c r="BR311" s="16"/>
      <c r="BU311" s="16"/>
      <c r="EZ311" s="16"/>
      <c r="FA311" s="16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>
        <f t="shared" si="301"/>
        <v>5.8699999999999992</v>
      </c>
      <c r="FL311" s="16">
        <f t="shared" si="302"/>
        <v>5.9700000000000006</v>
      </c>
      <c r="FM311" s="15">
        <v>5.0999999999999996</v>
      </c>
      <c r="FN311" s="15">
        <f t="shared" si="292"/>
        <v>0.255</v>
      </c>
      <c r="FO311" s="15">
        <f>FN311*SQRT(AR311)</f>
        <v>0.62461988440971039</v>
      </c>
      <c r="FP311" s="15">
        <v>5.2</v>
      </c>
      <c r="FQ311" s="15">
        <f t="shared" si="293"/>
        <v>0.26</v>
      </c>
      <c r="FR311" s="15">
        <f>FQ311*SQRT(AR311)</f>
        <v>0.63686733312362631</v>
      </c>
      <c r="FS311" s="15">
        <f t="shared" si="285"/>
        <v>1.0196078431372551</v>
      </c>
      <c r="FT311" s="15">
        <f t="shared" si="286"/>
        <v>0.10000000000000053</v>
      </c>
      <c r="FU311" s="15">
        <f t="shared" si="287"/>
        <v>1.9418085857101586E-2</v>
      </c>
      <c r="FV311" s="15">
        <f>((FR311*FR311)/(AR311*FP311*FP311)+(FO311*FO311)/(AR311*FM311*FM311))</f>
        <v>5.000000000000001E-3</v>
      </c>
      <c r="HY311" s="15">
        <f>AZ311</f>
        <v>725.66666666666663</v>
      </c>
      <c r="HZ311" s="15">
        <f>BA311</f>
        <v>0.2476678043230944</v>
      </c>
      <c r="IA311" s="15">
        <f>BB311</f>
        <v>435.4</v>
      </c>
    </row>
    <row r="312" spans="1:235" s="15" customFormat="1" x14ac:dyDescent="0.25">
      <c r="A312" s="31">
        <v>310</v>
      </c>
      <c r="B312" s="1">
        <v>57</v>
      </c>
      <c r="C312" s="1">
        <v>61</v>
      </c>
      <c r="D312" s="15" t="s">
        <v>271</v>
      </c>
      <c r="E312" s="1">
        <v>1</v>
      </c>
      <c r="F312" s="15" t="s">
        <v>761</v>
      </c>
      <c r="G312" s="15" t="s">
        <v>1083</v>
      </c>
      <c r="H312" s="15" t="s">
        <v>1084</v>
      </c>
      <c r="I312" s="1">
        <v>2012</v>
      </c>
      <c r="J312" s="15" t="s">
        <v>703</v>
      </c>
      <c r="K312" s="1" t="s">
        <v>1092</v>
      </c>
      <c r="L312" s="15" t="s">
        <v>1098</v>
      </c>
      <c r="M312" s="15" t="s">
        <v>1099</v>
      </c>
      <c r="N312" s="15" t="s">
        <v>1100</v>
      </c>
      <c r="O312" s="31">
        <v>3</v>
      </c>
      <c r="P312" s="15">
        <v>38.5</v>
      </c>
      <c r="Q312" s="15">
        <v>-92.1</v>
      </c>
      <c r="R312" s="15">
        <v>270</v>
      </c>
      <c r="U312" s="15" t="s">
        <v>549</v>
      </c>
      <c r="V312" s="31">
        <v>1</v>
      </c>
      <c r="W312" s="16" t="s">
        <v>1179</v>
      </c>
      <c r="X312" s="15" t="s">
        <v>1108</v>
      </c>
      <c r="Y312" s="1">
        <v>8</v>
      </c>
      <c r="Z312" s="15">
        <v>5.0999999999999996</v>
      </c>
      <c r="AA312" s="15" t="s">
        <v>690</v>
      </c>
      <c r="AB312" s="15">
        <f t="shared" si="300"/>
        <v>5.8699999999999992</v>
      </c>
      <c r="AC312" s="1">
        <v>4</v>
      </c>
      <c r="AM312" s="1">
        <v>1</v>
      </c>
      <c r="AP312" s="15" t="s">
        <v>1114</v>
      </c>
      <c r="AQ312" s="57">
        <v>7</v>
      </c>
      <c r="AR312" s="1">
        <v>6</v>
      </c>
      <c r="AT312" s="15" t="s">
        <v>576</v>
      </c>
      <c r="AW312" s="15">
        <v>1451.3333333333333</v>
      </c>
      <c r="AX312" s="15">
        <f>AW312</f>
        <v>1451.3333333333333</v>
      </c>
      <c r="AY312" s="15" t="s">
        <v>766</v>
      </c>
      <c r="AZ312" s="15">
        <f t="shared" si="295"/>
        <v>1451.3333333333333</v>
      </c>
      <c r="BA312" s="15">
        <f t="shared" si="296"/>
        <v>0.49533560864618881</v>
      </c>
      <c r="BB312" s="15">
        <f t="shared" si="297"/>
        <v>870.8</v>
      </c>
      <c r="BP312" s="16"/>
      <c r="BQ312" s="16"/>
      <c r="BR312" s="16"/>
      <c r="BU312" s="16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>
        <f t="shared" si="301"/>
        <v>5.8699999999999992</v>
      </c>
      <c r="FL312" s="16">
        <f t="shared" si="302"/>
        <v>6.07</v>
      </c>
      <c r="FM312" s="15">
        <v>5.0999999999999996</v>
      </c>
      <c r="FN312" s="15">
        <f t="shared" si="292"/>
        <v>0.255</v>
      </c>
      <c r="FO312" s="15">
        <f>FN312*SQRT(AR312)</f>
        <v>0.62461988440971039</v>
      </c>
      <c r="FP312" s="15">
        <v>5.3</v>
      </c>
      <c r="FQ312" s="15">
        <f t="shared" si="293"/>
        <v>0.26500000000000001</v>
      </c>
      <c r="FR312" s="15">
        <f>FQ312*SQRT(AR312)</f>
        <v>0.64911478183754212</v>
      </c>
      <c r="FS312" s="15">
        <f t="shared" si="285"/>
        <v>1.0392156862745099</v>
      </c>
      <c r="FT312" s="15">
        <f t="shared" si="286"/>
        <v>0.20000000000000018</v>
      </c>
      <c r="FU312" s="15">
        <f t="shared" si="287"/>
        <v>3.8466280827796018E-2</v>
      </c>
      <c r="FV312" s="15">
        <f>((FR312*FR312)/(AR312*FP312*FP312)+(FO312*FO312)/(AR312*FM312*FM312))</f>
        <v>5.0000000000000001E-3</v>
      </c>
      <c r="HY312" s="15">
        <f>AZ312</f>
        <v>1451.3333333333333</v>
      </c>
      <c r="HZ312" s="15">
        <f>BA312</f>
        <v>0.49533560864618881</v>
      </c>
      <c r="IA312" s="15">
        <f>BB312</f>
        <v>870.8</v>
      </c>
    </row>
    <row r="313" spans="1:235" s="15" customFormat="1" x14ac:dyDescent="0.25">
      <c r="A313" s="31">
        <v>311</v>
      </c>
      <c r="B313" s="1">
        <v>57</v>
      </c>
      <c r="C313" s="1">
        <v>61</v>
      </c>
      <c r="D313" s="15" t="s">
        <v>272</v>
      </c>
      <c r="E313" s="1">
        <v>1</v>
      </c>
      <c r="F313" s="15" t="s">
        <v>761</v>
      </c>
      <c r="G313" s="15" t="s">
        <v>1083</v>
      </c>
      <c r="H313" s="15" t="s">
        <v>1084</v>
      </c>
      <c r="I313" s="1">
        <v>2012</v>
      </c>
      <c r="J313" s="15" t="s">
        <v>703</v>
      </c>
      <c r="K313" s="1" t="s">
        <v>1093</v>
      </c>
      <c r="L313" s="15" t="s">
        <v>1098</v>
      </c>
      <c r="M313" s="15" t="s">
        <v>1099</v>
      </c>
      <c r="N313" s="15" t="s">
        <v>1100</v>
      </c>
      <c r="O313" s="31">
        <v>3</v>
      </c>
      <c r="P313" s="15">
        <v>38.5</v>
      </c>
      <c r="Q313" s="15">
        <v>-92.1</v>
      </c>
      <c r="R313" s="15">
        <v>270</v>
      </c>
      <c r="U313" s="15" t="s">
        <v>549</v>
      </c>
      <c r="V313" s="31">
        <v>1</v>
      </c>
      <c r="W313" s="16" t="s">
        <v>1179</v>
      </c>
      <c r="X313" s="15" t="s">
        <v>1109</v>
      </c>
      <c r="Y313" s="1">
        <v>8</v>
      </c>
      <c r="Z313" s="15">
        <v>5.0999999999999996</v>
      </c>
      <c r="AA313" s="15" t="s">
        <v>690</v>
      </c>
      <c r="AB313" s="15">
        <f t="shared" si="300"/>
        <v>5.8699999999999992</v>
      </c>
      <c r="AC313" s="1">
        <v>4</v>
      </c>
      <c r="AM313" s="1">
        <v>1</v>
      </c>
      <c r="AP313" s="15" t="s">
        <v>1114</v>
      </c>
      <c r="AQ313" s="57">
        <v>7</v>
      </c>
      <c r="AR313" s="1">
        <v>6</v>
      </c>
      <c r="AT313" s="15" t="s">
        <v>576</v>
      </c>
      <c r="AW313" s="15">
        <v>2902.6666666666665</v>
      </c>
      <c r="AX313" s="15">
        <f>AW313</f>
        <v>2902.6666666666665</v>
      </c>
      <c r="AY313" s="15" t="s">
        <v>766</v>
      </c>
      <c r="AZ313" s="15">
        <f t="shared" si="295"/>
        <v>2902.6666666666665</v>
      </c>
      <c r="BA313" s="15">
        <f t="shared" si="296"/>
        <v>0.99067121729237761</v>
      </c>
      <c r="BB313" s="15">
        <f t="shared" si="297"/>
        <v>1741.6</v>
      </c>
      <c r="BP313" s="16"/>
      <c r="BQ313" s="16"/>
      <c r="BR313" s="16"/>
      <c r="BU313" s="16"/>
      <c r="EZ313" s="16"/>
      <c r="FA313" s="16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>
        <f t="shared" si="301"/>
        <v>5.8699999999999992</v>
      </c>
      <c r="FL313" s="16">
        <f t="shared" si="302"/>
        <v>6.4700000000000006</v>
      </c>
      <c r="FM313" s="15">
        <v>5.0999999999999996</v>
      </c>
      <c r="FN313" s="15">
        <f t="shared" si="292"/>
        <v>0.255</v>
      </c>
      <c r="FO313" s="15">
        <f>FN313*SQRT(AR313)</f>
        <v>0.62461988440971039</v>
      </c>
      <c r="FP313" s="15">
        <v>5.7</v>
      </c>
      <c r="FQ313" s="15">
        <f t="shared" si="293"/>
        <v>0.28500000000000003</v>
      </c>
      <c r="FR313" s="15">
        <f>FQ313*SQRT(AR313)</f>
        <v>0.6981045766932058</v>
      </c>
      <c r="FS313" s="15">
        <f t="shared" si="285"/>
        <v>1.1176470588235294</v>
      </c>
      <c r="FT313" s="15">
        <f t="shared" si="286"/>
        <v>0.60000000000000053</v>
      </c>
      <c r="FU313" s="15">
        <f t="shared" si="287"/>
        <v>0.11122563511022454</v>
      </c>
      <c r="FV313" s="15">
        <f>((FR313*FR313)/(AR313*FP313*FP313)+(FO313*FO313)/(AR313*FM313*FM313))</f>
        <v>5.000000000000001E-3</v>
      </c>
      <c r="HY313" s="15">
        <f>AZ313</f>
        <v>2902.6666666666665</v>
      </c>
      <c r="HZ313" s="15">
        <f>BA313</f>
        <v>0.99067121729237761</v>
      </c>
      <c r="IA313" s="15">
        <f>BB313</f>
        <v>1741.6</v>
      </c>
    </row>
    <row r="314" spans="1:235" s="15" customFormat="1" x14ac:dyDescent="0.25">
      <c r="A314" s="31">
        <v>312</v>
      </c>
      <c r="B314" s="1">
        <v>57</v>
      </c>
      <c r="C314" s="1">
        <v>61</v>
      </c>
      <c r="D314" s="15" t="s">
        <v>273</v>
      </c>
      <c r="E314" s="1">
        <v>1</v>
      </c>
      <c r="F314" s="15" t="s">
        <v>761</v>
      </c>
      <c r="G314" s="15" t="s">
        <v>1083</v>
      </c>
      <c r="H314" s="15" t="s">
        <v>1084</v>
      </c>
      <c r="I314" s="1">
        <v>2012</v>
      </c>
      <c r="J314" s="15" t="s">
        <v>703</v>
      </c>
      <c r="K314" s="1" t="s">
        <v>1094</v>
      </c>
      <c r="L314" s="15" t="s">
        <v>1098</v>
      </c>
      <c r="M314" s="15" t="s">
        <v>1099</v>
      </c>
      <c r="N314" s="15" t="s">
        <v>1100</v>
      </c>
      <c r="O314" s="31">
        <v>3</v>
      </c>
      <c r="P314" s="15">
        <v>38.5</v>
      </c>
      <c r="Q314" s="15">
        <v>-92.1</v>
      </c>
      <c r="R314" s="15">
        <v>270</v>
      </c>
      <c r="U314" s="15" t="s">
        <v>549</v>
      </c>
      <c r="V314" s="31">
        <v>1</v>
      </c>
      <c r="W314" s="16" t="s">
        <v>1179</v>
      </c>
      <c r="X314" s="15" t="s">
        <v>1110</v>
      </c>
      <c r="Y314" s="1">
        <v>8</v>
      </c>
      <c r="Z314" s="15">
        <v>5.0999999999999996</v>
      </c>
      <c r="AA314" s="15" t="s">
        <v>690</v>
      </c>
      <c r="AB314" s="15">
        <f t="shared" si="300"/>
        <v>5.8699999999999992</v>
      </c>
      <c r="AC314" s="1">
        <v>4</v>
      </c>
      <c r="AM314" s="1">
        <v>1</v>
      </c>
      <c r="AP314" s="15" t="s">
        <v>1114</v>
      </c>
      <c r="AQ314" s="57">
        <v>7</v>
      </c>
      <c r="AR314" s="1">
        <v>6</v>
      </c>
      <c r="AT314" s="15" t="s">
        <v>993</v>
      </c>
      <c r="AW314" s="15">
        <v>814.66666666666663</v>
      </c>
      <c r="AX314" s="15">
        <f>AW314*1.09</f>
        <v>887.98666666666668</v>
      </c>
      <c r="AY314" s="15" t="s">
        <v>766</v>
      </c>
      <c r="AZ314" s="15">
        <f t="shared" si="295"/>
        <v>887.98666666666668</v>
      </c>
      <c r="BA314" s="15">
        <f t="shared" si="296"/>
        <v>0.30306712172923778</v>
      </c>
      <c r="BB314" s="15">
        <f t="shared" si="297"/>
        <v>532.79200000000003</v>
      </c>
      <c r="BP314" s="16"/>
      <c r="BQ314" s="16"/>
      <c r="BR314" s="16"/>
      <c r="BU314" s="16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>
        <f t="shared" si="301"/>
        <v>5.8699999999999992</v>
      </c>
      <c r="FL314" s="16">
        <f t="shared" si="302"/>
        <v>5.9700000000000006</v>
      </c>
      <c r="FM314" s="15">
        <v>5.0999999999999996</v>
      </c>
      <c r="FN314" s="15">
        <f t="shared" si="292"/>
        <v>0.255</v>
      </c>
      <c r="FO314" s="15">
        <f>FN314*SQRT(AR314)</f>
        <v>0.62461988440971039</v>
      </c>
      <c r="FP314" s="15">
        <v>5.2</v>
      </c>
      <c r="FQ314" s="15">
        <f t="shared" si="293"/>
        <v>0.26</v>
      </c>
      <c r="FR314" s="15">
        <f>FQ314*SQRT(AR314)</f>
        <v>0.63686733312362631</v>
      </c>
      <c r="FS314" s="15">
        <f t="shared" si="285"/>
        <v>1.0196078431372551</v>
      </c>
      <c r="FT314" s="15">
        <f t="shared" si="286"/>
        <v>0.10000000000000053</v>
      </c>
      <c r="FU314" s="15">
        <f t="shared" si="287"/>
        <v>1.9418085857101586E-2</v>
      </c>
      <c r="FV314" s="15">
        <f>((FR314*FR314)/(AR314*FP314*FP314)+(FO314*FO314)/(AR314*FM314*FM314))</f>
        <v>5.000000000000001E-3</v>
      </c>
      <c r="HY314" s="15">
        <f>AZ314</f>
        <v>887.98666666666668</v>
      </c>
      <c r="HZ314" s="15">
        <f>BA314</f>
        <v>0.30306712172923778</v>
      </c>
      <c r="IA314" s="15">
        <f>BB314</f>
        <v>532.79200000000003</v>
      </c>
    </row>
    <row r="315" spans="1:235" s="15" customFormat="1" x14ac:dyDescent="0.25">
      <c r="A315" s="31">
        <v>313</v>
      </c>
      <c r="B315" s="1">
        <v>57</v>
      </c>
      <c r="C315" s="1">
        <v>61</v>
      </c>
      <c r="D315" s="15" t="s">
        <v>274</v>
      </c>
      <c r="E315" s="1">
        <v>1</v>
      </c>
      <c r="F315" s="15" t="s">
        <v>761</v>
      </c>
      <c r="G315" s="15" t="s">
        <v>1083</v>
      </c>
      <c r="H315" s="15" t="s">
        <v>1084</v>
      </c>
      <c r="I315" s="1">
        <v>2012</v>
      </c>
      <c r="J315" s="15" t="s">
        <v>703</v>
      </c>
      <c r="K315" s="1" t="s">
        <v>1095</v>
      </c>
      <c r="L315" s="15" t="s">
        <v>1098</v>
      </c>
      <c r="M315" s="15" t="s">
        <v>1099</v>
      </c>
      <c r="N315" s="15" t="s">
        <v>1100</v>
      </c>
      <c r="O315" s="31">
        <v>3</v>
      </c>
      <c r="P315" s="15">
        <v>38.5</v>
      </c>
      <c r="Q315" s="15">
        <v>-92.1</v>
      </c>
      <c r="R315" s="15">
        <v>270</v>
      </c>
      <c r="U315" s="15" t="s">
        <v>549</v>
      </c>
      <c r="V315" s="31">
        <v>1</v>
      </c>
      <c r="W315" s="16" t="s">
        <v>1179</v>
      </c>
      <c r="X315" s="15" t="s">
        <v>1111</v>
      </c>
      <c r="Y315" s="1">
        <v>8</v>
      </c>
      <c r="Z315" s="15">
        <v>5.0999999999999996</v>
      </c>
      <c r="AA315" s="15" t="s">
        <v>690</v>
      </c>
      <c r="AB315" s="15">
        <f t="shared" si="300"/>
        <v>5.8699999999999992</v>
      </c>
      <c r="AC315" s="1">
        <v>4</v>
      </c>
      <c r="AM315" s="1">
        <v>1</v>
      </c>
      <c r="AP315" s="15" t="s">
        <v>1114</v>
      </c>
      <c r="AQ315" s="57">
        <v>7</v>
      </c>
      <c r="AR315" s="1">
        <v>6</v>
      </c>
      <c r="AT315" s="15" t="s">
        <v>993</v>
      </c>
      <c r="AW315" s="15">
        <v>1629.3333333333333</v>
      </c>
      <c r="AX315" s="15">
        <f>AW315*1.09</f>
        <v>1775.9733333333334</v>
      </c>
      <c r="AY315" s="15" t="s">
        <v>766</v>
      </c>
      <c r="AZ315" s="15">
        <f t="shared" si="295"/>
        <v>1775.9733333333334</v>
      </c>
      <c r="BA315" s="15">
        <f t="shared" si="296"/>
        <v>0.60613424345847555</v>
      </c>
      <c r="BB315" s="15">
        <f t="shared" si="297"/>
        <v>1065.5840000000001</v>
      </c>
      <c r="BP315" s="16"/>
      <c r="BQ315" s="16"/>
      <c r="BR315" s="16"/>
      <c r="BU315" s="16"/>
      <c r="EZ315" s="16"/>
      <c r="FA315" s="16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>
        <f t="shared" si="301"/>
        <v>5.8699999999999992</v>
      </c>
      <c r="FL315" s="16">
        <f t="shared" si="302"/>
        <v>6.17</v>
      </c>
      <c r="FM315" s="15">
        <v>5.0999999999999996</v>
      </c>
      <c r="FN315" s="15">
        <f t="shared" si="292"/>
        <v>0.255</v>
      </c>
      <c r="FO315" s="15">
        <f>FN315*SQRT(AR315)</f>
        <v>0.62461988440971039</v>
      </c>
      <c r="FP315" s="15">
        <v>5.4</v>
      </c>
      <c r="FQ315" s="15">
        <f t="shared" si="293"/>
        <v>0.27</v>
      </c>
      <c r="FR315" s="15">
        <f>FQ315*SQRT(AR315)</f>
        <v>0.66136223055145804</v>
      </c>
      <c r="FS315" s="15">
        <f t="shared" si="285"/>
        <v>1.0588235294117649</v>
      </c>
      <c r="FT315" s="15">
        <f t="shared" si="286"/>
        <v>0.30000000000000071</v>
      </c>
      <c r="FU315" s="15">
        <f t="shared" si="287"/>
        <v>5.7158413839948796E-2</v>
      </c>
      <c r="FV315" s="15">
        <f>((FR315*FR315)/(AR315*FP315*FP315)+(FO315*FO315)/(AR315*FM315*FM315))</f>
        <v>4.9999999999999992E-3</v>
      </c>
      <c r="HY315" s="15">
        <f>AZ315</f>
        <v>1775.9733333333334</v>
      </c>
      <c r="HZ315" s="15">
        <f>BA315</f>
        <v>0.60613424345847555</v>
      </c>
      <c r="IA315" s="15">
        <f>BB315</f>
        <v>1065.5840000000001</v>
      </c>
    </row>
    <row r="316" spans="1:235" s="15" customFormat="1" x14ac:dyDescent="0.25">
      <c r="A316" s="31">
        <v>314</v>
      </c>
      <c r="B316" s="1">
        <v>57</v>
      </c>
      <c r="C316" s="1">
        <v>61</v>
      </c>
      <c r="D316" s="15" t="s">
        <v>275</v>
      </c>
      <c r="E316" s="1">
        <v>1</v>
      </c>
      <c r="F316" s="15" t="s">
        <v>761</v>
      </c>
      <c r="G316" s="15" t="s">
        <v>1083</v>
      </c>
      <c r="H316" s="15" t="s">
        <v>1084</v>
      </c>
      <c r="I316" s="1">
        <v>2012</v>
      </c>
      <c r="J316" s="15" t="s">
        <v>703</v>
      </c>
      <c r="K316" s="1" t="s">
        <v>1096</v>
      </c>
      <c r="L316" s="15" t="s">
        <v>1098</v>
      </c>
      <c r="M316" s="15" t="s">
        <v>1099</v>
      </c>
      <c r="N316" s="15" t="s">
        <v>1100</v>
      </c>
      <c r="O316" s="31">
        <v>3</v>
      </c>
      <c r="P316" s="15">
        <v>38.5</v>
      </c>
      <c r="Q316" s="15">
        <v>-92.1</v>
      </c>
      <c r="R316" s="15">
        <v>270</v>
      </c>
      <c r="U316" s="15" t="s">
        <v>549</v>
      </c>
      <c r="V316" s="31">
        <v>1</v>
      </c>
      <c r="W316" s="16" t="s">
        <v>1179</v>
      </c>
      <c r="X316" s="15" t="s">
        <v>1112</v>
      </c>
      <c r="Y316" s="1">
        <v>8</v>
      </c>
      <c r="Z316" s="15">
        <v>5.0999999999999996</v>
      </c>
      <c r="AA316" s="15" t="s">
        <v>690</v>
      </c>
      <c r="AB316" s="15">
        <f t="shared" si="300"/>
        <v>5.8699999999999992</v>
      </c>
      <c r="AC316" s="1">
        <v>4</v>
      </c>
      <c r="AM316" s="1">
        <v>1</v>
      </c>
      <c r="AP316" s="15" t="s">
        <v>1114</v>
      </c>
      <c r="AQ316" s="57">
        <v>7</v>
      </c>
      <c r="AR316" s="1">
        <v>6</v>
      </c>
      <c r="AT316" s="15" t="s">
        <v>993</v>
      </c>
      <c r="AW316" s="15">
        <v>3258.6666666666665</v>
      </c>
      <c r="AX316" s="15">
        <f>AW316*1.09</f>
        <v>3551.9466666666667</v>
      </c>
      <c r="AY316" s="15" t="s">
        <v>766</v>
      </c>
      <c r="AZ316" s="15">
        <f t="shared" si="295"/>
        <v>3551.9466666666667</v>
      </c>
      <c r="BA316" s="15">
        <f t="shared" si="296"/>
        <v>1.2122684869169511</v>
      </c>
      <c r="BB316" s="15">
        <f t="shared" si="297"/>
        <v>2131.1680000000001</v>
      </c>
      <c r="BP316" s="16"/>
      <c r="BQ316" s="16"/>
      <c r="BR316" s="16"/>
      <c r="BU316" s="16"/>
      <c r="EZ316" s="16"/>
      <c r="FA316" s="16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>
        <f t="shared" si="301"/>
        <v>5.8699999999999992</v>
      </c>
      <c r="FL316" s="16">
        <f t="shared" si="302"/>
        <v>6.27</v>
      </c>
      <c r="FM316" s="15">
        <v>5.0999999999999996</v>
      </c>
      <c r="FN316" s="15">
        <f t="shared" si="292"/>
        <v>0.255</v>
      </c>
      <c r="FO316" s="15">
        <f>FN316*SQRT(AR316)</f>
        <v>0.62461988440971039</v>
      </c>
      <c r="FP316" s="15">
        <v>5.5</v>
      </c>
      <c r="FQ316" s="15">
        <f t="shared" si="293"/>
        <v>0.27500000000000002</v>
      </c>
      <c r="FR316" s="15">
        <f>FQ316*SQRT(AR316)</f>
        <v>0.67360967926537396</v>
      </c>
      <c r="FS316" s="15">
        <f t="shared" si="285"/>
        <v>1.0784313725490198</v>
      </c>
      <c r="FT316" s="15">
        <f t="shared" si="286"/>
        <v>0.40000000000000036</v>
      </c>
      <c r="FU316" s="15">
        <f t="shared" si="287"/>
        <v>7.5507552508145226E-2</v>
      </c>
      <c r="FV316" s="15">
        <f>((FR316*FR316)/(AR316*FP316*FP316)+(FO316*FO316)/(AR316*FM316*FM316))</f>
        <v>5.000000000000001E-3</v>
      </c>
      <c r="HY316" s="15">
        <f>AZ316</f>
        <v>3551.9466666666667</v>
      </c>
      <c r="HZ316" s="15">
        <f>BA316</f>
        <v>1.2122684869169511</v>
      </c>
      <c r="IA316" s="15">
        <f>BB316</f>
        <v>2131.1680000000001</v>
      </c>
    </row>
    <row r="317" spans="1:235" s="15" customFormat="1" x14ac:dyDescent="0.25">
      <c r="A317" s="31">
        <v>315</v>
      </c>
      <c r="B317" s="1">
        <v>58</v>
      </c>
      <c r="C317" s="1">
        <v>62</v>
      </c>
      <c r="D317" s="15" t="s">
        <v>276</v>
      </c>
      <c r="E317" s="1">
        <v>1</v>
      </c>
      <c r="F317" s="15" t="s">
        <v>761</v>
      </c>
      <c r="G317" s="15" t="s">
        <v>1116</v>
      </c>
      <c r="I317" s="1">
        <v>2012</v>
      </c>
      <c r="J317" s="15" t="s">
        <v>816</v>
      </c>
      <c r="K317" s="1" t="s">
        <v>1115</v>
      </c>
      <c r="L317" s="15" t="s">
        <v>901</v>
      </c>
      <c r="M317" s="15" t="s">
        <v>1099</v>
      </c>
      <c r="N317" s="15" t="s">
        <v>1100</v>
      </c>
      <c r="O317" s="31">
        <v>2</v>
      </c>
      <c r="P317" s="15">
        <v>27.99</v>
      </c>
      <c r="Q317" s="15">
        <v>-82.3</v>
      </c>
      <c r="U317" s="15" t="s">
        <v>549</v>
      </c>
      <c r="V317" s="31">
        <v>1</v>
      </c>
      <c r="W317" s="16" t="s">
        <v>1179</v>
      </c>
      <c r="X317" s="15" t="s">
        <v>1117</v>
      </c>
      <c r="Y317" s="1">
        <v>8</v>
      </c>
      <c r="Z317" s="15">
        <v>5.8</v>
      </c>
      <c r="AA317" s="15" t="s">
        <v>573</v>
      </c>
      <c r="AB317" s="15">
        <f>Z317</f>
        <v>5.8</v>
      </c>
      <c r="AC317" s="1">
        <v>4</v>
      </c>
      <c r="AD317" s="15">
        <v>120</v>
      </c>
      <c r="AP317" s="15" t="s">
        <v>1118</v>
      </c>
      <c r="AQ317" s="1">
        <v>8</v>
      </c>
      <c r="AR317" s="1">
        <v>3</v>
      </c>
      <c r="AT317" s="15" t="s">
        <v>576</v>
      </c>
      <c r="AW317" s="15">
        <v>175</v>
      </c>
      <c r="AX317" s="15">
        <f t="shared" ref="AX317:AX329" si="303">AW317</f>
        <v>175</v>
      </c>
      <c r="AY317" s="15" t="s">
        <v>766</v>
      </c>
      <c r="AZ317" s="15">
        <f t="shared" si="295"/>
        <v>175</v>
      </c>
      <c r="BA317" s="15">
        <f t="shared" si="296"/>
        <v>5.9726962457337884E-2</v>
      </c>
      <c r="BB317" s="15">
        <f t="shared" si="297"/>
        <v>105</v>
      </c>
      <c r="BP317" s="16"/>
      <c r="BQ317" s="16"/>
      <c r="BR317" s="16"/>
      <c r="BU317" s="16"/>
      <c r="EZ317" s="16"/>
      <c r="FA317" s="16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>
        <f>FM317</f>
        <v>5.75</v>
      </c>
      <c r="FL317" s="16">
        <f>FP317</f>
        <v>5.81</v>
      </c>
      <c r="FM317" s="15">
        <v>5.75</v>
      </c>
      <c r="FN317" s="15">
        <f t="shared" si="292"/>
        <v>0.28750000000000003</v>
      </c>
      <c r="FO317" s="15">
        <f>FN317*SQRT(AR317)</f>
        <v>0.49796460717605223</v>
      </c>
      <c r="FP317" s="15">
        <v>5.81</v>
      </c>
      <c r="FQ317" s="15">
        <f t="shared" si="293"/>
        <v>0.29049999999999998</v>
      </c>
      <c r="FR317" s="15">
        <f>FQ317*SQRT(AR317)</f>
        <v>0.50316075959875883</v>
      </c>
      <c r="FS317" s="15">
        <f t="shared" si="285"/>
        <v>1.0104347826086957</v>
      </c>
      <c r="FT317" s="15">
        <f t="shared" si="286"/>
        <v>5.9999999999999609E-2</v>
      </c>
      <c r="FU317" s="15">
        <f t="shared" si="287"/>
        <v>1.038071605456059E-2</v>
      </c>
      <c r="FV317" s="15">
        <f>((FR317*FR317)/(AR317*FP317*FP317)+(FO317*FO317)/(AR317*FM317*FM317))</f>
        <v>5.0000000000000001E-3</v>
      </c>
      <c r="HY317" s="15">
        <f>AZ317</f>
        <v>175</v>
      </c>
      <c r="HZ317" s="15">
        <f>BA317</f>
        <v>5.9726962457337884E-2</v>
      </c>
      <c r="IA317" s="15">
        <f>BB317</f>
        <v>105</v>
      </c>
    </row>
    <row r="318" spans="1:235" s="15" customFormat="1" x14ac:dyDescent="0.25">
      <c r="A318" s="31">
        <v>316</v>
      </c>
      <c r="B318" s="1">
        <v>58</v>
      </c>
      <c r="C318" s="1">
        <v>62</v>
      </c>
      <c r="D318" s="15" t="s">
        <v>277</v>
      </c>
      <c r="E318" s="1">
        <v>1</v>
      </c>
      <c r="F318" s="15" t="s">
        <v>761</v>
      </c>
      <c r="G318" s="15" t="s">
        <v>1116</v>
      </c>
      <c r="I318" s="1">
        <v>2012</v>
      </c>
      <c r="J318" s="15" t="s">
        <v>816</v>
      </c>
      <c r="K318" s="1" t="s">
        <v>1115</v>
      </c>
      <c r="L318" s="15" t="s">
        <v>901</v>
      </c>
      <c r="M318" s="15" t="s">
        <v>1099</v>
      </c>
      <c r="N318" s="15" t="s">
        <v>1100</v>
      </c>
      <c r="O318" s="31">
        <v>2</v>
      </c>
      <c r="P318" s="15">
        <v>27.99</v>
      </c>
      <c r="Q318" s="15">
        <v>-82.3</v>
      </c>
      <c r="U318" s="15" t="s">
        <v>549</v>
      </c>
      <c r="V318" s="31">
        <v>1</v>
      </c>
      <c r="W318" s="16" t="s">
        <v>1179</v>
      </c>
      <c r="X318" s="15" t="s">
        <v>1117</v>
      </c>
      <c r="Y318" s="1">
        <v>8</v>
      </c>
      <c r="Z318" s="15">
        <v>5.8</v>
      </c>
      <c r="AA318" s="15" t="s">
        <v>573</v>
      </c>
      <c r="AB318" s="15">
        <f>Z318</f>
        <v>5.8</v>
      </c>
      <c r="AC318" s="1">
        <v>4</v>
      </c>
      <c r="AD318" s="15">
        <v>120</v>
      </c>
      <c r="AP318" s="15" t="s">
        <v>1118</v>
      </c>
      <c r="AQ318" s="1">
        <v>8</v>
      </c>
      <c r="AR318" s="1">
        <v>3</v>
      </c>
      <c r="AT318" s="15" t="s">
        <v>576</v>
      </c>
      <c r="AW318" s="15">
        <v>350</v>
      </c>
      <c r="AX318" s="15">
        <f t="shared" si="303"/>
        <v>350</v>
      </c>
      <c r="AY318" s="15" t="s">
        <v>766</v>
      </c>
      <c r="AZ318" s="15">
        <f t="shared" si="295"/>
        <v>350</v>
      </c>
      <c r="BA318" s="15">
        <f t="shared" si="296"/>
        <v>0.11945392491467577</v>
      </c>
      <c r="BB318" s="15">
        <f t="shared" si="297"/>
        <v>210</v>
      </c>
      <c r="BP318" s="16"/>
      <c r="BQ318" s="16"/>
      <c r="BR318" s="16"/>
      <c r="BU318" s="16"/>
      <c r="EZ318" s="16"/>
      <c r="FA318" s="16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>
        <f>FM318</f>
        <v>5.75</v>
      </c>
      <c r="FL318" s="16">
        <f>FP318</f>
        <v>5.88</v>
      </c>
      <c r="FM318" s="15">
        <v>5.75</v>
      </c>
      <c r="FN318" s="15">
        <f t="shared" si="292"/>
        <v>0.28750000000000003</v>
      </c>
      <c r="FO318" s="15">
        <f>FN318*SQRT(AR318)</f>
        <v>0.49796460717605223</v>
      </c>
      <c r="FP318" s="15">
        <v>5.88</v>
      </c>
      <c r="FQ318" s="15">
        <f t="shared" si="293"/>
        <v>0.29399999999999998</v>
      </c>
      <c r="FR318" s="15">
        <f>FQ318*SQRT(AR318)</f>
        <v>0.50922293742524982</v>
      </c>
      <c r="FS318" s="15">
        <f t="shared" si="285"/>
        <v>1.0226086956521738</v>
      </c>
      <c r="FT318" s="15">
        <f t="shared" si="286"/>
        <v>0.12999999999999989</v>
      </c>
      <c r="FU318" s="15">
        <f t="shared" si="287"/>
        <v>2.2356907101276358E-2</v>
      </c>
      <c r="FV318" s="15">
        <f>((FR318*FR318)/(AR318*FP318*FP318)+(FO318*FO318)/(AR318*FM318*FM318))</f>
        <v>4.9999999999999992E-3</v>
      </c>
      <c r="HY318" s="15">
        <f>AZ318</f>
        <v>350</v>
      </c>
      <c r="HZ318" s="15">
        <f>BA318</f>
        <v>0.11945392491467577</v>
      </c>
      <c r="IA318" s="15">
        <f>BB318</f>
        <v>210</v>
      </c>
    </row>
    <row r="319" spans="1:235" s="15" customFormat="1" x14ac:dyDescent="0.25">
      <c r="A319" s="31">
        <v>317</v>
      </c>
      <c r="B319" s="1">
        <v>58</v>
      </c>
      <c r="C319" s="1">
        <v>62</v>
      </c>
      <c r="D319" s="15" t="s">
        <v>278</v>
      </c>
      <c r="E319" s="1">
        <v>1</v>
      </c>
      <c r="F319" s="15" t="s">
        <v>761</v>
      </c>
      <c r="G319" s="15" t="s">
        <v>1116</v>
      </c>
      <c r="I319" s="1">
        <v>2012</v>
      </c>
      <c r="J319" s="15" t="s">
        <v>816</v>
      </c>
      <c r="K319" s="1" t="s">
        <v>1115</v>
      </c>
      <c r="L319" s="15" t="s">
        <v>901</v>
      </c>
      <c r="M319" s="15" t="s">
        <v>1099</v>
      </c>
      <c r="N319" s="15" t="s">
        <v>1100</v>
      </c>
      <c r="O319" s="31">
        <v>2</v>
      </c>
      <c r="P319" s="15">
        <v>27.99</v>
      </c>
      <c r="Q319" s="15">
        <v>-82.3</v>
      </c>
      <c r="U319" s="15" t="s">
        <v>549</v>
      </c>
      <c r="V319" s="31">
        <v>1</v>
      </c>
      <c r="W319" s="16" t="s">
        <v>1179</v>
      </c>
      <c r="X319" s="15" t="s">
        <v>1117</v>
      </c>
      <c r="Y319" s="1">
        <v>8</v>
      </c>
      <c r="Z319" s="15">
        <v>5.8</v>
      </c>
      <c r="AA319" s="15" t="s">
        <v>573</v>
      </c>
      <c r="AB319" s="15">
        <f>Z319</f>
        <v>5.8</v>
      </c>
      <c r="AC319" s="1">
        <v>4</v>
      </c>
      <c r="AD319" s="15">
        <v>120</v>
      </c>
      <c r="AP319" s="15" t="s">
        <v>1620</v>
      </c>
      <c r="AQ319" s="1">
        <v>8</v>
      </c>
      <c r="AR319" s="1">
        <v>3</v>
      </c>
      <c r="AT319" s="15" t="s">
        <v>576</v>
      </c>
      <c r="AW319" s="15">
        <v>525</v>
      </c>
      <c r="AX319" s="15">
        <f t="shared" si="303"/>
        <v>525</v>
      </c>
      <c r="AY319" s="15" t="s">
        <v>766</v>
      </c>
      <c r="AZ319" s="15">
        <f t="shared" si="295"/>
        <v>525</v>
      </c>
      <c r="BA319" s="15">
        <f t="shared" si="296"/>
        <v>0.17918088737201365</v>
      </c>
      <c r="BB319" s="15">
        <f t="shared" si="297"/>
        <v>315</v>
      </c>
      <c r="BP319" s="16"/>
      <c r="BQ319" s="16"/>
      <c r="BR319" s="16"/>
      <c r="BU319" s="16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>
        <f>FM319</f>
        <v>5.75</v>
      </c>
      <c r="FL319" s="16">
        <f>FP319</f>
        <v>5.95</v>
      </c>
      <c r="FM319" s="25">
        <v>5.75</v>
      </c>
      <c r="FN319" s="25">
        <f t="shared" si="292"/>
        <v>0.28750000000000003</v>
      </c>
      <c r="FO319" s="15">
        <f>FN319*SQRT(AR319)</f>
        <v>0.49796460717605223</v>
      </c>
      <c r="FP319" s="25">
        <v>5.95</v>
      </c>
      <c r="FQ319" s="25">
        <f t="shared" si="293"/>
        <v>0.29750000000000004</v>
      </c>
      <c r="FR319" s="15">
        <f>FQ319*SQRT(AR319)</f>
        <v>0.51528511525174103</v>
      </c>
      <c r="FS319" s="25">
        <f t="shared" si="285"/>
        <v>1.0347826086956522</v>
      </c>
      <c r="FT319" s="25">
        <f t="shared" si="286"/>
        <v>0.20000000000000018</v>
      </c>
      <c r="FU319" s="15">
        <f t="shared" si="287"/>
        <v>3.4191364748279218E-2</v>
      </c>
      <c r="FV319" s="15">
        <f>((FR319*FR319)/(AR319*FP319*FP319)+(FO319*FO319)/(AR319*FM319*FM319))</f>
        <v>5.0000000000000001E-3</v>
      </c>
      <c r="HY319" s="15">
        <f>AZ319</f>
        <v>525</v>
      </c>
      <c r="HZ319" s="15">
        <f>BA319</f>
        <v>0.17918088737201365</v>
      </c>
      <c r="IA319" s="15">
        <f>BB319</f>
        <v>315</v>
      </c>
    </row>
    <row r="320" spans="1:235" s="15" customFormat="1" x14ac:dyDescent="0.25">
      <c r="A320" s="31">
        <v>318</v>
      </c>
      <c r="B320" s="1">
        <v>59</v>
      </c>
      <c r="C320" s="1">
        <v>63</v>
      </c>
      <c r="D320" s="15" t="s">
        <v>279</v>
      </c>
      <c r="E320" s="1">
        <v>1</v>
      </c>
      <c r="F320" s="15" t="s">
        <v>761</v>
      </c>
      <c r="G320" s="15" t="s">
        <v>1119</v>
      </c>
      <c r="H320" s="15" t="s">
        <v>1121</v>
      </c>
      <c r="I320" s="1">
        <v>2007</v>
      </c>
      <c r="J320" s="15" t="s">
        <v>1120</v>
      </c>
      <c r="K320" s="1">
        <v>1999</v>
      </c>
      <c r="L320" s="15" t="s">
        <v>1122</v>
      </c>
      <c r="M320" s="15" t="s">
        <v>1123</v>
      </c>
      <c r="N320" s="15" t="s">
        <v>1125</v>
      </c>
      <c r="O320" s="31">
        <v>1</v>
      </c>
      <c r="P320" s="15">
        <v>-48.47</v>
      </c>
      <c r="Q320" s="15">
        <v>-20.88</v>
      </c>
      <c r="R320" s="15">
        <v>601</v>
      </c>
      <c r="U320" s="15" t="s">
        <v>549</v>
      </c>
      <c r="V320" s="31">
        <v>1</v>
      </c>
      <c r="W320" s="16" t="s">
        <v>1179</v>
      </c>
      <c r="X320" s="15" t="s">
        <v>1124</v>
      </c>
      <c r="Y320" s="1">
        <v>2</v>
      </c>
      <c r="Z320" s="15">
        <v>4.7</v>
      </c>
      <c r="AA320" s="15" t="s">
        <v>690</v>
      </c>
      <c r="AB320" s="15">
        <f>Z320+0.77</f>
        <v>5.4700000000000006</v>
      </c>
      <c r="AC320" s="1">
        <v>3</v>
      </c>
      <c r="AD320" s="15">
        <v>18</v>
      </c>
      <c r="AM320" s="1"/>
      <c r="AQ320" s="1"/>
      <c r="AR320" s="1">
        <v>4</v>
      </c>
      <c r="AT320" s="15" t="s">
        <v>576</v>
      </c>
      <c r="AU320" s="15">
        <v>46</v>
      </c>
      <c r="AV320" s="15">
        <v>10</v>
      </c>
      <c r="AW320" s="15">
        <v>616.66666666666663</v>
      </c>
      <c r="AX320" s="15">
        <f t="shared" si="303"/>
        <v>616.66666666666663</v>
      </c>
      <c r="AY320" s="15" t="s">
        <v>766</v>
      </c>
      <c r="AZ320" s="15">
        <f t="shared" si="295"/>
        <v>616.66666666666663</v>
      </c>
      <c r="BA320" s="15">
        <f t="shared" si="296"/>
        <v>0.21046643913538107</v>
      </c>
      <c r="BB320" s="15">
        <f t="shared" si="297"/>
        <v>369.99999999999994</v>
      </c>
      <c r="BP320" s="16"/>
      <c r="BQ320" s="16"/>
      <c r="BR320" s="16"/>
      <c r="BU320" s="16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>
        <f>FM320+0.77</f>
        <v>4.9600000000000009</v>
      </c>
      <c r="FL320" s="16">
        <f>FP320+0.77</f>
        <v>5.15</v>
      </c>
      <c r="FM320" s="15">
        <v>4.1900000000000004</v>
      </c>
      <c r="FN320" s="15">
        <f t="shared" si="292"/>
        <v>0.20950000000000002</v>
      </c>
      <c r="FO320" s="15">
        <f>FN320*SQRT(AR320)</f>
        <v>0.41900000000000004</v>
      </c>
      <c r="FP320" s="15">
        <v>4.38</v>
      </c>
      <c r="FQ320" s="15">
        <f t="shared" si="293"/>
        <v>0.219</v>
      </c>
      <c r="FR320" s="15">
        <f>FQ320*SQRT(AR320)</f>
        <v>0.438</v>
      </c>
      <c r="FS320" s="15">
        <f t="shared" si="285"/>
        <v>1.0453460620525059</v>
      </c>
      <c r="FT320" s="15">
        <f t="shared" si="286"/>
        <v>0.1899999999999995</v>
      </c>
      <c r="FU320" s="15">
        <f t="shared" si="287"/>
        <v>4.4347990454308261E-2</v>
      </c>
      <c r="FV320" s="15">
        <f>((FR320*FR320)/(AR320*FP320*FP320)+(FO320*FO320)/(AR320*FM320*FM320))</f>
        <v>4.9999999999999992E-3</v>
      </c>
      <c r="GT320" s="15">
        <v>18.25</v>
      </c>
      <c r="GU320" s="15">
        <f>GT320*0.05</f>
        <v>0.91250000000000009</v>
      </c>
      <c r="GV320" s="15">
        <f>GU320*SQRT(AR141)</f>
        <v>1.5804963619066006</v>
      </c>
      <c r="GW320" s="15">
        <v>31.32</v>
      </c>
      <c r="GX320" s="15">
        <f>GW320*0.05</f>
        <v>1.5660000000000001</v>
      </c>
      <c r="GY320" s="15">
        <f>GX320*SQRT(AR141)</f>
        <v>2.7123915646528616</v>
      </c>
      <c r="GZ320" s="15">
        <f>GW320/GT320</f>
        <v>1.7161643835616438</v>
      </c>
      <c r="HA320" s="15">
        <f>GW320-GT320</f>
        <v>13.07</v>
      </c>
      <c r="HB320" s="15">
        <f>LN(GW320)-LN(GT320)</f>
        <v>0.54009179109410166</v>
      </c>
      <c r="HC320" s="15">
        <f>((GY320*GY320)/(AR141*GW320*GW320)+(GV320*GV320)/(AR141*GT320*GT320))</f>
        <v>4.9999999999999992E-3</v>
      </c>
      <c r="HY320" s="15">
        <f>AZ320</f>
        <v>616.66666666666663</v>
      </c>
      <c r="HZ320" s="15">
        <f>BA320</f>
        <v>0.21046643913538107</v>
      </c>
      <c r="IA320" s="15">
        <f>BB320</f>
        <v>369.99999999999994</v>
      </c>
    </row>
    <row r="321" spans="1:235" s="15" customFormat="1" x14ac:dyDescent="0.25">
      <c r="A321" s="31">
        <v>319</v>
      </c>
      <c r="B321" s="1">
        <v>59</v>
      </c>
      <c r="C321" s="1">
        <v>63</v>
      </c>
      <c r="D321" s="15" t="s">
        <v>280</v>
      </c>
      <c r="E321" s="1">
        <v>1</v>
      </c>
      <c r="F321" s="15" t="s">
        <v>761</v>
      </c>
      <c r="G321" s="15" t="s">
        <v>1119</v>
      </c>
      <c r="H321" s="15" t="s">
        <v>1121</v>
      </c>
      <c r="I321" s="1">
        <v>2007</v>
      </c>
      <c r="J321" s="15" t="s">
        <v>1120</v>
      </c>
      <c r="K321" s="1">
        <v>1999</v>
      </c>
      <c r="L321" s="15" t="s">
        <v>1122</v>
      </c>
      <c r="M321" s="15" t="s">
        <v>1123</v>
      </c>
      <c r="N321" s="15" t="s">
        <v>1125</v>
      </c>
      <c r="O321" s="31">
        <v>1</v>
      </c>
      <c r="P321" s="15">
        <v>-48.47</v>
      </c>
      <c r="Q321" s="15">
        <v>-20.88</v>
      </c>
      <c r="R321" s="15">
        <v>601</v>
      </c>
      <c r="U321" s="15" t="s">
        <v>549</v>
      </c>
      <c r="V321" s="31">
        <v>1</v>
      </c>
      <c r="W321" s="16" t="s">
        <v>1179</v>
      </c>
      <c r="X321" s="15" t="s">
        <v>1124</v>
      </c>
      <c r="Y321" s="1">
        <v>2</v>
      </c>
      <c r="Z321" s="15">
        <v>4.7</v>
      </c>
      <c r="AA321" s="15" t="s">
        <v>690</v>
      </c>
      <c r="AB321" s="15">
        <f>Z321+0.77</f>
        <v>5.4700000000000006</v>
      </c>
      <c r="AC321" s="1">
        <v>3</v>
      </c>
      <c r="AD321" s="15">
        <v>18</v>
      </c>
      <c r="AM321" s="1"/>
      <c r="AQ321" s="1"/>
      <c r="AR321" s="1">
        <v>4</v>
      </c>
      <c r="AT321" s="15" t="s">
        <v>576</v>
      </c>
      <c r="AU321" s="15">
        <v>46</v>
      </c>
      <c r="AV321" s="15">
        <v>10</v>
      </c>
      <c r="AW321" s="15">
        <v>1236.6666666666667</v>
      </c>
      <c r="AX321" s="15">
        <f t="shared" si="303"/>
        <v>1236.6666666666667</v>
      </c>
      <c r="AY321" s="15" t="s">
        <v>766</v>
      </c>
      <c r="AZ321" s="15">
        <f t="shared" si="295"/>
        <v>1236.6666666666667</v>
      </c>
      <c r="BA321" s="15">
        <f t="shared" si="296"/>
        <v>0.42207053469852107</v>
      </c>
      <c r="BB321" s="15">
        <f t="shared" si="297"/>
        <v>742</v>
      </c>
      <c r="BP321" s="16"/>
      <c r="BQ321" s="16"/>
      <c r="BR321" s="16"/>
      <c r="BU321" s="16"/>
      <c r="EZ321" s="16"/>
      <c r="FA321" s="16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>
        <f>FM321+0.77</f>
        <v>4.9600000000000009</v>
      </c>
      <c r="FL321" s="16">
        <f>FP321+0.77</f>
        <v>5.4700000000000006</v>
      </c>
      <c r="FM321" s="15">
        <v>4.1900000000000004</v>
      </c>
      <c r="FN321" s="15">
        <f t="shared" si="292"/>
        <v>0.20950000000000002</v>
      </c>
      <c r="FO321" s="15">
        <f>FN321*SQRT(AR321)</f>
        <v>0.41900000000000004</v>
      </c>
      <c r="FP321" s="15">
        <v>4.7</v>
      </c>
      <c r="FQ321" s="15">
        <f t="shared" si="293"/>
        <v>0.23500000000000001</v>
      </c>
      <c r="FR321" s="15">
        <f>FQ321*SQRT(AR321)</f>
        <v>0.47000000000000003</v>
      </c>
      <c r="FS321" s="15">
        <f t="shared" si="285"/>
        <v>1.1217183770883055</v>
      </c>
      <c r="FT321" s="15">
        <f t="shared" si="286"/>
        <v>0.50999999999999979</v>
      </c>
      <c r="FU321" s="15">
        <f t="shared" si="287"/>
        <v>0.11486177478196646</v>
      </c>
      <c r="FV321" s="15">
        <f>((FR321*FR321)/(AR321*FP321*FP321)+(FO321*FO321)/(AR321*FM321*FM321))</f>
        <v>4.9999999999999992E-3</v>
      </c>
      <c r="GT321" s="15">
        <v>18.25</v>
      </c>
      <c r="GU321" s="15">
        <f>GT321*0.05</f>
        <v>0.91250000000000009</v>
      </c>
      <c r="GV321" s="15">
        <f>GU321*SQRT(AR142)</f>
        <v>1.5804963619066006</v>
      </c>
      <c r="GW321" s="15">
        <v>46.39</v>
      </c>
      <c r="GX321" s="15">
        <f>GW321*0.05</f>
        <v>2.3195000000000001</v>
      </c>
      <c r="GY321" s="15">
        <f>GX321*SQRT(AR142)</f>
        <v>4.0174918481560109</v>
      </c>
      <c r="GZ321" s="15">
        <f>GW321/GT321</f>
        <v>2.541917808219178</v>
      </c>
      <c r="HA321" s="15">
        <f>GW321-GT321</f>
        <v>28.14</v>
      </c>
      <c r="HB321" s="15">
        <f>LN(GW321)-LN(GT321)</f>
        <v>0.93291883873515191</v>
      </c>
      <c r="HC321" s="15">
        <f>((GY321*GY321)/(AR142*GW321*GW321)+(GV321*GV321)/(AR142*GT321*GT321))</f>
        <v>4.9999999999999992E-3</v>
      </c>
      <c r="HY321" s="15">
        <f>AZ321</f>
        <v>1236.6666666666667</v>
      </c>
      <c r="HZ321" s="15">
        <f>BA321</f>
        <v>0.42207053469852107</v>
      </c>
      <c r="IA321" s="15">
        <f>BB321</f>
        <v>742</v>
      </c>
    </row>
    <row r="322" spans="1:235" s="15" customFormat="1" x14ac:dyDescent="0.25">
      <c r="A322" s="31">
        <v>320</v>
      </c>
      <c r="B322" s="1">
        <v>59</v>
      </c>
      <c r="C322" s="1">
        <v>63</v>
      </c>
      <c r="D322" s="15" t="s">
        <v>281</v>
      </c>
      <c r="E322" s="1">
        <v>1</v>
      </c>
      <c r="F322" s="15" t="s">
        <v>761</v>
      </c>
      <c r="G322" s="15" t="s">
        <v>1119</v>
      </c>
      <c r="H322" s="15" t="s">
        <v>1121</v>
      </c>
      <c r="I322" s="1">
        <v>2007</v>
      </c>
      <c r="J322" s="15" t="s">
        <v>1120</v>
      </c>
      <c r="K322" s="1">
        <v>1999</v>
      </c>
      <c r="L322" s="15" t="s">
        <v>1122</v>
      </c>
      <c r="M322" s="15" t="s">
        <v>1123</v>
      </c>
      <c r="N322" s="15" t="s">
        <v>1125</v>
      </c>
      <c r="O322" s="31">
        <v>1</v>
      </c>
      <c r="P322" s="15">
        <v>-48.47</v>
      </c>
      <c r="Q322" s="15">
        <v>-20.88</v>
      </c>
      <c r="R322" s="15">
        <v>601</v>
      </c>
      <c r="U322" s="15" t="s">
        <v>549</v>
      </c>
      <c r="V322" s="31">
        <v>1</v>
      </c>
      <c r="W322" s="16" t="s">
        <v>1179</v>
      </c>
      <c r="X322" s="15" t="s">
        <v>1124</v>
      </c>
      <c r="Y322" s="1">
        <v>2</v>
      </c>
      <c r="Z322" s="15">
        <v>4.7</v>
      </c>
      <c r="AA322" s="15" t="s">
        <v>690</v>
      </c>
      <c r="AB322" s="15">
        <f>Z322+0.77</f>
        <v>5.4700000000000006</v>
      </c>
      <c r="AC322" s="1">
        <v>3</v>
      </c>
      <c r="AD322" s="15">
        <v>18</v>
      </c>
      <c r="AM322" s="1"/>
      <c r="AQ322" s="1"/>
      <c r="AR322" s="1">
        <v>4</v>
      </c>
      <c r="AT322" s="15" t="s">
        <v>576</v>
      </c>
      <c r="AU322" s="15">
        <v>46</v>
      </c>
      <c r="AV322" s="15">
        <v>10</v>
      </c>
      <c r="AW322" s="15">
        <v>1853.3333333333333</v>
      </c>
      <c r="AX322" s="15">
        <f t="shared" si="303"/>
        <v>1853.3333333333333</v>
      </c>
      <c r="AY322" s="15" t="s">
        <v>766</v>
      </c>
      <c r="AZ322" s="15">
        <f t="shared" si="295"/>
        <v>1853.3333333333333</v>
      </c>
      <c r="BA322" s="15">
        <f t="shared" si="296"/>
        <v>0.63253697383390217</v>
      </c>
      <c r="BB322" s="15">
        <f t="shared" si="297"/>
        <v>1112</v>
      </c>
      <c r="BP322" s="16"/>
      <c r="BQ322" s="16"/>
      <c r="BR322" s="16"/>
      <c r="BU322" s="16"/>
      <c r="EZ322" s="16"/>
      <c r="FA322" s="16"/>
      <c r="FB322" s="16"/>
      <c r="FC322" s="16"/>
      <c r="FD322" s="16"/>
      <c r="FE322" s="16"/>
      <c r="FF322" s="16"/>
      <c r="FG322" s="16"/>
      <c r="FH322" s="16"/>
      <c r="FI322" s="16"/>
      <c r="FJ322" s="16"/>
      <c r="FK322" s="16">
        <f>FM322+0.77</f>
        <v>4.9600000000000009</v>
      </c>
      <c r="FL322" s="16">
        <f>FP322+0.77</f>
        <v>5.67</v>
      </c>
      <c r="FM322" s="15">
        <v>4.1900000000000004</v>
      </c>
      <c r="FN322" s="15">
        <f t="shared" si="292"/>
        <v>0.20950000000000002</v>
      </c>
      <c r="FO322" s="15">
        <f>FN322*SQRT(AR322)</f>
        <v>0.41900000000000004</v>
      </c>
      <c r="FP322" s="15">
        <v>4.9000000000000004</v>
      </c>
      <c r="FQ322" s="15">
        <f t="shared" si="293"/>
        <v>0.24500000000000002</v>
      </c>
      <c r="FR322" s="15">
        <f>FQ322*SQRT(AR322)</f>
        <v>0.49000000000000005</v>
      </c>
      <c r="FS322" s="15">
        <f t="shared" si="285"/>
        <v>1.1694510739856803</v>
      </c>
      <c r="FT322" s="15">
        <f t="shared" si="286"/>
        <v>0.71</v>
      </c>
      <c r="FU322" s="15">
        <f t="shared" si="287"/>
        <v>0.1565344711825345</v>
      </c>
      <c r="FV322" s="15">
        <f>((FR322*FR322)/(AR322*FP322*FP322)+(FO322*FO322)/(AR322*FM322*FM322))</f>
        <v>4.9999999999999992E-3</v>
      </c>
      <c r="GT322" s="15">
        <v>18.25</v>
      </c>
      <c r="GU322" s="15">
        <f>GT322*0.05</f>
        <v>0.91250000000000009</v>
      </c>
      <c r="GV322" s="15">
        <f>GU322*SQRT(AR143)</f>
        <v>1.5804963619066006</v>
      </c>
      <c r="GW322" s="15">
        <v>58.64</v>
      </c>
      <c r="GX322" s="15">
        <f>GW322*0.05</f>
        <v>2.9320000000000004</v>
      </c>
      <c r="GY322" s="15">
        <f>GX322*SQRT(AR143)</f>
        <v>5.0783729677919487</v>
      </c>
      <c r="GZ322" s="15">
        <f>GW322/GT322</f>
        <v>3.2131506849315068</v>
      </c>
      <c r="HA322" s="15">
        <f>GW322-GT322</f>
        <v>40.39</v>
      </c>
      <c r="HB322" s="15">
        <f>LN(GW322)-LN(GT322)</f>
        <v>1.1672519775498951</v>
      </c>
      <c r="HC322" s="15">
        <f>((GY322*GY322)/(AR143*GW322*GW322)+(GV322*GV322)/(AR143*GT322*GT322))</f>
        <v>5.0000000000000001E-3</v>
      </c>
      <c r="HY322" s="15">
        <f>AZ322</f>
        <v>1853.3333333333333</v>
      </c>
      <c r="HZ322" s="15">
        <f>BA322</f>
        <v>0.63253697383390217</v>
      </c>
      <c r="IA322" s="15">
        <f>BB322</f>
        <v>1112</v>
      </c>
    </row>
    <row r="323" spans="1:235" s="15" customFormat="1" x14ac:dyDescent="0.25">
      <c r="A323" s="31">
        <v>321</v>
      </c>
      <c r="B323" s="1">
        <v>59</v>
      </c>
      <c r="C323" s="1">
        <v>63</v>
      </c>
      <c r="D323" s="15" t="s">
        <v>282</v>
      </c>
      <c r="E323" s="1">
        <v>1</v>
      </c>
      <c r="F323" s="15" t="s">
        <v>761</v>
      </c>
      <c r="G323" s="15" t="s">
        <v>1119</v>
      </c>
      <c r="H323" s="15" t="s">
        <v>1121</v>
      </c>
      <c r="I323" s="1">
        <v>2007</v>
      </c>
      <c r="J323" s="15" t="s">
        <v>1120</v>
      </c>
      <c r="K323" s="1">
        <v>1999</v>
      </c>
      <c r="L323" s="15" t="s">
        <v>1122</v>
      </c>
      <c r="M323" s="15" t="s">
        <v>1123</v>
      </c>
      <c r="N323" s="15" t="s">
        <v>1125</v>
      </c>
      <c r="O323" s="31">
        <v>1</v>
      </c>
      <c r="P323" s="15">
        <v>-48.47</v>
      </c>
      <c r="Q323" s="15">
        <v>-20.88</v>
      </c>
      <c r="R323" s="15">
        <v>601</v>
      </c>
      <c r="U323" s="15" t="s">
        <v>549</v>
      </c>
      <c r="V323" s="31">
        <v>1</v>
      </c>
      <c r="W323" s="16" t="s">
        <v>1179</v>
      </c>
      <c r="X323" s="15" t="s">
        <v>1124</v>
      </c>
      <c r="Y323" s="1">
        <v>2</v>
      </c>
      <c r="Z323" s="15">
        <v>4.7</v>
      </c>
      <c r="AA323" s="15" t="s">
        <v>690</v>
      </c>
      <c r="AB323" s="15">
        <f>Z323+0.77</f>
        <v>5.4700000000000006</v>
      </c>
      <c r="AC323" s="1">
        <v>3</v>
      </c>
      <c r="AD323" s="15">
        <v>18</v>
      </c>
      <c r="AM323" s="1"/>
      <c r="AQ323" s="1"/>
      <c r="AR323" s="1">
        <v>4</v>
      </c>
      <c r="AT323" s="15" t="s">
        <v>576</v>
      </c>
      <c r="AU323" s="15">
        <v>46</v>
      </c>
      <c r="AV323" s="15">
        <v>10</v>
      </c>
      <c r="AW323" s="15">
        <v>2470</v>
      </c>
      <c r="AX323" s="15">
        <f t="shared" si="303"/>
        <v>2470</v>
      </c>
      <c r="AY323" s="15" t="s">
        <v>766</v>
      </c>
      <c r="AZ323" s="15">
        <f t="shared" si="295"/>
        <v>2470</v>
      </c>
      <c r="BA323" s="15">
        <f t="shared" si="296"/>
        <v>0.84300341296928316</v>
      </c>
      <c r="BB323" s="15">
        <f t="shared" si="297"/>
        <v>1482</v>
      </c>
      <c r="BP323" s="16"/>
      <c r="BQ323" s="16"/>
      <c r="BR323" s="16"/>
      <c r="BU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>
        <f>FM323+0.77</f>
        <v>4.9600000000000009</v>
      </c>
      <c r="FL323" s="16">
        <f>FP323+0.77</f>
        <v>5.8900000000000006</v>
      </c>
      <c r="FM323" s="15">
        <v>4.1900000000000004</v>
      </c>
      <c r="FN323" s="15">
        <f t="shared" si="292"/>
        <v>0.20950000000000002</v>
      </c>
      <c r="FO323" s="15">
        <f>FN323*SQRT(AR323)</f>
        <v>0.41900000000000004</v>
      </c>
      <c r="FP323" s="15">
        <v>5.12</v>
      </c>
      <c r="FQ323" s="15">
        <f t="shared" si="293"/>
        <v>0.25600000000000001</v>
      </c>
      <c r="FR323" s="15">
        <f>FQ323*SQRT(AR323)</f>
        <v>0.51200000000000001</v>
      </c>
      <c r="FS323" s="15">
        <f t="shared" si="285"/>
        <v>1.2219570405727922</v>
      </c>
      <c r="FT323" s="15">
        <f t="shared" si="286"/>
        <v>0.92999999999999972</v>
      </c>
      <c r="FU323" s="15">
        <f t="shared" si="287"/>
        <v>0.20045370511736982</v>
      </c>
      <c r="FV323" s="15">
        <f>((FR323*FR323)/(AR323*FP323*FP323)+(FO323*FO323)/(AR323*FM323*FM323))</f>
        <v>4.9999999999999992E-3</v>
      </c>
      <c r="GT323" s="15">
        <v>18.25</v>
      </c>
      <c r="GU323" s="15">
        <f>GT323*0.05</f>
        <v>0.91250000000000009</v>
      </c>
      <c r="GV323" s="15">
        <f>GU323*SQRT(AR144)</f>
        <v>1.5804963619066006</v>
      </c>
      <c r="GW323" s="15">
        <v>64.36</v>
      </c>
      <c r="GX323" s="15">
        <f>GW323*0.05</f>
        <v>3.218</v>
      </c>
      <c r="GY323" s="15">
        <f>GX323*SQRT(AR144)</f>
        <v>5.5737394987566464</v>
      </c>
      <c r="GZ323" s="15">
        <f>GW323/GT323</f>
        <v>3.5265753424657533</v>
      </c>
      <c r="HA323" s="15">
        <f>GW323-GT323</f>
        <v>46.11</v>
      </c>
      <c r="HB323" s="15">
        <f>LN(GW323)-LN(GT323)</f>
        <v>1.2603272420956819</v>
      </c>
      <c r="HC323" s="15">
        <f>((GY323*GY323)/(AR144*GW323*GW323)+(GV323*GV323)/(AR144*GT323*GT323))</f>
        <v>4.9999999999999992E-3</v>
      </c>
      <c r="HY323" s="15">
        <f>AZ323</f>
        <v>2470</v>
      </c>
      <c r="HZ323" s="15">
        <f>BA323</f>
        <v>0.84300341296928316</v>
      </c>
      <c r="IA323" s="15">
        <f>BB323</f>
        <v>1482</v>
      </c>
    </row>
    <row r="324" spans="1:235" s="15" customFormat="1" x14ac:dyDescent="0.25">
      <c r="A324" s="31">
        <v>322</v>
      </c>
      <c r="B324" s="1">
        <v>60</v>
      </c>
      <c r="C324" s="1">
        <v>64</v>
      </c>
      <c r="D324" s="15" t="s">
        <v>283</v>
      </c>
      <c r="E324" s="1">
        <v>1</v>
      </c>
      <c r="F324" s="15" t="s">
        <v>761</v>
      </c>
      <c r="G324" s="15" t="s">
        <v>1128</v>
      </c>
      <c r="H324" s="15" t="s">
        <v>1129</v>
      </c>
      <c r="I324" s="1">
        <v>2009</v>
      </c>
      <c r="J324" s="15" t="s">
        <v>780</v>
      </c>
      <c r="K324" s="1" t="s">
        <v>1127</v>
      </c>
      <c r="L324" s="15" t="s">
        <v>1130</v>
      </c>
      <c r="M324" s="15" t="s">
        <v>1131</v>
      </c>
      <c r="N324" s="15" t="s">
        <v>783</v>
      </c>
      <c r="O324" s="31">
        <v>3</v>
      </c>
      <c r="P324" s="15">
        <v>55.47</v>
      </c>
      <c r="Q324" s="15">
        <v>-2.23</v>
      </c>
      <c r="R324" s="15">
        <v>310</v>
      </c>
      <c r="U324" s="15" t="s">
        <v>549</v>
      </c>
      <c r="V324" s="31">
        <v>1</v>
      </c>
      <c r="W324" s="16" t="s">
        <v>1179</v>
      </c>
      <c r="X324" s="15" t="s">
        <v>1132</v>
      </c>
      <c r="Y324" s="1">
        <v>8</v>
      </c>
      <c r="Z324" s="15">
        <v>3.79</v>
      </c>
      <c r="AA324" s="15" t="s">
        <v>573</v>
      </c>
      <c r="AB324" s="15">
        <f t="shared" ref="AB324:AB372" si="304">Z324</f>
        <v>3.79</v>
      </c>
      <c r="AC324" s="1">
        <v>1</v>
      </c>
      <c r="AM324" s="1"/>
      <c r="AQ324" s="1"/>
      <c r="AR324" s="1">
        <v>5</v>
      </c>
      <c r="AT324" s="15" t="s">
        <v>886</v>
      </c>
      <c r="AU324" s="15">
        <v>95</v>
      </c>
      <c r="AW324" s="15">
        <v>6000</v>
      </c>
      <c r="AX324" s="15">
        <f t="shared" si="303"/>
        <v>6000</v>
      </c>
      <c r="AY324" s="15" t="s">
        <v>766</v>
      </c>
      <c r="AZ324" s="15">
        <f t="shared" si="295"/>
        <v>6000</v>
      </c>
      <c r="BA324" s="15">
        <f t="shared" si="296"/>
        <v>2.0477815699658701</v>
      </c>
      <c r="BB324" s="15">
        <f t="shared" si="297"/>
        <v>3600</v>
      </c>
      <c r="BP324" s="16"/>
      <c r="BQ324" s="16"/>
      <c r="BR324" s="16"/>
      <c r="BU324" s="16"/>
      <c r="EZ324" s="16"/>
      <c r="FA324" s="16"/>
      <c r="FB324" s="16"/>
      <c r="FC324" s="16"/>
      <c r="FD324" s="16"/>
      <c r="FE324" s="16"/>
      <c r="FF324" s="16"/>
      <c r="FG324" s="16"/>
      <c r="FH324" s="16"/>
      <c r="FI324" s="16"/>
      <c r="FJ324" s="16"/>
      <c r="FK324" s="16">
        <f t="shared" ref="FK324:FK364" si="305">FM324</f>
        <v>3.79</v>
      </c>
      <c r="FL324" s="16">
        <f t="shared" ref="FL324:FL364" si="306">FP324</f>
        <v>4.9000000000000004</v>
      </c>
      <c r="FM324" s="15">
        <v>3.79</v>
      </c>
      <c r="FN324" s="15">
        <v>0.1</v>
      </c>
      <c r="FO324" s="15">
        <f>FN324*SQRT(AR324)</f>
        <v>0.22360679774997899</v>
      </c>
      <c r="FP324" s="15">
        <v>4.9000000000000004</v>
      </c>
      <c r="FQ324" s="15">
        <v>0.24</v>
      </c>
      <c r="FR324" s="15">
        <f>FQ324*SQRT(AR324)</f>
        <v>0.53665631459994956</v>
      </c>
      <c r="FS324" s="15">
        <f t="shared" si="285"/>
        <v>1.2928759894459103</v>
      </c>
      <c r="FT324" s="15">
        <f t="shared" si="286"/>
        <v>1.1100000000000003</v>
      </c>
      <c r="FU324" s="15">
        <f t="shared" si="287"/>
        <v>0.25686918602224607</v>
      </c>
      <c r="FV324" s="15">
        <f>((FR324*FR324)/(AR324*FP324*FP324)+(FO324*FO324)/(AR324*FM324*FM324))</f>
        <v>3.0951804765038493E-3</v>
      </c>
      <c r="HY324" s="15">
        <f>AZ324</f>
        <v>6000</v>
      </c>
      <c r="HZ324" s="15">
        <f>BA324</f>
        <v>2.0477815699658701</v>
      </c>
      <c r="IA324" s="15">
        <f>BB324</f>
        <v>3600</v>
      </c>
    </row>
    <row r="325" spans="1:235" s="15" customFormat="1" x14ac:dyDescent="0.25">
      <c r="A325" s="31">
        <v>323</v>
      </c>
      <c r="B325" s="1">
        <v>61</v>
      </c>
      <c r="C325" s="1">
        <v>65</v>
      </c>
      <c r="D325" s="15" t="s">
        <v>284</v>
      </c>
      <c r="E325" s="1">
        <v>1</v>
      </c>
      <c r="F325" s="15" t="s">
        <v>761</v>
      </c>
      <c r="G325" s="15" t="s">
        <v>1133</v>
      </c>
      <c r="H325" s="15" t="s">
        <v>1134</v>
      </c>
      <c r="I325" s="1">
        <v>2008</v>
      </c>
      <c r="J325" s="15" t="s">
        <v>1135</v>
      </c>
      <c r="K325" s="1" t="s">
        <v>1136</v>
      </c>
      <c r="L325" s="15" t="s">
        <v>1137</v>
      </c>
      <c r="M325" s="15" t="s">
        <v>1099</v>
      </c>
      <c r="N325" s="15" t="s">
        <v>1100</v>
      </c>
      <c r="O325" s="31">
        <v>3</v>
      </c>
      <c r="S325" s="15">
        <v>520</v>
      </c>
      <c r="T325" s="15">
        <v>8.3000000000000007</v>
      </c>
      <c r="U325" s="15" t="s">
        <v>549</v>
      </c>
      <c r="V325" s="31">
        <v>1</v>
      </c>
      <c r="W325" s="16" t="s">
        <v>1179</v>
      </c>
      <c r="X325" s="15" t="s">
        <v>1138</v>
      </c>
      <c r="Y325" s="61">
        <v>11</v>
      </c>
      <c r="Z325" s="15">
        <f>(5.11+4.73+5.48+5.94)/4</f>
        <v>5.3150000000000004</v>
      </c>
      <c r="AA325" s="15" t="s">
        <v>573</v>
      </c>
      <c r="AB325" s="15">
        <f t="shared" si="304"/>
        <v>5.3150000000000004</v>
      </c>
      <c r="AC325" s="1">
        <v>3</v>
      </c>
      <c r="AM325" s="1"/>
      <c r="AQ325" s="1"/>
      <c r="AR325" s="1">
        <v>3</v>
      </c>
      <c r="AT325" s="15" t="s">
        <v>886</v>
      </c>
      <c r="AU325" s="15">
        <v>91</v>
      </c>
      <c r="AW325" s="15">
        <v>2333.3333333333335</v>
      </c>
      <c r="AX325" s="15">
        <f t="shared" si="303"/>
        <v>2333.3333333333335</v>
      </c>
      <c r="AY325" s="15" t="s">
        <v>766</v>
      </c>
      <c r="AZ325" s="15">
        <f t="shared" si="295"/>
        <v>2333.3333333333335</v>
      </c>
      <c r="BA325" s="15">
        <f t="shared" si="296"/>
        <v>0.79635949943117179</v>
      </c>
      <c r="BB325" s="15">
        <f t="shared" si="297"/>
        <v>1400</v>
      </c>
      <c r="BP325" s="16"/>
      <c r="BQ325" s="16"/>
      <c r="BR325" s="16"/>
      <c r="BU325" s="16"/>
      <c r="EZ325" s="16"/>
      <c r="FA325" s="16"/>
      <c r="FB325" s="16"/>
      <c r="FC325" s="16"/>
      <c r="FD325" s="16"/>
      <c r="FE325" s="16"/>
      <c r="FF325" s="16"/>
      <c r="FG325" s="16"/>
      <c r="FH325" s="16"/>
      <c r="FI325" s="16"/>
      <c r="FJ325" s="16"/>
      <c r="FK325" s="16">
        <f t="shared" si="305"/>
        <v>5.1375000000000002</v>
      </c>
      <c r="FL325" s="16">
        <f t="shared" si="306"/>
        <v>5.9625000000000004</v>
      </c>
      <c r="FM325" s="15">
        <f>(4.74+4.62+5.3+5.89)/4</f>
        <v>5.1375000000000002</v>
      </c>
      <c r="FN325" s="15">
        <f>FM325*0.05</f>
        <v>0.25687500000000002</v>
      </c>
      <c r="FO325" s="15">
        <f>FN325*SQRT(AR325)</f>
        <v>0.44492055119425539</v>
      </c>
      <c r="FP325" s="15">
        <f>(5.94+5.72+5.21+6.98)/4</f>
        <v>5.9625000000000004</v>
      </c>
      <c r="FQ325" s="15">
        <f>FP325*0.05</f>
        <v>0.29812500000000003</v>
      </c>
      <c r="FR325" s="15">
        <f>FQ325*SQRT(AR325)</f>
        <v>0.51636764700647153</v>
      </c>
      <c r="FS325" s="15">
        <f t="shared" si="285"/>
        <v>1.1605839416058394</v>
      </c>
      <c r="FT325" s="15">
        <f t="shared" si="286"/>
        <v>0.82500000000000018</v>
      </c>
      <c r="FU325" s="15">
        <f t="shared" si="287"/>
        <v>0.14892327639210667</v>
      </c>
      <c r="FV325" s="15">
        <f>((FR325*FR325)/(AR325*FP325*FP325)+(FO325*FO325)/(AR325*FM325*FM325))</f>
        <v>4.9999999999999992E-3</v>
      </c>
      <c r="HE325" s="15">
        <v>3835</v>
      </c>
      <c r="HF325" s="15">
        <v>375</v>
      </c>
      <c r="HG325" s="15">
        <f>HF325*SQRT(AR325)</f>
        <v>649.519052838329</v>
      </c>
      <c r="HH325" s="15">
        <v>4243</v>
      </c>
      <c r="HI325" s="15">
        <v>655</v>
      </c>
      <c r="HJ325" s="15">
        <f>HI325*SQRT(AR325)</f>
        <v>1134.4932789576146</v>
      </c>
      <c r="HK325" s="15">
        <f t="shared" ref="HK325:HK333" si="307">HH325/HE325</f>
        <v>1.1063885267275098</v>
      </c>
      <c r="HL325" s="15">
        <f t="shared" ref="HL325:HL333" si="308">HH325-HE325</f>
        <v>408</v>
      </c>
      <c r="HM325" s="15">
        <f t="shared" ref="HM325:HM333" si="309">LN(HH325)-LN(HE325)</f>
        <v>0.10110113140096821</v>
      </c>
      <c r="HN325" s="15">
        <f>((HJ325*HJ325)/(AR166*HH325*HH325)+(HG325*HG325)/(AR166*HE325*HE325))</f>
        <v>3.3392312592325009E-2</v>
      </c>
      <c r="HP325" s="15" t="s">
        <v>766</v>
      </c>
      <c r="HV325" s="15">
        <f t="shared" ref="HV325:HV333" si="310">HX325/HW325/100</f>
        <v>138.47520602391523</v>
      </c>
      <c r="HW325" s="15">
        <f t="shared" ref="HW325:HW333" si="311">HM325</f>
        <v>0.10110113140096821</v>
      </c>
      <c r="HX325" s="15">
        <f>BB325</f>
        <v>1400</v>
      </c>
      <c r="HY325" s="15">
        <f>AZ325</f>
        <v>2333.3333333333335</v>
      </c>
      <c r="HZ325" s="15">
        <f>BA325</f>
        <v>0.79635949943117179</v>
      </c>
      <c r="IA325" s="15">
        <f>BB325</f>
        <v>1400</v>
      </c>
    </row>
    <row r="326" spans="1:235" s="15" customFormat="1" x14ac:dyDescent="0.25">
      <c r="A326" s="31">
        <v>324</v>
      </c>
      <c r="B326" s="1">
        <v>62</v>
      </c>
      <c r="C326" s="1">
        <v>66</v>
      </c>
      <c r="D326" s="15" t="s">
        <v>285</v>
      </c>
      <c r="E326" s="1">
        <v>1</v>
      </c>
      <c r="F326" s="15" t="s">
        <v>798</v>
      </c>
      <c r="G326" s="15" t="s">
        <v>1139</v>
      </c>
      <c r="H326" s="15" t="s">
        <v>857</v>
      </c>
      <c r="I326" s="1">
        <v>2021</v>
      </c>
      <c r="J326" s="15" t="s">
        <v>1140</v>
      </c>
      <c r="K326" s="1">
        <v>2018</v>
      </c>
      <c r="L326" s="15" t="s">
        <v>1141</v>
      </c>
      <c r="M326" s="15" t="s">
        <v>480</v>
      </c>
      <c r="N326" s="15" t="s">
        <v>23</v>
      </c>
      <c r="O326" s="31">
        <v>2</v>
      </c>
      <c r="P326" s="15">
        <v>30.33</v>
      </c>
      <c r="Q326" s="15">
        <v>104.58</v>
      </c>
      <c r="S326" s="15">
        <v>900</v>
      </c>
      <c r="T326" s="15">
        <v>16</v>
      </c>
      <c r="U326" s="15" t="s">
        <v>549</v>
      </c>
      <c r="V326" s="31">
        <v>1</v>
      </c>
      <c r="W326" s="16" t="s">
        <v>1158</v>
      </c>
      <c r="X326" s="15" t="s">
        <v>689</v>
      </c>
      <c r="Y326" s="1">
        <v>1</v>
      </c>
      <c r="Z326" s="15">
        <v>5.52</v>
      </c>
      <c r="AA326" s="15" t="s">
        <v>573</v>
      </c>
      <c r="AB326" s="15">
        <f t="shared" si="304"/>
        <v>5.52</v>
      </c>
      <c r="AC326" s="1">
        <v>4</v>
      </c>
      <c r="AD326" s="15">
        <v>31.85</v>
      </c>
      <c r="AM326" s="1"/>
      <c r="AN326" s="15">
        <v>1.1399999999999999</v>
      </c>
      <c r="AP326" s="15" t="s">
        <v>1142</v>
      </c>
      <c r="AQ326" s="61">
        <v>3</v>
      </c>
      <c r="AR326" s="1">
        <v>3</v>
      </c>
      <c r="AT326" s="15" t="s">
        <v>576</v>
      </c>
      <c r="AW326" s="15">
        <v>600</v>
      </c>
      <c r="AX326" s="15">
        <f t="shared" si="303"/>
        <v>600</v>
      </c>
      <c r="AY326" s="15" t="s">
        <v>766</v>
      </c>
      <c r="AZ326" s="15">
        <f t="shared" si="295"/>
        <v>600</v>
      </c>
      <c r="BA326" s="15">
        <f t="shared" si="296"/>
        <v>0.20477815699658702</v>
      </c>
      <c r="BB326" s="15">
        <f t="shared" si="297"/>
        <v>360</v>
      </c>
      <c r="BP326" s="16"/>
      <c r="BQ326" s="16"/>
      <c r="BR326" s="16"/>
      <c r="BU326" s="16"/>
      <c r="EZ326" s="16"/>
      <c r="FA326" s="16"/>
      <c r="FB326" s="16"/>
      <c r="FC326" s="16"/>
      <c r="FD326" s="16"/>
      <c r="FE326" s="16"/>
      <c r="FF326" s="16"/>
      <c r="FG326" s="16"/>
      <c r="FH326" s="16"/>
      <c r="FI326" s="16"/>
      <c r="FJ326" s="16"/>
      <c r="FK326" s="16">
        <f t="shared" si="305"/>
        <v>5.49</v>
      </c>
      <c r="FL326" s="16">
        <f t="shared" si="306"/>
        <v>5.64</v>
      </c>
      <c r="FM326" s="15">
        <v>5.49</v>
      </c>
      <c r="FN326" s="15">
        <v>0.04</v>
      </c>
      <c r="FO326" s="15">
        <f>FN326*SQRT(AR326)</f>
        <v>6.9282032302755092E-2</v>
      </c>
      <c r="FP326" s="15">
        <v>5.64</v>
      </c>
      <c r="FQ326" s="15">
        <v>0.05</v>
      </c>
      <c r="FR326" s="15">
        <f>FQ326*SQRT(AR326)</f>
        <v>8.6602540378443865E-2</v>
      </c>
      <c r="FS326" s="15">
        <f t="shared" si="285"/>
        <v>1.0273224043715845</v>
      </c>
      <c r="FT326" s="15">
        <f t="shared" si="286"/>
        <v>0.14999999999999947</v>
      </c>
      <c r="FU326" s="15">
        <f t="shared" si="287"/>
        <v>2.695580998852809E-2</v>
      </c>
      <c r="FV326" s="15">
        <f>((FR326*FR326)/(AR326*FP326*FP326)+(FO326*FO326)/(AR326*FM326*FM326))</f>
        <v>1.3167805052682533E-4</v>
      </c>
      <c r="HE326" s="15">
        <v>8576</v>
      </c>
      <c r="HF326" s="15">
        <v>380</v>
      </c>
      <c r="HG326" s="15">
        <f>HF326*SQRT(AR326)</f>
        <v>658.17930687617331</v>
      </c>
      <c r="HH326" s="15">
        <v>8678</v>
      </c>
      <c r="HI326" s="15">
        <v>320</v>
      </c>
      <c r="HJ326" s="15">
        <f>HI326*SQRT(AR326)</f>
        <v>554.25625842204067</v>
      </c>
      <c r="HK326" s="15">
        <f t="shared" si="307"/>
        <v>1.0118936567164178</v>
      </c>
      <c r="HL326" s="15">
        <f t="shared" si="308"/>
        <v>102</v>
      </c>
      <c r="HM326" s="15">
        <f t="shared" si="309"/>
        <v>1.1823483047713523E-2</v>
      </c>
      <c r="HN326" s="15">
        <f>((HJ326*HJ326)/(AR167*HH326*HH326)+(HG326*HG326)/(AR167*HE326*HE326))</f>
        <v>3.3231046482510621E-3</v>
      </c>
      <c r="HP326" s="15" t="s">
        <v>766</v>
      </c>
      <c r="HV326" s="15">
        <f t="shared" si="310"/>
        <v>304.47880590450745</v>
      </c>
      <c r="HW326" s="15">
        <f t="shared" si="311"/>
        <v>1.1823483047713523E-2</v>
      </c>
      <c r="HX326" s="15">
        <f>BB326</f>
        <v>360</v>
      </c>
      <c r="HY326" s="15">
        <f>AZ326</f>
        <v>600</v>
      </c>
      <c r="HZ326" s="15">
        <f>BA326</f>
        <v>0.20477815699658702</v>
      </c>
      <c r="IA326" s="15">
        <f>BB326</f>
        <v>360</v>
      </c>
    </row>
    <row r="327" spans="1:235" s="15" customFormat="1" x14ac:dyDescent="0.25">
      <c r="A327" s="31">
        <v>325</v>
      </c>
      <c r="B327" s="1">
        <v>62</v>
      </c>
      <c r="C327" s="1">
        <v>66</v>
      </c>
      <c r="D327" s="15" t="s">
        <v>286</v>
      </c>
      <c r="E327" s="1">
        <v>1</v>
      </c>
      <c r="F327" s="15" t="s">
        <v>761</v>
      </c>
      <c r="G327" s="15" t="s">
        <v>1139</v>
      </c>
      <c r="H327" s="15" t="s">
        <v>857</v>
      </c>
      <c r="I327" s="1">
        <v>2021</v>
      </c>
      <c r="J327" s="15" t="s">
        <v>1140</v>
      </c>
      <c r="K327" s="1">
        <v>2018</v>
      </c>
      <c r="L327" s="15" t="s">
        <v>1141</v>
      </c>
      <c r="M327" s="15" t="s">
        <v>480</v>
      </c>
      <c r="N327" s="15" t="s">
        <v>23</v>
      </c>
      <c r="O327" s="31">
        <v>2</v>
      </c>
      <c r="P327" s="15">
        <v>30.33</v>
      </c>
      <c r="Q327" s="15">
        <v>104.58</v>
      </c>
      <c r="S327" s="15">
        <v>900</v>
      </c>
      <c r="T327" s="15">
        <v>16</v>
      </c>
      <c r="U327" s="15" t="s">
        <v>549</v>
      </c>
      <c r="V327" s="31">
        <v>1</v>
      </c>
      <c r="W327" s="16" t="s">
        <v>1158</v>
      </c>
      <c r="X327" s="15" t="s">
        <v>689</v>
      </c>
      <c r="Y327" s="1">
        <v>1</v>
      </c>
      <c r="Z327" s="15">
        <v>5.52</v>
      </c>
      <c r="AA327" s="15" t="s">
        <v>573</v>
      </c>
      <c r="AB327" s="15">
        <f t="shared" si="304"/>
        <v>5.52</v>
      </c>
      <c r="AC327" s="1">
        <v>4</v>
      </c>
      <c r="AD327" s="15">
        <v>31.85</v>
      </c>
      <c r="AM327" s="1"/>
      <c r="AN327" s="15">
        <v>1.1399999999999999</v>
      </c>
      <c r="AP327" s="15" t="s">
        <v>1142</v>
      </c>
      <c r="AQ327" s="61">
        <v>3</v>
      </c>
      <c r="AR327" s="1">
        <v>3</v>
      </c>
      <c r="AT327" s="15" t="s">
        <v>576</v>
      </c>
      <c r="AW327" s="15">
        <v>1200</v>
      </c>
      <c r="AX327" s="15">
        <f t="shared" si="303"/>
        <v>1200</v>
      </c>
      <c r="AY327" s="15" t="s">
        <v>766</v>
      </c>
      <c r="AZ327" s="15">
        <f t="shared" si="295"/>
        <v>1200</v>
      </c>
      <c r="BA327" s="15">
        <f t="shared" si="296"/>
        <v>0.40955631399317405</v>
      </c>
      <c r="BB327" s="15">
        <f t="shared" si="297"/>
        <v>720</v>
      </c>
      <c r="BP327" s="16"/>
      <c r="BQ327" s="16"/>
      <c r="BR327" s="16"/>
      <c r="BU327" s="16"/>
      <c r="EZ327" s="16"/>
      <c r="FA327" s="16"/>
      <c r="FB327" s="16"/>
      <c r="FC327" s="16"/>
      <c r="FD327" s="16"/>
      <c r="FE327" s="16"/>
      <c r="FF327" s="16"/>
      <c r="FG327" s="16"/>
      <c r="FH327" s="16"/>
      <c r="FI327" s="16"/>
      <c r="FJ327" s="16"/>
      <c r="FK327" s="16">
        <f t="shared" si="305"/>
        <v>5.49</v>
      </c>
      <c r="FL327" s="16">
        <f t="shared" si="306"/>
        <v>5.77</v>
      </c>
      <c r="FM327" s="15">
        <v>5.49</v>
      </c>
      <c r="FN327" s="15">
        <v>0.04</v>
      </c>
      <c r="FO327" s="15">
        <f>FN327*SQRT(AR327)</f>
        <v>6.9282032302755092E-2</v>
      </c>
      <c r="FP327" s="15">
        <v>5.77</v>
      </c>
      <c r="FQ327" s="15">
        <v>0.06</v>
      </c>
      <c r="FR327" s="15">
        <f>FQ327*SQRT(AR327)</f>
        <v>0.10392304845413262</v>
      </c>
      <c r="FS327" s="15">
        <f t="shared" si="285"/>
        <v>1.0510018214936248</v>
      </c>
      <c r="FT327" s="15">
        <f t="shared" si="286"/>
        <v>0.27999999999999936</v>
      </c>
      <c r="FU327" s="15">
        <f t="shared" si="287"/>
        <v>4.9743824998568886E-2</v>
      </c>
      <c r="FV327" s="15">
        <f>((FR327*FR327)/(AR327*FP327*FP327)+(FO327*FO327)/(AR327*FM327*FM327))</f>
        <v>1.6121658750222021E-4</v>
      </c>
      <c r="HE327" s="15">
        <v>8576</v>
      </c>
      <c r="HF327" s="15">
        <v>380</v>
      </c>
      <c r="HG327" s="15">
        <f>HF327*SQRT(AR327)</f>
        <v>658.17930687617331</v>
      </c>
      <c r="HH327" s="15">
        <v>8718</v>
      </c>
      <c r="HI327" s="15">
        <v>343</v>
      </c>
      <c r="HJ327" s="15">
        <f>HI327*SQRT(AR327)</f>
        <v>594.09342699612489</v>
      </c>
      <c r="HK327" s="15">
        <f t="shared" si="307"/>
        <v>1.0165578358208955</v>
      </c>
      <c r="HL327" s="15">
        <f t="shared" si="308"/>
        <v>142</v>
      </c>
      <c r="HM327" s="15">
        <f t="shared" si="309"/>
        <v>1.642224948775528E-2</v>
      </c>
      <c r="HN327" s="15">
        <f>((HJ327*HJ327)/(AR168*HH327*HH327)+(HG327*HG327)/(AR168*HE327*HE327))</f>
        <v>3.5112910286547207E-3</v>
      </c>
      <c r="HP327" s="15" t="s">
        <v>766</v>
      </c>
      <c r="HV327" s="15">
        <f t="shared" si="310"/>
        <v>438.4295833142985</v>
      </c>
      <c r="HW327" s="15">
        <f t="shared" si="311"/>
        <v>1.642224948775528E-2</v>
      </c>
      <c r="HX327" s="15">
        <f>BB327</f>
        <v>720</v>
      </c>
      <c r="HY327" s="15">
        <f>AZ327</f>
        <v>1200</v>
      </c>
      <c r="HZ327" s="15">
        <f>BA327</f>
        <v>0.40955631399317405</v>
      </c>
      <c r="IA327" s="15">
        <f>BB327</f>
        <v>720</v>
      </c>
    </row>
    <row r="328" spans="1:235" s="15" customFormat="1" x14ac:dyDescent="0.25">
      <c r="A328" s="31">
        <v>326</v>
      </c>
      <c r="B328" s="1">
        <v>62</v>
      </c>
      <c r="C328" s="1">
        <v>66</v>
      </c>
      <c r="D328" s="15" t="s">
        <v>287</v>
      </c>
      <c r="E328" s="1">
        <v>1</v>
      </c>
      <c r="F328" s="15" t="s">
        <v>761</v>
      </c>
      <c r="G328" s="15" t="s">
        <v>1139</v>
      </c>
      <c r="H328" s="15" t="s">
        <v>857</v>
      </c>
      <c r="I328" s="1">
        <v>2021</v>
      </c>
      <c r="J328" s="15" t="s">
        <v>1140</v>
      </c>
      <c r="K328" s="1">
        <v>2018</v>
      </c>
      <c r="L328" s="15" t="s">
        <v>1141</v>
      </c>
      <c r="M328" s="15" t="s">
        <v>480</v>
      </c>
      <c r="N328" s="15" t="s">
        <v>23</v>
      </c>
      <c r="O328" s="31">
        <v>2</v>
      </c>
      <c r="P328" s="15">
        <v>30.33</v>
      </c>
      <c r="Q328" s="15">
        <v>104.58</v>
      </c>
      <c r="S328" s="15">
        <v>900</v>
      </c>
      <c r="T328" s="15">
        <v>16</v>
      </c>
      <c r="U328" s="15" t="s">
        <v>549</v>
      </c>
      <c r="V328" s="31">
        <v>1</v>
      </c>
      <c r="W328" s="16" t="s">
        <v>1158</v>
      </c>
      <c r="X328" s="15" t="s">
        <v>689</v>
      </c>
      <c r="Y328" s="1">
        <v>1</v>
      </c>
      <c r="Z328" s="15">
        <v>5.52</v>
      </c>
      <c r="AA328" s="15" t="s">
        <v>573</v>
      </c>
      <c r="AB328" s="15">
        <f t="shared" si="304"/>
        <v>5.52</v>
      </c>
      <c r="AC328" s="1">
        <v>4</v>
      </c>
      <c r="AD328" s="15">
        <v>31.85</v>
      </c>
      <c r="AM328" s="1"/>
      <c r="AN328" s="15">
        <v>1.1399999999999999</v>
      </c>
      <c r="AP328" s="15" t="s">
        <v>1142</v>
      </c>
      <c r="AQ328" s="61">
        <v>3</v>
      </c>
      <c r="AR328" s="1">
        <v>3</v>
      </c>
      <c r="AT328" s="15" t="s">
        <v>576</v>
      </c>
      <c r="AW328" s="15">
        <v>1800</v>
      </c>
      <c r="AX328" s="15">
        <f t="shared" si="303"/>
        <v>1800</v>
      </c>
      <c r="AY328" s="15" t="s">
        <v>766</v>
      </c>
      <c r="AZ328" s="15">
        <f t="shared" si="295"/>
        <v>1800</v>
      </c>
      <c r="BA328" s="15">
        <f t="shared" si="296"/>
        <v>0.61433447098976102</v>
      </c>
      <c r="BB328" s="15">
        <f t="shared" si="297"/>
        <v>1080</v>
      </c>
      <c r="BP328" s="16"/>
      <c r="BQ328" s="16"/>
      <c r="BR328" s="16"/>
      <c r="BU328" s="16"/>
      <c r="EZ328" s="16"/>
      <c r="FA328" s="16"/>
      <c r="FB328" s="16"/>
      <c r="FC328" s="16"/>
      <c r="FD328" s="16"/>
      <c r="FE328" s="16"/>
      <c r="FF328" s="16"/>
      <c r="FG328" s="16"/>
      <c r="FH328" s="16"/>
      <c r="FI328" s="16"/>
      <c r="FJ328" s="16"/>
      <c r="FK328" s="16">
        <f t="shared" si="305"/>
        <v>5.49</v>
      </c>
      <c r="FL328" s="16">
        <f t="shared" si="306"/>
        <v>6.03</v>
      </c>
      <c r="FM328" s="15">
        <v>5.49</v>
      </c>
      <c r="FN328" s="15">
        <v>0.04</v>
      </c>
      <c r="FO328" s="15">
        <f>FN328*SQRT(AR328)</f>
        <v>6.9282032302755092E-2</v>
      </c>
      <c r="FP328" s="15">
        <v>6.03</v>
      </c>
      <c r="FQ328" s="15">
        <v>0.15</v>
      </c>
      <c r="FR328" s="15">
        <f>FQ328*SQRT(AR328)</f>
        <v>0.25980762113533157</v>
      </c>
      <c r="FS328" s="15">
        <f t="shared" si="285"/>
        <v>1.098360655737705</v>
      </c>
      <c r="FT328" s="15">
        <f t="shared" si="286"/>
        <v>0.54</v>
      </c>
      <c r="FU328" s="15">
        <f t="shared" si="287"/>
        <v>9.3818755217654815E-2</v>
      </c>
      <c r="FV328" s="15">
        <f>((FR328*FR328)/(AR328*FP328*FP328)+(FO328*FO328)/(AR328*FM328*FM328))</f>
        <v>6.7188198884285302E-4</v>
      </c>
      <c r="HE328" s="15">
        <v>8576</v>
      </c>
      <c r="HF328" s="15">
        <v>380</v>
      </c>
      <c r="HG328" s="15">
        <f>HF328*SQRT(AR328)</f>
        <v>658.17930687617331</v>
      </c>
      <c r="HH328" s="15">
        <v>8813</v>
      </c>
      <c r="HI328" s="15">
        <v>433</v>
      </c>
      <c r="HJ328" s="15">
        <f>HI328*SQRT(AR328)</f>
        <v>749.97799967732385</v>
      </c>
      <c r="HK328" s="15">
        <f t="shared" si="307"/>
        <v>1.0276352611940298</v>
      </c>
      <c r="HL328" s="15">
        <f t="shared" si="308"/>
        <v>237</v>
      </c>
      <c r="HM328" s="15">
        <f t="shared" si="309"/>
        <v>2.726029978907718E-2</v>
      </c>
      <c r="HN328" s="15">
        <f>((HJ328*HJ328)/(AR169*HH328*HH328)+(HG328*HG328)/(AR169*HE328*HE328))</f>
        <v>4.3772995469931117E-3</v>
      </c>
      <c r="HP328" s="15" t="s">
        <v>766</v>
      </c>
      <c r="HV328" s="15">
        <f t="shared" si="310"/>
        <v>396.1805293251914</v>
      </c>
      <c r="HW328" s="15">
        <f t="shared" si="311"/>
        <v>2.726029978907718E-2</v>
      </c>
      <c r="HX328" s="15">
        <f>BB328</f>
        <v>1080</v>
      </c>
      <c r="HY328" s="15">
        <f>AZ328</f>
        <v>1800</v>
      </c>
      <c r="HZ328" s="15">
        <f>BA328</f>
        <v>0.61433447098976102</v>
      </c>
      <c r="IA328" s="15">
        <f>BB328</f>
        <v>1080</v>
      </c>
    </row>
    <row r="329" spans="1:235" s="15" customFormat="1" x14ac:dyDescent="0.25">
      <c r="A329" s="31">
        <v>327</v>
      </c>
      <c r="B329" s="1">
        <v>62</v>
      </c>
      <c r="C329" s="1">
        <v>66</v>
      </c>
      <c r="D329" s="15" t="s">
        <v>288</v>
      </c>
      <c r="E329" s="1">
        <v>1</v>
      </c>
      <c r="F329" s="15" t="s">
        <v>761</v>
      </c>
      <c r="G329" s="15" t="s">
        <v>1139</v>
      </c>
      <c r="H329" s="15" t="s">
        <v>857</v>
      </c>
      <c r="I329" s="1">
        <v>2021</v>
      </c>
      <c r="J329" s="15" t="s">
        <v>1140</v>
      </c>
      <c r="K329" s="1">
        <v>2018</v>
      </c>
      <c r="L329" s="15" t="s">
        <v>1141</v>
      </c>
      <c r="M329" s="15" t="s">
        <v>480</v>
      </c>
      <c r="N329" s="15" t="s">
        <v>23</v>
      </c>
      <c r="O329" s="31">
        <v>2</v>
      </c>
      <c r="P329" s="15">
        <v>30.33</v>
      </c>
      <c r="Q329" s="15">
        <v>104.58</v>
      </c>
      <c r="S329" s="15">
        <v>900</v>
      </c>
      <c r="T329" s="15">
        <v>16</v>
      </c>
      <c r="U329" s="15" t="s">
        <v>549</v>
      </c>
      <c r="V329" s="31">
        <v>1</v>
      </c>
      <c r="W329" s="16" t="s">
        <v>1158</v>
      </c>
      <c r="X329" s="15" t="s">
        <v>689</v>
      </c>
      <c r="Y329" s="1">
        <v>1</v>
      </c>
      <c r="Z329" s="15">
        <v>5.52</v>
      </c>
      <c r="AA329" s="15" t="s">
        <v>573</v>
      </c>
      <c r="AB329" s="15">
        <f t="shared" si="304"/>
        <v>5.52</v>
      </c>
      <c r="AC329" s="1">
        <v>4</v>
      </c>
      <c r="AD329" s="15">
        <v>31.85</v>
      </c>
      <c r="AM329" s="1"/>
      <c r="AN329" s="15">
        <v>1.1399999999999999</v>
      </c>
      <c r="AP329" s="15" t="s">
        <v>1142</v>
      </c>
      <c r="AQ329" s="61">
        <v>3</v>
      </c>
      <c r="AR329" s="1">
        <v>3</v>
      </c>
      <c r="AT329" s="15" t="s">
        <v>576</v>
      </c>
      <c r="AW329" s="15">
        <v>2400</v>
      </c>
      <c r="AX329" s="15">
        <f t="shared" si="303"/>
        <v>2400</v>
      </c>
      <c r="AY329" s="15" t="s">
        <v>766</v>
      </c>
      <c r="AZ329" s="15">
        <f t="shared" si="295"/>
        <v>2400</v>
      </c>
      <c r="BA329" s="15">
        <f t="shared" si="296"/>
        <v>0.8191126279863481</v>
      </c>
      <c r="BB329" s="15">
        <f t="shared" si="297"/>
        <v>1440</v>
      </c>
      <c r="BP329" s="16"/>
      <c r="BQ329" s="16"/>
      <c r="BR329" s="16"/>
      <c r="BU329" s="16"/>
      <c r="EZ329" s="16"/>
      <c r="FA329" s="16"/>
      <c r="FB329" s="16"/>
      <c r="FC329" s="16"/>
      <c r="FD329" s="16"/>
      <c r="FE329" s="16"/>
      <c r="FF329" s="16"/>
      <c r="FG329" s="16"/>
      <c r="FH329" s="16"/>
      <c r="FI329" s="16"/>
      <c r="FJ329" s="16"/>
      <c r="FK329" s="16">
        <f t="shared" si="305"/>
        <v>5.49</v>
      </c>
      <c r="FL329" s="16">
        <f t="shared" si="306"/>
        <v>6.07</v>
      </c>
      <c r="FM329" s="15">
        <v>5.49</v>
      </c>
      <c r="FN329" s="15">
        <v>0.04</v>
      </c>
      <c r="FO329" s="15">
        <f>FN329*SQRT(AR329)</f>
        <v>6.9282032302755092E-2</v>
      </c>
      <c r="FP329" s="15">
        <v>6.07</v>
      </c>
      <c r="FQ329" s="15">
        <v>0.16</v>
      </c>
      <c r="FR329" s="15">
        <f>FQ329*SQRT(AR329)</f>
        <v>0.27712812921102037</v>
      </c>
      <c r="FS329" s="15">
        <f t="shared" si="285"/>
        <v>1.1056466302367942</v>
      </c>
      <c r="FT329" s="15">
        <f t="shared" si="286"/>
        <v>0.58000000000000007</v>
      </c>
      <c r="FU329" s="15">
        <f t="shared" si="287"/>
        <v>0.10043034954996766</v>
      </c>
      <c r="FV329" s="15">
        <f>((FR329*FR329)/(AR329*FP329*FP329)+(FO329*FO329)/(AR329*FM329*FM329))</f>
        <v>7.4788986137908813E-4</v>
      </c>
      <c r="HE329" s="15">
        <v>8576</v>
      </c>
      <c r="HF329" s="15">
        <v>380</v>
      </c>
      <c r="HG329" s="15">
        <f>HF329*SQRT(AR329)</f>
        <v>658.17930687617331</v>
      </c>
      <c r="HH329" s="15">
        <v>8720</v>
      </c>
      <c r="HI329" s="15">
        <v>136</v>
      </c>
      <c r="HJ329" s="15">
        <f>HI329*SQRT(AR329)</f>
        <v>235.55890982936731</v>
      </c>
      <c r="HK329" s="15">
        <f t="shared" si="307"/>
        <v>1.0167910447761195</v>
      </c>
      <c r="HL329" s="15">
        <f t="shared" si="308"/>
        <v>144</v>
      </c>
      <c r="HM329" s="15">
        <f t="shared" si="309"/>
        <v>1.6651633592442039E-2</v>
      </c>
      <c r="HN329" s="15">
        <f>((HJ329*HJ329)/(AR170*HH329*HH329)+(HG329*HG329)/(AR170*HE329*HE329))</f>
        <v>2.2065951644117988E-3</v>
      </c>
      <c r="HP329" s="15" t="s">
        <v>766</v>
      </c>
      <c r="HV329" s="15">
        <f t="shared" si="310"/>
        <v>864.78001813203332</v>
      </c>
      <c r="HW329" s="15">
        <f t="shared" si="311"/>
        <v>1.6651633592442039E-2</v>
      </c>
      <c r="HX329" s="15">
        <f>BB329</f>
        <v>1440</v>
      </c>
      <c r="HY329" s="15">
        <f>AZ329</f>
        <v>2400</v>
      </c>
      <c r="HZ329" s="15">
        <f>BA329</f>
        <v>0.8191126279863481</v>
      </c>
      <c r="IA329" s="15">
        <f>BB329</f>
        <v>1440</v>
      </c>
    </row>
    <row r="330" spans="1:235" s="15" customFormat="1" x14ac:dyDescent="0.25">
      <c r="A330" s="31">
        <v>328</v>
      </c>
      <c r="B330" s="1">
        <v>62</v>
      </c>
      <c r="C330" s="1">
        <v>66</v>
      </c>
      <c r="D330" s="15" t="s">
        <v>289</v>
      </c>
      <c r="E330" s="1">
        <v>5</v>
      </c>
      <c r="F330" s="15" t="s">
        <v>798</v>
      </c>
      <c r="G330" s="15" t="s">
        <v>1139</v>
      </c>
      <c r="H330" s="15" t="s">
        <v>857</v>
      </c>
      <c r="I330" s="1">
        <v>2021</v>
      </c>
      <c r="J330" s="15" t="s">
        <v>1140</v>
      </c>
      <c r="K330" s="1">
        <v>2018</v>
      </c>
      <c r="L330" s="15" t="s">
        <v>1141</v>
      </c>
      <c r="M330" s="15" t="s">
        <v>480</v>
      </c>
      <c r="N330" s="15" t="s">
        <v>23</v>
      </c>
      <c r="O330" s="31">
        <v>2</v>
      </c>
      <c r="P330" s="15">
        <v>30.33</v>
      </c>
      <c r="Q330" s="15">
        <v>104.58</v>
      </c>
      <c r="S330" s="15">
        <v>900</v>
      </c>
      <c r="T330" s="15">
        <v>16</v>
      </c>
      <c r="U330" s="15" t="s">
        <v>549</v>
      </c>
      <c r="V330" s="31">
        <v>1</v>
      </c>
      <c r="W330" s="16" t="s">
        <v>1158</v>
      </c>
      <c r="X330" s="15" t="s">
        <v>689</v>
      </c>
      <c r="Y330" s="1">
        <v>1</v>
      </c>
      <c r="Z330" s="15">
        <v>5.52</v>
      </c>
      <c r="AA330" s="15" t="s">
        <v>573</v>
      </c>
      <c r="AB330" s="15">
        <f t="shared" si="304"/>
        <v>5.52</v>
      </c>
      <c r="AC330" s="1">
        <v>4</v>
      </c>
      <c r="AD330" s="15">
        <v>31.85</v>
      </c>
      <c r="AM330" s="1"/>
      <c r="AN330" s="15">
        <v>1.1399999999999999</v>
      </c>
      <c r="AP330" s="15" t="s">
        <v>1142</v>
      </c>
      <c r="AQ330" s="61">
        <v>3</v>
      </c>
      <c r="AR330" s="1">
        <v>3</v>
      </c>
      <c r="BP330" s="16"/>
      <c r="BQ330" s="16"/>
      <c r="BR330" s="16"/>
      <c r="BU330" s="16"/>
      <c r="DB330" s="15" t="s">
        <v>835</v>
      </c>
      <c r="DD330" s="15">
        <f>8576*0.83</f>
        <v>7118.08</v>
      </c>
      <c r="DE330" s="15">
        <f>DD330</f>
        <v>7118.08</v>
      </c>
      <c r="DF330" s="15" t="s">
        <v>766</v>
      </c>
      <c r="DS330" s="15">
        <f>DE330</f>
        <v>7118.08</v>
      </c>
      <c r="DT330" s="15">
        <f>DS330/0.6/1000</f>
        <v>11.863466666666667</v>
      </c>
      <c r="DU330" s="15">
        <f>DS330*0.2</f>
        <v>1423.616</v>
      </c>
      <c r="EZ330" s="16"/>
      <c r="FA330" s="16"/>
      <c r="FB330" s="16"/>
      <c r="FC330" s="16"/>
      <c r="FD330" s="16"/>
      <c r="FE330" s="16"/>
      <c r="FF330" s="16"/>
      <c r="FG330" s="16"/>
      <c r="FH330" s="16"/>
      <c r="FI330" s="16"/>
      <c r="FJ330" s="16"/>
      <c r="FK330" s="16">
        <f t="shared" si="305"/>
        <v>5.53</v>
      </c>
      <c r="FL330" s="16">
        <f t="shared" si="306"/>
        <v>5.49</v>
      </c>
      <c r="FM330" s="15">
        <v>5.53</v>
      </c>
      <c r="FN330" s="15">
        <v>0.05</v>
      </c>
      <c r="FO330" s="15">
        <f>FN330*SQRT(AR330)</f>
        <v>8.6602540378443865E-2</v>
      </c>
      <c r="FP330" s="15">
        <v>5.49</v>
      </c>
      <c r="FQ330" s="15">
        <v>0.04</v>
      </c>
      <c r="FR330" s="15">
        <f>FQ330*SQRT(AR330)</f>
        <v>6.9282032302755092E-2</v>
      </c>
      <c r="FS330" s="15">
        <f t="shared" si="285"/>
        <v>0.99276672694394208</v>
      </c>
      <c r="FT330" s="15">
        <f t="shared" si="286"/>
        <v>-4.0000000000000036E-2</v>
      </c>
      <c r="FU330" s="15">
        <f t="shared" si="287"/>
        <v>-7.2595600128040338E-3</v>
      </c>
      <c r="FV330" s="15">
        <f>((FR330*FR330)/(AR330*FP330*FP330)+(FO330*FO330)/(AR330*FM330*FM330))</f>
        <v>1.3483579800058624E-4</v>
      </c>
      <c r="HE330" s="15">
        <v>8299</v>
      </c>
      <c r="HF330" s="15">
        <v>276</v>
      </c>
      <c r="HG330" s="15">
        <f>HF330*SQRT(AR330)</f>
        <v>478.04602288901009</v>
      </c>
      <c r="HH330" s="15">
        <v>8576</v>
      </c>
      <c r="HI330" s="15">
        <v>380</v>
      </c>
      <c r="HJ330" s="15">
        <f>HI330*SQRT(AR330)</f>
        <v>658.17930687617331</v>
      </c>
      <c r="HK330" s="15">
        <f t="shared" si="307"/>
        <v>1.0333775153632967</v>
      </c>
      <c r="HL330" s="15">
        <f t="shared" si="308"/>
        <v>277</v>
      </c>
      <c r="HM330" s="15">
        <f t="shared" si="309"/>
        <v>3.2832578712135074E-2</v>
      </c>
      <c r="HN330" s="15">
        <f>((HJ330*HJ330)/(AR171*HH330*HH330)+(HG330*HG330)/(AR171*HE330*HE330))</f>
        <v>3.0693789536661098E-3</v>
      </c>
      <c r="HP330" s="15" t="s">
        <v>766</v>
      </c>
      <c r="HV330" s="15">
        <f t="shared" si="310"/>
        <v>433.59859500582724</v>
      </c>
      <c r="HW330" s="15">
        <f t="shared" si="311"/>
        <v>3.2832578712135074E-2</v>
      </c>
      <c r="HX330" s="15">
        <f>DU330</f>
        <v>1423.616</v>
      </c>
      <c r="HY330" s="15">
        <f>DS330</f>
        <v>7118.08</v>
      </c>
      <c r="HZ330" s="15">
        <f>DT330</f>
        <v>11.863466666666667</v>
      </c>
      <c r="IA330" s="15">
        <f>DU330</f>
        <v>1423.616</v>
      </c>
    </row>
    <row r="331" spans="1:235" s="15" customFormat="1" x14ac:dyDescent="0.25">
      <c r="A331" s="31">
        <v>329</v>
      </c>
      <c r="B331" s="1">
        <v>63</v>
      </c>
      <c r="C331" s="1">
        <v>67</v>
      </c>
      <c r="D331" s="15" t="s">
        <v>290</v>
      </c>
      <c r="E331" s="1">
        <v>1</v>
      </c>
      <c r="F331" s="15" t="s">
        <v>761</v>
      </c>
      <c r="G331" s="15" t="s">
        <v>1144</v>
      </c>
      <c r="H331" s="15" t="s">
        <v>1143</v>
      </c>
      <c r="I331" s="1">
        <v>2016</v>
      </c>
      <c r="J331" s="15" t="s">
        <v>741</v>
      </c>
      <c r="K331" s="1" t="s">
        <v>1146</v>
      </c>
      <c r="L331" s="15" t="s">
        <v>727</v>
      </c>
      <c r="M331" s="15" t="s">
        <v>480</v>
      </c>
      <c r="N331" s="15" t="s">
        <v>23</v>
      </c>
      <c r="O331" s="31">
        <v>2</v>
      </c>
      <c r="P331" s="15">
        <v>26.75</v>
      </c>
      <c r="Q331" s="15">
        <v>111.88</v>
      </c>
      <c r="U331" s="15" t="s">
        <v>549</v>
      </c>
      <c r="V331" s="31">
        <v>1</v>
      </c>
      <c r="W331" s="16" t="s">
        <v>1145</v>
      </c>
      <c r="X331" s="15" t="s">
        <v>729</v>
      </c>
      <c r="Y331" s="61">
        <v>11</v>
      </c>
      <c r="Z331" s="15">
        <v>4.2</v>
      </c>
      <c r="AA331" s="15" t="s">
        <v>573</v>
      </c>
      <c r="AB331" s="15">
        <f t="shared" si="304"/>
        <v>4.2</v>
      </c>
      <c r="AC331" s="1">
        <v>1</v>
      </c>
      <c r="AM331" s="1"/>
      <c r="AP331" s="15" t="s">
        <v>697</v>
      </c>
      <c r="AQ331" s="1">
        <v>1</v>
      </c>
      <c r="AR331" s="1">
        <v>4</v>
      </c>
      <c r="AT331" s="15" t="s">
        <v>545</v>
      </c>
      <c r="AW331" s="15">
        <f>2550/1.5</f>
        <v>1700</v>
      </c>
      <c r="AX331" s="15">
        <f>AW331*1.78</f>
        <v>3026</v>
      </c>
      <c r="AY331" s="15" t="s">
        <v>766</v>
      </c>
      <c r="AZ331" s="15">
        <f>AX331</f>
        <v>3026</v>
      </c>
      <c r="BA331" s="15">
        <f>AZ331/2.93/1000</f>
        <v>1.0327645051194538</v>
      </c>
      <c r="BB331" s="15">
        <f>AZ331*0.6</f>
        <v>1815.6</v>
      </c>
      <c r="BP331" s="16"/>
      <c r="BQ331" s="16"/>
      <c r="BR331" s="16"/>
      <c r="BU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>
        <f t="shared" si="305"/>
        <v>4.1900000000000004</v>
      </c>
      <c r="FL331" s="16">
        <f t="shared" si="306"/>
        <v>4.6500000000000004</v>
      </c>
      <c r="FM331" s="15">
        <v>4.1900000000000004</v>
      </c>
      <c r="FN331" s="15">
        <v>0.04</v>
      </c>
      <c r="FO331" s="15">
        <f>FN331*SQRT(AR331)</f>
        <v>0.08</v>
      </c>
      <c r="FP331" s="15">
        <v>4.6500000000000004</v>
      </c>
      <c r="FQ331" s="15">
        <v>0.09</v>
      </c>
      <c r="FR331" s="15">
        <f>FQ331*SQRT(AR331)</f>
        <v>0.18</v>
      </c>
      <c r="FS331" s="15">
        <f t="shared" si="285"/>
        <v>1.1097852028639619</v>
      </c>
      <c r="FT331" s="15">
        <f t="shared" si="286"/>
        <v>0.45999999999999996</v>
      </c>
      <c r="FU331" s="15">
        <f t="shared" si="287"/>
        <v>0.10416648566521847</v>
      </c>
      <c r="FV331" s="15">
        <f>((FR331*FR331)/(AR331*FP331*FP331)+(FO331*FO331)/(AR331*FM331*FM331))</f>
        <v>4.6574619560149318E-4</v>
      </c>
      <c r="FX331" s="15">
        <v>16.190000000000001</v>
      </c>
      <c r="FY331" s="15">
        <v>0.16</v>
      </c>
      <c r="FZ331" s="15">
        <f>FY331*SQRT(AR331)</f>
        <v>0.32</v>
      </c>
      <c r="GA331" s="15">
        <v>18.79</v>
      </c>
      <c r="GB331" s="15">
        <v>0.46</v>
      </c>
      <c r="GC331" s="15">
        <f>GB331*SQRT(AR331)</f>
        <v>0.92</v>
      </c>
      <c r="GD331" s="15">
        <f>GA331/FX331</f>
        <v>1.1605929586164299</v>
      </c>
      <c r="GE331" s="15">
        <f>GA331-FX331</f>
        <v>2.5999999999999979</v>
      </c>
      <c r="GF331" s="15">
        <f>LN(GA331)-LN(FX331)</f>
        <v>0.14893104573582994</v>
      </c>
      <c r="GG331" s="15">
        <f>((GC331*GC331)/(AR331*GA331*GA331)+(FZ331*FZ331)/(AR331*FX331*FX331))</f>
        <v>6.969912432306343E-4</v>
      </c>
      <c r="HE331" s="15">
        <v>440</v>
      </c>
      <c r="HF331" s="15">
        <v>57</v>
      </c>
      <c r="HG331" s="15">
        <f>HF331*SQRT(AR331)</f>
        <v>114</v>
      </c>
      <c r="HH331" s="15">
        <v>1177</v>
      </c>
      <c r="HI331" s="15">
        <v>88</v>
      </c>
      <c r="HJ331" s="15">
        <f>HI331*SQRT(AR331)</f>
        <v>176</v>
      </c>
      <c r="HK331" s="15">
        <f t="shared" si="307"/>
        <v>2.6749999999999998</v>
      </c>
      <c r="HL331" s="15">
        <f t="shared" si="308"/>
        <v>737</v>
      </c>
      <c r="HM331" s="15">
        <f t="shared" si="309"/>
        <v>0.98394938034796997</v>
      </c>
      <c r="HN331" s="15">
        <f>((HJ331*HJ331)/(AR172*HH331*HH331)+(HG331*HG331)/(AR172*HE331*HE331))</f>
        <v>2.9829376872449312E-2</v>
      </c>
      <c r="HP331" s="15" t="s">
        <v>766</v>
      </c>
      <c r="HV331" s="15">
        <f t="shared" si="310"/>
        <v>18.452168742236719</v>
      </c>
      <c r="HW331" s="15">
        <f t="shared" si="311"/>
        <v>0.98394938034796997</v>
      </c>
      <c r="HX331" s="15">
        <f>BB331</f>
        <v>1815.6</v>
      </c>
      <c r="HY331" s="15">
        <f>AZ331</f>
        <v>3026</v>
      </c>
      <c r="HZ331" s="15">
        <f>BA331</f>
        <v>1.0327645051194538</v>
      </c>
      <c r="IA331" s="15">
        <f>BB331</f>
        <v>1815.6</v>
      </c>
    </row>
    <row r="332" spans="1:235" s="15" customFormat="1" x14ac:dyDescent="0.25">
      <c r="A332" s="31">
        <v>330</v>
      </c>
      <c r="B332" s="1">
        <v>64</v>
      </c>
      <c r="C332" s="1">
        <v>68</v>
      </c>
      <c r="D332" s="15" t="s">
        <v>291</v>
      </c>
      <c r="E332" s="1">
        <v>5</v>
      </c>
      <c r="F332" s="15" t="s">
        <v>2362</v>
      </c>
      <c r="G332" s="15" t="s">
        <v>2363</v>
      </c>
      <c r="H332" s="15" t="s">
        <v>2364</v>
      </c>
      <c r="I332" s="1">
        <v>2021</v>
      </c>
      <c r="J332" s="15" t="s">
        <v>811</v>
      </c>
      <c r="K332" s="1" t="s">
        <v>2365</v>
      </c>
      <c r="L332" s="15" t="s">
        <v>2366</v>
      </c>
      <c r="M332" s="15" t="s">
        <v>480</v>
      </c>
      <c r="N332" s="15" t="s">
        <v>23</v>
      </c>
      <c r="O332" s="31">
        <v>2</v>
      </c>
      <c r="P332" s="15">
        <v>34.979999999999997</v>
      </c>
      <c r="Q332" s="15">
        <v>113.68</v>
      </c>
      <c r="S332" s="15">
        <v>645</v>
      </c>
      <c r="T332" s="15">
        <v>14.4</v>
      </c>
      <c r="U332" s="15" t="s">
        <v>549</v>
      </c>
      <c r="V332" s="31">
        <v>1</v>
      </c>
      <c r="W332" s="16" t="s">
        <v>2367</v>
      </c>
      <c r="X332" s="15" t="s">
        <v>1147</v>
      </c>
      <c r="Y332" s="1">
        <v>5</v>
      </c>
      <c r="Z332" s="15">
        <v>8.3000000000000007</v>
      </c>
      <c r="AA332" s="15" t="s">
        <v>573</v>
      </c>
      <c r="AB332" s="15">
        <f t="shared" si="304"/>
        <v>8.3000000000000007</v>
      </c>
      <c r="AC332" s="60">
        <v>6</v>
      </c>
      <c r="AD332" s="15">
        <f>6.7*1.74</f>
        <v>11.657999999999999</v>
      </c>
      <c r="AM332" s="1"/>
      <c r="AQ332" s="1"/>
      <c r="AR332" s="1">
        <v>3</v>
      </c>
      <c r="BP332" s="16"/>
      <c r="BQ332" s="16"/>
      <c r="BR332" s="16"/>
      <c r="BU332" s="16"/>
      <c r="DB332" s="15" t="s">
        <v>717</v>
      </c>
      <c r="DD332" s="15">
        <v>115.5</v>
      </c>
      <c r="DE332" s="15">
        <f>DD332</f>
        <v>115.5</v>
      </c>
      <c r="DF332" s="15" t="s">
        <v>766</v>
      </c>
      <c r="DS332" s="15">
        <f>DE332</f>
        <v>115.5</v>
      </c>
      <c r="DT332" s="15">
        <f>DS332/0.6/1000</f>
        <v>0.1925</v>
      </c>
      <c r="DU332" s="15">
        <f>DS332*0.2</f>
        <v>23.1</v>
      </c>
      <c r="EZ332" s="16"/>
      <c r="FA332" s="16"/>
      <c r="FB332" s="16"/>
      <c r="FC332" s="16"/>
      <c r="FD332" s="16"/>
      <c r="FE332" s="16"/>
      <c r="FF332" s="16"/>
      <c r="FG332" s="16"/>
      <c r="FH332" s="16"/>
      <c r="FI332" s="16"/>
      <c r="FJ332" s="16"/>
      <c r="FK332" s="16">
        <f t="shared" si="305"/>
        <v>7.56</v>
      </c>
      <c r="FL332" s="16">
        <f t="shared" si="306"/>
        <v>7.85</v>
      </c>
      <c r="FM332" s="15">
        <v>7.56</v>
      </c>
      <c r="FN332" s="15">
        <v>0.28999999999999998</v>
      </c>
      <c r="FO332" s="15">
        <f>FN332*SQRT(AR332)</f>
        <v>0.50229473419497439</v>
      </c>
      <c r="FP332" s="15">
        <v>7.85</v>
      </c>
      <c r="FQ332" s="15">
        <v>0.06</v>
      </c>
      <c r="FR332" s="15">
        <f>FQ332*SQRT(AR332)</f>
        <v>0.10392304845413262</v>
      </c>
      <c r="FS332" s="15">
        <f t="shared" si="285"/>
        <v>1.0383597883597884</v>
      </c>
      <c r="FT332" s="15">
        <f t="shared" si="286"/>
        <v>0.29000000000000004</v>
      </c>
      <c r="FU332" s="15">
        <f t="shared" si="287"/>
        <v>3.7642341602875273E-2</v>
      </c>
      <c r="FV332" s="15">
        <f>((FR332*FR332)/(AR332*FP332*FP332)+(FO332*FO332)/(AR332*FM332*FM332))</f>
        <v>1.5298935828949711E-3</v>
      </c>
      <c r="FX332" s="15">
        <v>1.6</v>
      </c>
      <c r="FY332" s="15">
        <v>0.21</v>
      </c>
      <c r="FZ332" s="15">
        <f>FY332*SQRT(AR332)</f>
        <v>0.36373066958946421</v>
      </c>
      <c r="GA332" s="15">
        <v>3.24</v>
      </c>
      <c r="GB332" s="15">
        <v>0.44</v>
      </c>
      <c r="GC332" s="15">
        <f>GB332*SQRT(AR332)</f>
        <v>0.76210235533030601</v>
      </c>
      <c r="GD332" s="15">
        <f>GA332/FX332</f>
        <v>2.0249999999999999</v>
      </c>
      <c r="GE332" s="15">
        <f>GA332-FX332</f>
        <v>1.6400000000000001</v>
      </c>
      <c r="GF332" s="15">
        <f>LN(GA332)-LN(FX332)</f>
        <v>0.70556970055850243</v>
      </c>
      <c r="GG332" s="15">
        <f>((GC332*GC332)/(AR332*GA332*GA332)+(FZ332*FZ332)/(AR332*FX332*FX332))</f>
        <v>3.5668873123380573E-2</v>
      </c>
      <c r="HE332" s="15">
        <v>3464</v>
      </c>
      <c r="HF332" s="15">
        <v>174</v>
      </c>
      <c r="HG332" s="15">
        <f>HF332*SQRT(AR332)</f>
        <v>301.37684051698466</v>
      </c>
      <c r="HH332" s="15">
        <v>4303</v>
      </c>
      <c r="HI332" s="15">
        <v>310</v>
      </c>
      <c r="HJ332" s="15">
        <f>HI332*SQRT(AR332)</f>
        <v>536.93575034635194</v>
      </c>
      <c r="HK332" s="15">
        <f t="shared" si="307"/>
        <v>1.2422055427251733</v>
      </c>
      <c r="HL332" s="15">
        <f t="shared" si="308"/>
        <v>839</v>
      </c>
      <c r="HM332" s="15">
        <f t="shared" si="309"/>
        <v>0.2168884631562733</v>
      </c>
      <c r="HN332" s="15">
        <f>((HJ332*HJ332)/(AR173*HH332*HH332)+(HG332*HG332)/(AR173*HE332*HE332))</f>
        <v>7.7133074176655401E-3</v>
      </c>
      <c r="HP332" s="15" t="s">
        <v>766</v>
      </c>
      <c r="HV332" s="15">
        <f t="shared" si="310"/>
        <v>1.0650635660300614</v>
      </c>
      <c r="HW332" s="15">
        <f t="shared" si="311"/>
        <v>0.2168884631562733</v>
      </c>
      <c r="HX332" s="15">
        <f>DU332</f>
        <v>23.1</v>
      </c>
      <c r="HY332" s="15">
        <f>DS332</f>
        <v>115.5</v>
      </c>
      <c r="HZ332" s="15">
        <f>DT332</f>
        <v>0.1925</v>
      </c>
      <c r="IA332" s="15">
        <f>DU332</f>
        <v>23.1</v>
      </c>
    </row>
    <row r="333" spans="1:235" s="15" customFormat="1" x14ac:dyDescent="0.25">
      <c r="A333" s="31">
        <v>331</v>
      </c>
      <c r="B333" s="1">
        <v>64</v>
      </c>
      <c r="C333" s="1">
        <v>68</v>
      </c>
      <c r="D333" s="15" t="s">
        <v>292</v>
      </c>
      <c r="E333" s="1">
        <v>4</v>
      </c>
      <c r="F333" s="15" t="s">
        <v>2368</v>
      </c>
      <c r="G333" s="15" t="s">
        <v>2363</v>
      </c>
      <c r="H333" s="15" t="s">
        <v>2364</v>
      </c>
      <c r="I333" s="1">
        <v>2021</v>
      </c>
      <c r="J333" s="15" t="s">
        <v>811</v>
      </c>
      <c r="K333" s="1" t="s">
        <v>2365</v>
      </c>
      <c r="L333" s="15" t="s">
        <v>2366</v>
      </c>
      <c r="M333" s="15" t="s">
        <v>480</v>
      </c>
      <c r="N333" s="15" t="s">
        <v>23</v>
      </c>
      <c r="O333" s="31">
        <v>2</v>
      </c>
      <c r="P333" s="15">
        <v>34.979999999999997</v>
      </c>
      <c r="Q333" s="15">
        <v>113.68</v>
      </c>
      <c r="S333" s="15">
        <v>645</v>
      </c>
      <c r="T333" s="15">
        <v>14.4</v>
      </c>
      <c r="U333" s="15" t="s">
        <v>549</v>
      </c>
      <c r="V333" s="31">
        <v>1</v>
      </c>
      <c r="W333" s="16" t="s">
        <v>2367</v>
      </c>
      <c r="X333" s="15" t="s">
        <v>1147</v>
      </c>
      <c r="Y333" s="1">
        <v>5</v>
      </c>
      <c r="Z333" s="15">
        <v>8.3000000000000007</v>
      </c>
      <c r="AA333" s="15" t="s">
        <v>573</v>
      </c>
      <c r="AB333" s="15">
        <f t="shared" si="304"/>
        <v>8.3000000000000007</v>
      </c>
      <c r="AC333" s="60">
        <v>6</v>
      </c>
      <c r="AD333" s="15">
        <f>6.7*1.74</f>
        <v>11.657999999999999</v>
      </c>
      <c r="AM333" s="1"/>
      <c r="AQ333" s="1"/>
      <c r="AR333" s="1">
        <v>3</v>
      </c>
      <c r="BG333" s="15" t="s">
        <v>888</v>
      </c>
      <c r="BJ333" s="15">
        <v>13.75</v>
      </c>
      <c r="BK333" s="15">
        <v>2.82</v>
      </c>
      <c r="BL333" s="15">
        <v>7.6</v>
      </c>
      <c r="BP333" s="16"/>
      <c r="BQ333" s="16"/>
      <c r="BR333" s="16"/>
      <c r="BS333" s="15">
        <v>17625</v>
      </c>
      <c r="BT333" s="15">
        <f>BS333</f>
        <v>17625</v>
      </c>
      <c r="BU333" s="15" t="s">
        <v>766</v>
      </c>
      <c r="BY333" s="15">
        <f>BT333</f>
        <v>17625</v>
      </c>
      <c r="BZ333" s="15">
        <f>BY333/1.1/1000</f>
        <v>16.022727272727273</v>
      </c>
      <c r="CA333" s="15">
        <f>BY333*2</f>
        <v>35250</v>
      </c>
      <c r="EZ333" s="16"/>
      <c r="FA333" s="16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>
        <f t="shared" si="305"/>
        <v>7.56</v>
      </c>
      <c r="FL333" s="16">
        <f t="shared" si="306"/>
        <v>7.95</v>
      </c>
      <c r="FM333" s="15">
        <v>7.56</v>
      </c>
      <c r="FN333" s="15">
        <v>0.28999999999999998</v>
      </c>
      <c r="FO333" s="15">
        <f>FN333*SQRT(AR333)</f>
        <v>0.50229473419497439</v>
      </c>
      <c r="FP333" s="15">
        <v>7.95</v>
      </c>
      <c r="FQ333" s="15">
        <v>0.13</v>
      </c>
      <c r="FR333" s="15">
        <f>FQ333*SQRT(AR333)</f>
        <v>0.22516660498395405</v>
      </c>
      <c r="FS333" s="15">
        <f t="shared" si="285"/>
        <v>1.0515873015873016</v>
      </c>
      <c r="FT333" s="15">
        <f t="shared" si="286"/>
        <v>0.39000000000000057</v>
      </c>
      <c r="FU333" s="15">
        <f t="shared" si="287"/>
        <v>5.03007384747991E-2</v>
      </c>
      <c r="FV333" s="15">
        <f>((FR333*FR333)/(AR333*FP333*FP333)+(FO333*FO333)/(AR333*FM333*FM333))</f>
        <v>1.7388678489853662E-3</v>
      </c>
      <c r="FX333" s="15">
        <v>1.6</v>
      </c>
      <c r="FY333" s="15">
        <v>0.21</v>
      </c>
      <c r="FZ333" s="15">
        <f>FY333*SQRT(AR333)</f>
        <v>0.36373066958946421</v>
      </c>
      <c r="GA333" s="15">
        <v>3.36</v>
      </c>
      <c r="GB333" s="15">
        <v>0.67</v>
      </c>
      <c r="GC333" s="15">
        <f>GB333*SQRT(AR333)</f>
        <v>1.1604740410711478</v>
      </c>
      <c r="GD333" s="15">
        <f>GA333/FX333</f>
        <v>2.0999999999999996</v>
      </c>
      <c r="GE333" s="15">
        <f>GA333-FX333</f>
        <v>1.7599999999999998</v>
      </c>
      <c r="GF333" s="15">
        <f>LN(GA333)-LN(FX333)</f>
        <v>0.74193734472937711</v>
      </c>
      <c r="GG333" s="15">
        <f>((GC333*GC333)/(AR333*GA333*GA333)+(FZ333*FZ333)/(AR333*FX333*FX333))</f>
        <v>5.6988821570294779E-2</v>
      </c>
      <c r="HE333" s="15">
        <v>3464</v>
      </c>
      <c r="HF333" s="15">
        <v>174</v>
      </c>
      <c r="HG333" s="15">
        <f>HF333*SQRT(AR333)</f>
        <v>301.37684051698466</v>
      </c>
      <c r="HH333" s="15">
        <v>4112</v>
      </c>
      <c r="HI333" s="15">
        <v>272</v>
      </c>
      <c r="HJ333" s="15">
        <f>HI333*SQRT(AR333)</f>
        <v>471.11781965873462</v>
      </c>
      <c r="HK333" s="15">
        <f t="shared" si="307"/>
        <v>1.1870669745958429</v>
      </c>
      <c r="HL333" s="15">
        <f t="shared" si="308"/>
        <v>648</v>
      </c>
      <c r="HM333" s="15">
        <f t="shared" si="309"/>
        <v>0.17148553745267492</v>
      </c>
      <c r="HN333" s="15">
        <f>((HJ333*HJ333)/(AR174*HH333*HH333)+(HG333*HG333)/(AR174*HE333*HE333))</f>
        <v>6.8986873969683286E-3</v>
      </c>
      <c r="HP333" s="15" t="s">
        <v>766</v>
      </c>
      <c r="HV333" s="15">
        <f t="shared" si="310"/>
        <v>2055.5669313937328</v>
      </c>
      <c r="HW333" s="15">
        <f t="shared" si="311"/>
        <v>0.17148553745267492</v>
      </c>
      <c r="HX333" s="15">
        <f>CA333</f>
        <v>35250</v>
      </c>
      <c r="HY333" s="15">
        <f>BY333</f>
        <v>17625</v>
      </c>
      <c r="HZ333" s="15">
        <f>BZ333</f>
        <v>16.022727272727273</v>
      </c>
      <c r="IA333" s="15">
        <f>CA333</f>
        <v>35250</v>
      </c>
    </row>
    <row r="334" spans="1:235" s="15" customFormat="1" x14ac:dyDescent="0.25">
      <c r="A334" s="31">
        <v>332</v>
      </c>
      <c r="B334" s="1">
        <v>65</v>
      </c>
      <c r="C334" s="1">
        <v>69</v>
      </c>
      <c r="D334" s="15" t="s">
        <v>293</v>
      </c>
      <c r="E334" s="1">
        <v>5</v>
      </c>
      <c r="F334" s="15" t="s">
        <v>798</v>
      </c>
      <c r="G334" s="15" t="s">
        <v>1148</v>
      </c>
      <c r="H334" s="15" t="s">
        <v>818</v>
      </c>
      <c r="I334" s="1">
        <v>2012</v>
      </c>
      <c r="J334" s="15" t="s">
        <v>816</v>
      </c>
      <c r="K334" s="1">
        <v>2011</v>
      </c>
      <c r="L334" s="15" t="s">
        <v>819</v>
      </c>
      <c r="M334" s="15" t="s">
        <v>480</v>
      </c>
      <c r="N334" s="15" t="s">
        <v>23</v>
      </c>
      <c r="O334" s="31">
        <v>2</v>
      </c>
      <c r="P334" s="15">
        <v>31.1</v>
      </c>
      <c r="Q334" s="15">
        <v>119.13</v>
      </c>
      <c r="U334" s="15" t="s">
        <v>807</v>
      </c>
      <c r="V334" s="31">
        <v>2</v>
      </c>
      <c r="W334" s="15" t="s">
        <v>1149</v>
      </c>
      <c r="Y334" s="1"/>
      <c r="Z334" s="15">
        <v>4.38</v>
      </c>
      <c r="AA334" s="15" t="s">
        <v>573</v>
      </c>
      <c r="AB334" s="15">
        <f t="shared" si="304"/>
        <v>4.38</v>
      </c>
      <c r="AC334" s="1">
        <v>1</v>
      </c>
      <c r="AD334" s="15">
        <v>17.2</v>
      </c>
      <c r="AF334" s="15">
        <v>9.7199999999999989</v>
      </c>
      <c r="AH334" s="15">
        <v>54.732510288065839</v>
      </c>
      <c r="AJ334" s="15">
        <v>17.8</v>
      </c>
      <c r="AK334" s="15">
        <v>74.5</v>
      </c>
      <c r="AL334" s="15">
        <v>7.7</v>
      </c>
      <c r="AM334" s="1">
        <v>2</v>
      </c>
      <c r="AP334" s="15" t="s">
        <v>1150</v>
      </c>
      <c r="AQ334" s="1">
        <v>1</v>
      </c>
      <c r="AR334" s="1">
        <v>3</v>
      </c>
      <c r="DB334" s="15" t="s">
        <v>717</v>
      </c>
      <c r="DD334" s="15">
        <v>10</v>
      </c>
      <c r="DE334" s="15">
        <f t="shared" ref="DE334:DE341" si="312">DD334*2250</f>
        <v>22500</v>
      </c>
      <c r="DF334" s="15" t="s">
        <v>766</v>
      </c>
      <c r="DJ334" s="15">
        <v>421</v>
      </c>
      <c r="DK334" s="15">
        <v>45</v>
      </c>
      <c r="DL334" s="15">
        <v>0.7</v>
      </c>
      <c r="DR334" s="15">
        <v>20.9</v>
      </c>
      <c r="DS334" s="15">
        <f>DE334</f>
        <v>22500</v>
      </c>
      <c r="DT334" s="15">
        <f t="shared" ref="DT334:DT341" si="313">DS334/0.6/1000</f>
        <v>37.5</v>
      </c>
      <c r="DU334" s="15">
        <f t="shared" ref="DU334:DU341" si="314">DS334*0.2</f>
        <v>4500</v>
      </c>
      <c r="FK334" s="16">
        <f t="shared" si="305"/>
        <v>4.18</v>
      </c>
      <c r="FL334" s="16">
        <f t="shared" si="306"/>
        <v>4.49</v>
      </c>
      <c r="FM334" s="15">
        <v>4.18</v>
      </c>
      <c r="FN334" s="15">
        <v>0.04</v>
      </c>
      <c r="FO334" s="15">
        <f>FN334*SQRT(AR334)</f>
        <v>6.9282032302755092E-2</v>
      </c>
      <c r="FP334" s="15">
        <v>4.49</v>
      </c>
      <c r="FQ334" s="15">
        <v>0.04</v>
      </c>
      <c r="FR334" s="15">
        <f>FQ334*SQRT(AR334)</f>
        <v>6.9282032302755092E-2</v>
      </c>
      <c r="FS334" s="15">
        <f t="shared" si="285"/>
        <v>1.0741626794258374</v>
      </c>
      <c r="FT334" s="15">
        <f t="shared" si="286"/>
        <v>0.3100000000000005</v>
      </c>
      <c r="FU334" s="15">
        <f t="shared" si="287"/>
        <v>7.1541455217497996E-2</v>
      </c>
      <c r="FV334" s="15">
        <f>((FR334*FR334)/(AR334*FP334*FP334)+(FO334*FO334)/(AR334*FM334*FM334))</f>
        <v>1.7093768081478123E-4</v>
      </c>
      <c r="GI334" s="15">
        <v>4.75</v>
      </c>
      <c r="GJ334" s="15">
        <v>0.05</v>
      </c>
      <c r="GK334" s="15">
        <f>GJ334*SQRT(AR151)</f>
        <v>8.6602540378443865E-2</v>
      </c>
      <c r="GL334" s="15">
        <v>5.0199999999999996</v>
      </c>
      <c r="GM334" s="15">
        <v>0.05</v>
      </c>
      <c r="GN334" s="15">
        <f>GM334*SQRT(AR151)</f>
        <v>8.6602540378443865E-2</v>
      </c>
      <c r="GO334" s="15">
        <f t="shared" ref="GO334:GO343" si="315">GL334/GI334</f>
        <v>1.0568421052631578</v>
      </c>
      <c r="GP334" s="15">
        <f t="shared" ref="GP334:GP343" si="316">GL334-GI334</f>
        <v>0.26999999999999957</v>
      </c>
      <c r="GQ334" s="15">
        <f t="shared" ref="GQ334:GQ343" si="317">LN(GL334)-LN(GI334)</f>
        <v>5.528531565708783E-2</v>
      </c>
      <c r="GR334" s="15">
        <f>((GN334*GN334)/(AR151*GL334*GL334)+(GK334*GK334)/(AR151*GI334*GI334))</f>
        <v>2.1000809862711144E-4</v>
      </c>
      <c r="HY334" s="15">
        <f t="shared" ref="HY334:IA341" si="318">DS334</f>
        <v>22500</v>
      </c>
      <c r="HZ334" s="15">
        <f t="shared" si="318"/>
        <v>37.5</v>
      </c>
      <c r="IA334" s="15">
        <f t="shared" si="318"/>
        <v>4500</v>
      </c>
    </row>
    <row r="335" spans="1:235" s="15" customFormat="1" x14ac:dyDescent="0.25">
      <c r="A335" s="31">
        <v>333</v>
      </c>
      <c r="B335" s="1">
        <v>65</v>
      </c>
      <c r="C335" s="1">
        <v>69</v>
      </c>
      <c r="D335" s="15" t="s">
        <v>294</v>
      </c>
      <c r="E335" s="1">
        <v>5</v>
      </c>
      <c r="F335" s="15" t="s">
        <v>798</v>
      </c>
      <c r="G335" s="15" t="s">
        <v>1148</v>
      </c>
      <c r="H335" s="15" t="s">
        <v>818</v>
      </c>
      <c r="I335" s="1">
        <v>2012</v>
      </c>
      <c r="J335" s="15" t="s">
        <v>816</v>
      </c>
      <c r="K335" s="1">
        <v>2011</v>
      </c>
      <c r="L335" s="15" t="s">
        <v>819</v>
      </c>
      <c r="M335" s="15" t="s">
        <v>480</v>
      </c>
      <c r="N335" s="15" t="s">
        <v>23</v>
      </c>
      <c r="O335" s="31">
        <v>2</v>
      </c>
      <c r="P335" s="15">
        <v>31.1</v>
      </c>
      <c r="Q335" s="15">
        <v>119.13</v>
      </c>
      <c r="U335" s="15" t="s">
        <v>807</v>
      </c>
      <c r="V335" s="31">
        <v>2</v>
      </c>
      <c r="W335" s="15" t="s">
        <v>1149</v>
      </c>
      <c r="Y335" s="1"/>
      <c r="Z335" s="15">
        <v>4.38</v>
      </c>
      <c r="AA335" s="15" t="s">
        <v>573</v>
      </c>
      <c r="AB335" s="15">
        <f t="shared" si="304"/>
        <v>4.38</v>
      </c>
      <c r="AC335" s="1">
        <v>1</v>
      </c>
      <c r="AD335" s="15">
        <v>17.2</v>
      </c>
      <c r="AF335" s="15">
        <v>9.7199999999999989</v>
      </c>
      <c r="AH335" s="15">
        <v>54.732510288065839</v>
      </c>
      <c r="AJ335" s="15">
        <v>17.8</v>
      </c>
      <c r="AK335" s="15">
        <v>74.5</v>
      </c>
      <c r="AL335" s="15">
        <v>7.7</v>
      </c>
      <c r="AM335" s="1">
        <v>2</v>
      </c>
      <c r="AP335" s="15" t="s">
        <v>1150</v>
      </c>
      <c r="AQ335" s="1">
        <v>1</v>
      </c>
      <c r="AR335" s="1">
        <v>3</v>
      </c>
      <c r="DB335" s="15" t="s">
        <v>835</v>
      </c>
      <c r="DD335" s="15">
        <v>10</v>
      </c>
      <c r="DE335" s="15">
        <f t="shared" si="312"/>
        <v>22500</v>
      </c>
      <c r="DF335" s="15" t="s">
        <v>766</v>
      </c>
      <c r="DJ335" s="15">
        <v>418</v>
      </c>
      <c r="DK335" s="15">
        <v>86</v>
      </c>
      <c r="DL335" s="15">
        <v>1.1000000000000001</v>
      </c>
      <c r="DR335" s="15">
        <v>29.3</v>
      </c>
      <c r="DS335" s="15">
        <f>DE335</f>
        <v>22500</v>
      </c>
      <c r="DT335" s="15">
        <f t="shared" si="313"/>
        <v>37.5</v>
      </c>
      <c r="DU335" s="15">
        <f t="shared" si="314"/>
        <v>4500</v>
      </c>
      <c r="FK335" s="16">
        <f t="shared" si="305"/>
        <v>4.18</v>
      </c>
      <c r="FL335" s="16">
        <f t="shared" si="306"/>
        <v>4.3</v>
      </c>
      <c r="FM335" s="15">
        <v>4.18</v>
      </c>
      <c r="FN335" s="15">
        <v>0.04</v>
      </c>
      <c r="FO335" s="15">
        <f>FN335*SQRT(AR335)</f>
        <v>6.9282032302755092E-2</v>
      </c>
      <c r="FP335" s="15">
        <v>4.3</v>
      </c>
      <c r="FQ335" s="15">
        <v>0.04</v>
      </c>
      <c r="FR335" s="15">
        <f>FQ335*SQRT(AR335)</f>
        <v>6.9282032302755092E-2</v>
      </c>
      <c r="FS335" s="15">
        <f t="shared" si="285"/>
        <v>1.0287081339712918</v>
      </c>
      <c r="FT335" s="15">
        <f t="shared" si="286"/>
        <v>0.12000000000000011</v>
      </c>
      <c r="FU335" s="15">
        <f t="shared" si="287"/>
        <v>2.8303776162851735E-2</v>
      </c>
      <c r="FV335" s="15">
        <f>((FR335*FR335)/(AR335*FP335*FP335)+(FO335*FO335)/(AR335*FM335*FM335))</f>
        <v>1.7810625634602037E-4</v>
      </c>
      <c r="GI335" s="15">
        <v>4.75</v>
      </c>
      <c r="GJ335" s="15">
        <v>0.05</v>
      </c>
      <c r="GK335" s="15">
        <f>GJ335*SQRT(AR152)</f>
        <v>8.6602540378443865E-2</v>
      </c>
      <c r="GL335" s="15">
        <v>5.47</v>
      </c>
      <c r="GM335" s="15">
        <v>0.05</v>
      </c>
      <c r="GN335" s="15">
        <f>GM335*SQRT(AR152)</f>
        <v>8.6602540378443865E-2</v>
      </c>
      <c r="GO335" s="15">
        <f t="shared" si="315"/>
        <v>1.151578947368421</v>
      </c>
      <c r="GP335" s="15">
        <f t="shared" si="316"/>
        <v>0.71999999999999975</v>
      </c>
      <c r="GQ335" s="15">
        <f t="shared" si="317"/>
        <v>0.14113399838733987</v>
      </c>
      <c r="GR335" s="15">
        <f>((GN335*GN335)/(AR152*GL335*GL335)+(GK335*GK335)/(AR152*GI335*GI335))</f>
        <v>1.9435696052108733E-4</v>
      </c>
      <c r="HY335" s="15">
        <f t="shared" si="318"/>
        <v>22500</v>
      </c>
      <c r="HZ335" s="15">
        <f t="shared" si="318"/>
        <v>37.5</v>
      </c>
      <c r="IA335" s="15">
        <f t="shared" si="318"/>
        <v>4500</v>
      </c>
    </row>
    <row r="336" spans="1:235" s="15" customFormat="1" x14ac:dyDescent="0.25">
      <c r="A336" s="31">
        <v>334</v>
      </c>
      <c r="B336" s="1">
        <v>65</v>
      </c>
      <c r="C336" s="1">
        <v>69</v>
      </c>
      <c r="D336" s="15" t="s">
        <v>295</v>
      </c>
      <c r="E336" s="1">
        <v>5</v>
      </c>
      <c r="F336" s="15" t="s">
        <v>798</v>
      </c>
      <c r="G336" s="15" t="s">
        <v>1148</v>
      </c>
      <c r="H336" s="15" t="s">
        <v>818</v>
      </c>
      <c r="I336" s="1">
        <v>2012</v>
      </c>
      <c r="J336" s="15" t="s">
        <v>816</v>
      </c>
      <c r="K336" s="1">
        <v>2011</v>
      </c>
      <c r="L336" s="15" t="s">
        <v>819</v>
      </c>
      <c r="M336" s="15" t="s">
        <v>480</v>
      </c>
      <c r="N336" s="15" t="s">
        <v>23</v>
      </c>
      <c r="O336" s="31">
        <v>2</v>
      </c>
      <c r="P336" s="15">
        <v>31.1</v>
      </c>
      <c r="Q336" s="15">
        <v>119.13</v>
      </c>
      <c r="U336" s="15" t="s">
        <v>807</v>
      </c>
      <c r="V336" s="31">
        <v>2</v>
      </c>
      <c r="W336" s="15" t="s">
        <v>1149</v>
      </c>
      <c r="Y336" s="1"/>
      <c r="Z336" s="15">
        <v>4.38</v>
      </c>
      <c r="AA336" s="15" t="s">
        <v>573</v>
      </c>
      <c r="AB336" s="15">
        <f t="shared" si="304"/>
        <v>4.38</v>
      </c>
      <c r="AC336" s="1">
        <v>1</v>
      </c>
      <c r="AD336" s="15">
        <v>17.2</v>
      </c>
      <c r="AF336" s="15">
        <v>9.7199999999999989</v>
      </c>
      <c r="AH336" s="15">
        <v>54.732510288065839</v>
      </c>
      <c r="AJ336" s="15">
        <v>17.8</v>
      </c>
      <c r="AK336" s="15">
        <v>74.5</v>
      </c>
      <c r="AL336" s="15">
        <v>7.7</v>
      </c>
      <c r="AM336" s="1">
        <v>2</v>
      </c>
      <c r="AP336" s="15" t="s">
        <v>1150</v>
      </c>
      <c r="AQ336" s="1">
        <v>1</v>
      </c>
      <c r="AR336" s="1">
        <v>3</v>
      </c>
      <c r="DB336" s="15" t="s">
        <v>896</v>
      </c>
      <c r="DD336" s="15">
        <v>10</v>
      </c>
      <c r="DE336" s="15">
        <f t="shared" si="312"/>
        <v>22500</v>
      </c>
      <c r="DF336" s="15" t="s">
        <v>766</v>
      </c>
      <c r="DJ336" s="15">
        <v>419</v>
      </c>
      <c r="DK336" s="15">
        <v>16</v>
      </c>
      <c r="DL336" s="15">
        <v>2.4</v>
      </c>
      <c r="DR336" s="15">
        <v>76.19</v>
      </c>
      <c r="DS336" s="15">
        <f>DE336</f>
        <v>22500</v>
      </c>
      <c r="DT336" s="15">
        <f t="shared" si="313"/>
        <v>37.5</v>
      </c>
      <c r="DU336" s="15">
        <f t="shared" si="314"/>
        <v>4500</v>
      </c>
      <c r="FK336" s="16">
        <f t="shared" si="305"/>
        <v>4.18</v>
      </c>
      <c r="FL336" s="16">
        <f t="shared" si="306"/>
        <v>4.4000000000000004</v>
      </c>
      <c r="FM336" s="15">
        <v>4.18</v>
      </c>
      <c r="FN336" s="15">
        <v>0.04</v>
      </c>
      <c r="FO336" s="15">
        <f>FN336*SQRT(AR336)</f>
        <v>6.9282032302755092E-2</v>
      </c>
      <c r="FP336" s="15">
        <v>4.4000000000000004</v>
      </c>
      <c r="FQ336" s="15">
        <v>0.04</v>
      </c>
      <c r="FR336" s="15">
        <f>FQ336*SQRT(AR336)</f>
        <v>6.9282032302755092E-2</v>
      </c>
      <c r="FS336" s="15">
        <f t="shared" si="285"/>
        <v>1.0526315789473686</v>
      </c>
      <c r="FT336" s="15">
        <f t="shared" si="286"/>
        <v>0.22000000000000064</v>
      </c>
      <c r="FU336" s="15">
        <f t="shared" si="287"/>
        <v>5.1293294387550592E-2</v>
      </c>
      <c r="FV336" s="15">
        <f>((FR336*FR336)/(AR336*FP336*FP336)+(FO336*FO336)/(AR336*FM336*FM336))</f>
        <v>1.7421762322291159E-4</v>
      </c>
      <c r="GI336" s="15">
        <v>4.75</v>
      </c>
      <c r="GJ336" s="15">
        <v>0.05</v>
      </c>
      <c r="GK336" s="15">
        <f>GJ336*SQRT(AR153)</f>
        <v>8.6602540378443865E-2</v>
      </c>
      <c r="GL336" s="15">
        <v>5.45</v>
      </c>
      <c r="GM336" s="15">
        <v>0.05</v>
      </c>
      <c r="GN336" s="15">
        <f>GM336*SQRT(AR153)</f>
        <v>8.6602540378443865E-2</v>
      </c>
      <c r="GO336" s="15">
        <f t="shared" si="315"/>
        <v>1.1473684210526316</v>
      </c>
      <c r="GP336" s="15">
        <f t="shared" si="316"/>
        <v>0.70000000000000018</v>
      </c>
      <c r="GQ336" s="15">
        <f t="shared" si="317"/>
        <v>0.13747099062860291</v>
      </c>
      <c r="GR336" s="15">
        <f>((GN336*GN336)/(AR153*GL336*GL336)+(GK336*GK336)/(AR153*GI336*GI336))</f>
        <v>1.9497132342637897E-4</v>
      </c>
      <c r="HY336" s="15">
        <f t="shared" si="318"/>
        <v>22500</v>
      </c>
      <c r="HZ336" s="15">
        <f t="shared" si="318"/>
        <v>37.5</v>
      </c>
      <c r="IA336" s="15">
        <f t="shared" si="318"/>
        <v>4500</v>
      </c>
    </row>
    <row r="337" spans="1:235" s="15" customFormat="1" x14ac:dyDescent="0.25">
      <c r="A337" s="31">
        <v>335</v>
      </c>
      <c r="B337" s="1">
        <v>65</v>
      </c>
      <c r="C337" s="1">
        <v>69</v>
      </c>
      <c r="D337" s="15" t="s">
        <v>296</v>
      </c>
      <c r="E337" s="1">
        <v>5</v>
      </c>
      <c r="F337" s="15" t="s">
        <v>798</v>
      </c>
      <c r="G337" s="15" t="s">
        <v>1148</v>
      </c>
      <c r="H337" s="15" t="s">
        <v>818</v>
      </c>
      <c r="I337" s="1">
        <v>2012</v>
      </c>
      <c r="J337" s="15" t="s">
        <v>816</v>
      </c>
      <c r="K337" s="1">
        <v>2011</v>
      </c>
      <c r="L337" s="15" t="s">
        <v>819</v>
      </c>
      <c r="M337" s="15" t="s">
        <v>480</v>
      </c>
      <c r="N337" s="15" t="s">
        <v>23</v>
      </c>
      <c r="O337" s="31">
        <v>2</v>
      </c>
      <c r="P337" s="15">
        <v>31.1</v>
      </c>
      <c r="Q337" s="15">
        <v>119.13</v>
      </c>
      <c r="U337" s="15" t="s">
        <v>807</v>
      </c>
      <c r="V337" s="31">
        <v>2</v>
      </c>
      <c r="W337" s="15" t="s">
        <v>1149</v>
      </c>
      <c r="Y337" s="1"/>
      <c r="Z337" s="15">
        <v>4.38</v>
      </c>
      <c r="AA337" s="15" t="s">
        <v>573</v>
      </c>
      <c r="AB337" s="15">
        <f t="shared" si="304"/>
        <v>4.38</v>
      </c>
      <c r="AC337" s="1">
        <v>1</v>
      </c>
      <c r="AD337" s="15">
        <v>17.2</v>
      </c>
      <c r="AF337" s="15">
        <v>9.7199999999999989</v>
      </c>
      <c r="AH337" s="15">
        <v>54.732510288065839</v>
      </c>
      <c r="AJ337" s="15">
        <v>17.8</v>
      </c>
      <c r="AK337" s="15">
        <v>74.5</v>
      </c>
      <c r="AL337" s="15">
        <v>7.7</v>
      </c>
      <c r="AM337" s="1">
        <v>2</v>
      </c>
      <c r="AP337" s="15" t="s">
        <v>1150</v>
      </c>
      <c r="AQ337" s="1">
        <v>1</v>
      </c>
      <c r="AR337" s="1">
        <v>3</v>
      </c>
      <c r="DB337" s="15" t="s">
        <v>1151</v>
      </c>
      <c r="DD337" s="15">
        <v>10</v>
      </c>
      <c r="DE337" s="15">
        <f t="shared" si="312"/>
        <v>22500</v>
      </c>
      <c r="DF337" s="15" t="s">
        <v>766</v>
      </c>
      <c r="DJ337" s="15">
        <v>408</v>
      </c>
      <c r="DK337" s="15">
        <v>54</v>
      </c>
      <c r="DL337" s="15">
        <v>5.0999999999999996</v>
      </c>
      <c r="DR337" s="15">
        <v>77.819999999999993</v>
      </c>
      <c r="DS337" s="15">
        <f>DE337</f>
        <v>22500</v>
      </c>
      <c r="DT337" s="15">
        <f t="shared" si="313"/>
        <v>37.5</v>
      </c>
      <c r="DU337" s="15">
        <f t="shared" si="314"/>
        <v>4500</v>
      </c>
      <c r="FK337" s="16">
        <f t="shared" si="305"/>
        <v>4.18</v>
      </c>
      <c r="FL337" s="16">
        <f t="shared" si="306"/>
        <v>4.1900000000000004</v>
      </c>
      <c r="FM337" s="15">
        <v>4.18</v>
      </c>
      <c r="FN337" s="15">
        <v>0.04</v>
      </c>
      <c r="FO337" s="15">
        <f>FN337*SQRT(AR337)</f>
        <v>6.9282032302755092E-2</v>
      </c>
      <c r="FP337" s="15">
        <v>4.1900000000000004</v>
      </c>
      <c r="FQ337" s="15">
        <v>0.04</v>
      </c>
      <c r="FR337" s="15">
        <f>FQ337*SQRT(AR337)</f>
        <v>6.9282032302755092E-2</v>
      </c>
      <c r="FS337" s="15">
        <f t="shared" si="285"/>
        <v>1.0023923444976077</v>
      </c>
      <c r="FT337" s="15">
        <f t="shared" si="286"/>
        <v>1.0000000000000675E-2</v>
      </c>
      <c r="FU337" s="15">
        <f t="shared" si="287"/>
        <v>2.38948739738154E-3</v>
      </c>
      <c r="FV337" s="15">
        <f>((FR337*FR337)/(AR337*FP337*FP337)+(FO337*FO337)/(AR337*FM337*FM337))</f>
        <v>1.8270940924760382E-4</v>
      </c>
      <c r="GI337" s="15">
        <v>4.75</v>
      </c>
      <c r="GJ337" s="15">
        <v>0.05</v>
      </c>
      <c r="GK337" s="15">
        <f>GJ337*SQRT(AR154)</f>
        <v>8.6602540378443865E-2</v>
      </c>
      <c r="GL337" s="15">
        <v>6.74</v>
      </c>
      <c r="GM337" s="15">
        <v>0.05</v>
      </c>
      <c r="GN337" s="15">
        <f>GM337*SQRT(AR154)</f>
        <v>8.6602540378443865E-2</v>
      </c>
      <c r="GO337" s="15">
        <f t="shared" si="315"/>
        <v>1.4189473684210527</v>
      </c>
      <c r="GP337" s="15">
        <f t="shared" si="316"/>
        <v>1.9900000000000002</v>
      </c>
      <c r="GQ337" s="15">
        <f t="shared" si="317"/>
        <v>0.3499153068776657</v>
      </c>
      <c r="GR337" s="15">
        <f>((GN337*GN337)/(AR154*GL337*GL337)+(GK337*GK337)/(AR154*GI337*GI337))</f>
        <v>1.658359474388384E-4</v>
      </c>
      <c r="HY337" s="15">
        <f t="shared" si="318"/>
        <v>22500</v>
      </c>
      <c r="HZ337" s="15">
        <f t="shared" si="318"/>
        <v>37.5</v>
      </c>
      <c r="IA337" s="15">
        <f t="shared" si="318"/>
        <v>4500</v>
      </c>
    </row>
    <row r="338" spans="1:235" s="15" customFormat="1" x14ac:dyDescent="0.25">
      <c r="A338" s="31">
        <v>336</v>
      </c>
      <c r="B338" s="1">
        <v>65</v>
      </c>
      <c r="C338" s="1">
        <v>69</v>
      </c>
      <c r="D338" s="15" t="s">
        <v>297</v>
      </c>
      <c r="E338" s="1">
        <v>5</v>
      </c>
      <c r="F338" s="15" t="s">
        <v>798</v>
      </c>
      <c r="G338" s="15" t="s">
        <v>1148</v>
      </c>
      <c r="H338" s="15" t="s">
        <v>818</v>
      </c>
      <c r="I338" s="1">
        <v>2012</v>
      </c>
      <c r="J338" s="15" t="s">
        <v>816</v>
      </c>
      <c r="K338" s="1">
        <v>2011</v>
      </c>
      <c r="L338" s="15" t="s">
        <v>819</v>
      </c>
      <c r="M338" s="15" t="s">
        <v>480</v>
      </c>
      <c r="N338" s="15" t="s">
        <v>23</v>
      </c>
      <c r="O338" s="31">
        <v>2</v>
      </c>
      <c r="P338" s="15">
        <v>31.1</v>
      </c>
      <c r="Q338" s="15">
        <v>119.13</v>
      </c>
      <c r="U338" s="15" t="s">
        <v>807</v>
      </c>
      <c r="V338" s="31">
        <v>2</v>
      </c>
      <c r="W338" s="15" t="s">
        <v>1149</v>
      </c>
      <c r="Y338" s="1"/>
      <c r="Z338" s="15">
        <v>4.38</v>
      </c>
      <c r="AA338" s="15" t="s">
        <v>573</v>
      </c>
      <c r="AB338" s="15">
        <f t="shared" si="304"/>
        <v>4.38</v>
      </c>
      <c r="AC338" s="1">
        <v>1</v>
      </c>
      <c r="AD338" s="15">
        <v>17.2</v>
      </c>
      <c r="AF338" s="15">
        <v>9.7199999999999989</v>
      </c>
      <c r="AH338" s="15">
        <v>54.732510288065839</v>
      </c>
      <c r="AJ338" s="15">
        <v>17.8</v>
      </c>
      <c r="AK338" s="15">
        <v>74.5</v>
      </c>
      <c r="AL338" s="15">
        <v>7.7</v>
      </c>
      <c r="AM338" s="1">
        <v>2</v>
      </c>
      <c r="AP338" s="15" t="s">
        <v>1150</v>
      </c>
      <c r="AQ338" s="1">
        <v>1</v>
      </c>
      <c r="AR338" s="1">
        <v>3</v>
      </c>
      <c r="DB338" s="15" t="s">
        <v>717</v>
      </c>
      <c r="DD338" s="15">
        <v>20</v>
      </c>
      <c r="DE338" s="15">
        <f t="shared" si="312"/>
        <v>45000</v>
      </c>
      <c r="DF338" s="15" t="s">
        <v>766</v>
      </c>
      <c r="DJ338" s="15">
        <v>421</v>
      </c>
      <c r="DK338" s="15">
        <v>45</v>
      </c>
      <c r="DL338" s="15">
        <v>0.7</v>
      </c>
      <c r="DR338" s="15">
        <v>20.9</v>
      </c>
      <c r="DS338" s="15">
        <f>DE338</f>
        <v>45000</v>
      </c>
      <c r="DT338" s="15">
        <f t="shared" si="313"/>
        <v>75</v>
      </c>
      <c r="DU338" s="15">
        <f t="shared" si="314"/>
        <v>9000</v>
      </c>
      <c r="FK338" s="16">
        <f t="shared" si="305"/>
        <v>4.1900000000000004</v>
      </c>
      <c r="FL338" s="16">
        <f t="shared" si="306"/>
        <v>4.57</v>
      </c>
      <c r="FM338" s="15">
        <v>4.1900000000000004</v>
      </c>
      <c r="FN338" s="15">
        <v>0.04</v>
      </c>
      <c r="FO338" s="15">
        <f>FN338*SQRT(AR338)</f>
        <v>6.9282032302755092E-2</v>
      </c>
      <c r="FP338" s="15">
        <v>4.57</v>
      </c>
      <c r="FQ338" s="15">
        <v>0.04</v>
      </c>
      <c r="FR338" s="15">
        <f>FQ338*SQRT(AR338)</f>
        <v>6.9282032302755092E-2</v>
      </c>
      <c r="FS338" s="15">
        <f t="shared" si="285"/>
        <v>1.0906921241050118</v>
      </c>
      <c r="FT338" s="15">
        <f t="shared" si="286"/>
        <v>0.37999999999999989</v>
      </c>
      <c r="FU338" s="15">
        <f t="shared" si="287"/>
        <v>8.6812470972066791E-2</v>
      </c>
      <c r="FV338" s="15">
        <f>((FR338*FR338)/(AR338*FP338*FP338)+(FO338*FO338)/(AR338*FM338*FM338))</f>
        <v>1.6774678812613535E-4</v>
      </c>
      <c r="GI338" s="15">
        <v>4.75</v>
      </c>
      <c r="GJ338" s="15">
        <v>0.05</v>
      </c>
      <c r="GK338" s="15">
        <f>GJ338*SQRT(AR155)</f>
        <v>8.6602540378443865E-2</v>
      </c>
      <c r="GL338" s="15">
        <v>5.34</v>
      </c>
      <c r="GM338" s="15">
        <v>0.05</v>
      </c>
      <c r="GN338" s="15">
        <f>GM338*SQRT(AR155)</f>
        <v>8.6602540378443865E-2</v>
      </c>
      <c r="GO338" s="15">
        <f t="shared" si="315"/>
        <v>1.1242105263157895</v>
      </c>
      <c r="GP338" s="15">
        <f t="shared" si="316"/>
        <v>0.58999999999999986</v>
      </c>
      <c r="GQ338" s="15">
        <f t="shared" si="317"/>
        <v>0.11708103492555355</v>
      </c>
      <c r="GR338" s="15">
        <f>((GN338*GN338)/(AR155*GL338*GL338)+(GK338*GK338)/(AR155*GI338*GI338))</f>
        <v>1.9847463383895346E-4</v>
      </c>
      <c r="HY338" s="15">
        <f t="shared" si="318"/>
        <v>45000</v>
      </c>
      <c r="HZ338" s="15">
        <f t="shared" si="318"/>
        <v>75</v>
      </c>
      <c r="IA338" s="15">
        <f t="shared" si="318"/>
        <v>9000</v>
      </c>
    </row>
    <row r="339" spans="1:235" s="15" customFormat="1" x14ac:dyDescent="0.25">
      <c r="A339" s="31">
        <v>337</v>
      </c>
      <c r="B339" s="1">
        <v>65</v>
      </c>
      <c r="C339" s="1">
        <v>69</v>
      </c>
      <c r="D339" s="15" t="s">
        <v>298</v>
      </c>
      <c r="E339" s="1">
        <v>5</v>
      </c>
      <c r="F339" s="15" t="s">
        <v>798</v>
      </c>
      <c r="G339" s="15" t="s">
        <v>1148</v>
      </c>
      <c r="H339" s="15" t="s">
        <v>818</v>
      </c>
      <c r="I339" s="1">
        <v>2012</v>
      </c>
      <c r="J339" s="15" t="s">
        <v>816</v>
      </c>
      <c r="K339" s="1">
        <v>2011</v>
      </c>
      <c r="L339" s="15" t="s">
        <v>819</v>
      </c>
      <c r="M339" s="15" t="s">
        <v>480</v>
      </c>
      <c r="N339" s="15" t="s">
        <v>23</v>
      </c>
      <c r="O339" s="31">
        <v>2</v>
      </c>
      <c r="P339" s="15">
        <v>31.1</v>
      </c>
      <c r="Q339" s="15">
        <v>119.13</v>
      </c>
      <c r="U339" s="15" t="s">
        <v>807</v>
      </c>
      <c r="V339" s="31">
        <v>2</v>
      </c>
      <c r="W339" s="15" t="s">
        <v>1149</v>
      </c>
      <c r="Y339" s="1"/>
      <c r="Z339" s="15">
        <v>4.38</v>
      </c>
      <c r="AA339" s="15" t="s">
        <v>573</v>
      </c>
      <c r="AB339" s="15">
        <f t="shared" si="304"/>
        <v>4.38</v>
      </c>
      <c r="AC339" s="1">
        <v>1</v>
      </c>
      <c r="AD339" s="15">
        <v>17.2</v>
      </c>
      <c r="AF339" s="15">
        <v>9.7199999999999989</v>
      </c>
      <c r="AH339" s="15">
        <v>54.732510288065839</v>
      </c>
      <c r="AJ339" s="15">
        <v>17.8</v>
      </c>
      <c r="AK339" s="15">
        <v>74.5</v>
      </c>
      <c r="AL339" s="15">
        <v>7.7</v>
      </c>
      <c r="AM339" s="1">
        <v>2</v>
      </c>
      <c r="AP339" s="15" t="s">
        <v>1150</v>
      </c>
      <c r="AQ339" s="1">
        <v>1</v>
      </c>
      <c r="AR339" s="1">
        <v>3</v>
      </c>
      <c r="DB339" s="15" t="s">
        <v>835</v>
      </c>
      <c r="DD339" s="15">
        <v>20</v>
      </c>
      <c r="DE339" s="15">
        <f t="shared" si="312"/>
        <v>45000</v>
      </c>
      <c r="DF339" s="15" t="s">
        <v>766</v>
      </c>
      <c r="DJ339" s="15">
        <v>418</v>
      </c>
      <c r="DK339" s="15">
        <v>86</v>
      </c>
      <c r="DL339" s="15">
        <v>1.1000000000000001</v>
      </c>
      <c r="DR339" s="15">
        <v>29.3</v>
      </c>
      <c r="DS339" s="15">
        <f>DE339</f>
        <v>45000</v>
      </c>
      <c r="DT339" s="15">
        <f t="shared" si="313"/>
        <v>75</v>
      </c>
      <c r="DU339" s="15">
        <f t="shared" si="314"/>
        <v>9000</v>
      </c>
      <c r="FK339" s="16">
        <f t="shared" si="305"/>
        <v>4.1900000000000004</v>
      </c>
      <c r="FL339" s="16">
        <f t="shared" si="306"/>
        <v>4.42</v>
      </c>
      <c r="FM339" s="15">
        <v>4.1900000000000004</v>
      </c>
      <c r="FN339" s="15">
        <v>0.04</v>
      </c>
      <c r="FO339" s="15">
        <f>FN339*SQRT(AR339)</f>
        <v>6.9282032302755092E-2</v>
      </c>
      <c r="FP339" s="15">
        <v>4.42</v>
      </c>
      <c r="FQ339" s="15">
        <v>0.04</v>
      </c>
      <c r="FR339" s="15">
        <f>FQ339*SQRT(AR339)</f>
        <v>6.9282032302755092E-2</v>
      </c>
      <c r="FS339" s="15">
        <f t="shared" si="285"/>
        <v>1.0548926014319808</v>
      </c>
      <c r="FT339" s="15">
        <f t="shared" si="286"/>
        <v>0.22999999999999954</v>
      </c>
      <c r="FU339" s="15">
        <f t="shared" si="287"/>
        <v>5.343896215556021E-2</v>
      </c>
      <c r="FV339" s="15">
        <f>((FR339*FR339)/(AR339*FP339*FP339)+(FO339*FO339)/(AR339*FM339*FM339))</f>
        <v>1.7303481915242785E-4</v>
      </c>
      <c r="GI339" s="15">
        <v>4.75</v>
      </c>
      <c r="GJ339" s="15">
        <v>0.05</v>
      </c>
      <c r="GK339" s="15">
        <f>GJ339*SQRT(AR156)</f>
        <v>8.6602540378443865E-2</v>
      </c>
      <c r="GL339" s="15">
        <v>5.7</v>
      </c>
      <c r="GM339" s="15">
        <v>0.05</v>
      </c>
      <c r="GN339" s="15">
        <f>GM339*SQRT(AR156)</f>
        <v>8.6602540378443865E-2</v>
      </c>
      <c r="GO339" s="15">
        <f t="shared" si="315"/>
        <v>1.2</v>
      </c>
      <c r="GP339" s="15">
        <f t="shared" si="316"/>
        <v>0.95000000000000018</v>
      </c>
      <c r="GQ339" s="15">
        <f t="shared" si="317"/>
        <v>0.18232155679395468</v>
      </c>
      <c r="GR339" s="15">
        <f>((GN339*GN339)/(AR156*GL339*GL339)+(GK339*GK339)/(AR156*GI339*GI339))</f>
        <v>1.8775007694675283E-4</v>
      </c>
      <c r="HY339" s="15">
        <f t="shared" si="318"/>
        <v>45000</v>
      </c>
      <c r="HZ339" s="15">
        <f t="shared" si="318"/>
        <v>75</v>
      </c>
      <c r="IA339" s="15">
        <f t="shared" si="318"/>
        <v>9000</v>
      </c>
    </row>
    <row r="340" spans="1:235" s="15" customFormat="1" x14ac:dyDescent="0.25">
      <c r="A340" s="31">
        <v>338</v>
      </c>
      <c r="B340" s="1">
        <v>65</v>
      </c>
      <c r="C340" s="1">
        <v>69</v>
      </c>
      <c r="D340" s="15" t="s">
        <v>299</v>
      </c>
      <c r="E340" s="1">
        <v>5</v>
      </c>
      <c r="F340" s="15" t="s">
        <v>798</v>
      </c>
      <c r="G340" s="15" t="s">
        <v>1148</v>
      </c>
      <c r="H340" s="15" t="s">
        <v>818</v>
      </c>
      <c r="I340" s="1">
        <v>2012</v>
      </c>
      <c r="J340" s="15" t="s">
        <v>816</v>
      </c>
      <c r="K340" s="1">
        <v>2011</v>
      </c>
      <c r="L340" s="15" t="s">
        <v>819</v>
      </c>
      <c r="M340" s="15" t="s">
        <v>480</v>
      </c>
      <c r="N340" s="15" t="s">
        <v>23</v>
      </c>
      <c r="O340" s="31">
        <v>2</v>
      </c>
      <c r="P340" s="15">
        <v>31.1</v>
      </c>
      <c r="Q340" s="15">
        <v>119.13</v>
      </c>
      <c r="U340" s="15" t="s">
        <v>807</v>
      </c>
      <c r="V340" s="31">
        <v>2</v>
      </c>
      <c r="W340" s="15" t="s">
        <v>1149</v>
      </c>
      <c r="Y340" s="1"/>
      <c r="Z340" s="15">
        <v>4.38</v>
      </c>
      <c r="AA340" s="15" t="s">
        <v>573</v>
      </c>
      <c r="AB340" s="15">
        <f t="shared" si="304"/>
        <v>4.38</v>
      </c>
      <c r="AC340" s="1">
        <v>1</v>
      </c>
      <c r="AD340" s="15">
        <v>17.2</v>
      </c>
      <c r="AF340" s="15">
        <v>9.7199999999999989</v>
      </c>
      <c r="AH340" s="15">
        <v>54.732510288065839</v>
      </c>
      <c r="AJ340" s="15">
        <v>17.8</v>
      </c>
      <c r="AK340" s="15">
        <v>74.5</v>
      </c>
      <c r="AL340" s="15">
        <v>7.7</v>
      </c>
      <c r="AM340" s="1">
        <v>2</v>
      </c>
      <c r="AP340" s="15" t="s">
        <v>1150</v>
      </c>
      <c r="AQ340" s="1">
        <v>1</v>
      </c>
      <c r="AR340" s="1">
        <v>3</v>
      </c>
      <c r="DB340" s="15" t="s">
        <v>896</v>
      </c>
      <c r="DD340" s="15">
        <v>20</v>
      </c>
      <c r="DE340" s="15">
        <f t="shared" si="312"/>
        <v>45000</v>
      </c>
      <c r="DF340" s="15" t="s">
        <v>766</v>
      </c>
      <c r="DJ340" s="15">
        <v>419</v>
      </c>
      <c r="DK340" s="15">
        <v>16</v>
      </c>
      <c r="DL340" s="15">
        <v>2.4</v>
      </c>
      <c r="DR340" s="15">
        <v>76.19</v>
      </c>
      <c r="DS340" s="15">
        <f>DE340</f>
        <v>45000</v>
      </c>
      <c r="DT340" s="15">
        <f t="shared" si="313"/>
        <v>75</v>
      </c>
      <c r="DU340" s="15">
        <f t="shared" si="314"/>
        <v>9000</v>
      </c>
      <c r="FK340" s="16">
        <f t="shared" si="305"/>
        <v>4.1900000000000004</v>
      </c>
      <c r="FL340" s="16">
        <f t="shared" si="306"/>
        <v>4.3600000000000003</v>
      </c>
      <c r="FM340" s="15">
        <v>4.1900000000000004</v>
      </c>
      <c r="FN340" s="15">
        <v>0.04</v>
      </c>
      <c r="FO340" s="15">
        <f>FN340*SQRT(AR340)</f>
        <v>6.9282032302755092E-2</v>
      </c>
      <c r="FP340" s="15">
        <v>4.3600000000000003</v>
      </c>
      <c r="FQ340" s="15">
        <v>0.04</v>
      </c>
      <c r="FR340" s="15">
        <f>FQ340*SQRT(AR340)</f>
        <v>6.9282032302755092E-2</v>
      </c>
      <c r="FS340" s="15">
        <f t="shared" si="285"/>
        <v>1.0405727923627686</v>
      </c>
      <c r="FT340" s="15">
        <f t="shared" si="286"/>
        <v>0.16999999999999993</v>
      </c>
      <c r="FU340" s="15">
        <f t="shared" si="287"/>
        <v>3.9771323426896599E-2</v>
      </c>
      <c r="FV340" s="15">
        <f>((FR340*FR340)/(AR340*FP340*FP340)+(FO340*FO340)/(AR340*FM340*FM340))</f>
        <v>1.7530441345052177E-4</v>
      </c>
      <c r="GI340" s="15">
        <v>4.75</v>
      </c>
      <c r="GJ340" s="15">
        <v>0.05</v>
      </c>
      <c r="GK340" s="15">
        <f>GJ340*SQRT(AR157)</f>
        <v>8.6602540378443865E-2</v>
      </c>
      <c r="GL340" s="15">
        <v>7.32</v>
      </c>
      <c r="GM340" s="15">
        <v>0.05</v>
      </c>
      <c r="GN340" s="15">
        <f>GM340*SQRT(AR157)</f>
        <v>8.6602540378443865E-2</v>
      </c>
      <c r="GO340" s="15">
        <f t="shared" si="315"/>
        <v>1.5410526315789475</v>
      </c>
      <c r="GP340" s="15">
        <f t="shared" si="316"/>
        <v>2.5700000000000003</v>
      </c>
      <c r="GQ340" s="15">
        <f t="shared" si="317"/>
        <v>0.43246570992667022</v>
      </c>
      <c r="GR340" s="15">
        <f>((GN340*GN340)/(AR157*GL340*GL340)+(GK340*GK340)/(AR157*GI340*GI340))</f>
        <v>1.5746043538999738E-4</v>
      </c>
      <c r="HY340" s="15">
        <f t="shared" si="318"/>
        <v>45000</v>
      </c>
      <c r="HZ340" s="15">
        <f t="shared" si="318"/>
        <v>75</v>
      </c>
      <c r="IA340" s="15">
        <f t="shared" si="318"/>
        <v>9000</v>
      </c>
    </row>
    <row r="341" spans="1:235" s="15" customFormat="1" x14ac:dyDescent="0.25">
      <c r="A341" s="31">
        <v>339</v>
      </c>
      <c r="B341" s="1">
        <v>65</v>
      </c>
      <c r="C341" s="1">
        <v>69</v>
      </c>
      <c r="D341" s="15" t="s">
        <v>300</v>
      </c>
      <c r="E341" s="1">
        <v>5</v>
      </c>
      <c r="F341" s="15" t="s">
        <v>798</v>
      </c>
      <c r="G341" s="15" t="s">
        <v>1148</v>
      </c>
      <c r="H341" s="15" t="s">
        <v>818</v>
      </c>
      <c r="I341" s="1">
        <v>2012</v>
      </c>
      <c r="J341" s="15" t="s">
        <v>816</v>
      </c>
      <c r="K341" s="1">
        <v>2011</v>
      </c>
      <c r="L341" s="15" t="s">
        <v>819</v>
      </c>
      <c r="M341" s="15" t="s">
        <v>480</v>
      </c>
      <c r="N341" s="15" t="s">
        <v>23</v>
      </c>
      <c r="O341" s="31">
        <v>2</v>
      </c>
      <c r="P341" s="15">
        <v>31.1</v>
      </c>
      <c r="Q341" s="15">
        <v>119.13</v>
      </c>
      <c r="U341" s="15" t="s">
        <v>807</v>
      </c>
      <c r="V341" s="31">
        <v>2</v>
      </c>
      <c r="W341" s="15" t="s">
        <v>1149</v>
      </c>
      <c r="Y341" s="1"/>
      <c r="Z341" s="15">
        <v>4.38</v>
      </c>
      <c r="AA341" s="15" t="s">
        <v>573</v>
      </c>
      <c r="AB341" s="15">
        <f t="shared" si="304"/>
        <v>4.38</v>
      </c>
      <c r="AC341" s="1">
        <v>1</v>
      </c>
      <c r="AD341" s="15">
        <v>17.2</v>
      </c>
      <c r="AF341" s="15">
        <v>9.7199999999999989</v>
      </c>
      <c r="AH341" s="15">
        <v>54.732510288065839</v>
      </c>
      <c r="AJ341" s="15">
        <v>17.8</v>
      </c>
      <c r="AK341" s="15">
        <v>74.5</v>
      </c>
      <c r="AL341" s="15">
        <v>7.7</v>
      </c>
      <c r="AM341" s="1">
        <v>2</v>
      </c>
      <c r="AP341" s="15" t="s">
        <v>1150</v>
      </c>
      <c r="AQ341" s="1">
        <v>1</v>
      </c>
      <c r="AR341" s="1">
        <v>3</v>
      </c>
      <c r="DB341" s="15" t="s">
        <v>1151</v>
      </c>
      <c r="DD341" s="15">
        <v>20</v>
      </c>
      <c r="DE341" s="15">
        <f t="shared" si="312"/>
        <v>45000</v>
      </c>
      <c r="DF341" s="15" t="s">
        <v>766</v>
      </c>
      <c r="DJ341" s="15">
        <v>408</v>
      </c>
      <c r="DK341" s="15">
        <v>54</v>
      </c>
      <c r="DL341" s="15">
        <v>5.0999999999999996</v>
      </c>
      <c r="DR341" s="15">
        <v>77.819999999999993</v>
      </c>
      <c r="DS341" s="15">
        <f>DE341</f>
        <v>45000</v>
      </c>
      <c r="DT341" s="15">
        <f t="shared" si="313"/>
        <v>75</v>
      </c>
      <c r="DU341" s="15">
        <f t="shared" si="314"/>
        <v>9000</v>
      </c>
      <c r="FK341" s="16">
        <f t="shared" si="305"/>
        <v>4.1900000000000004</v>
      </c>
      <c r="FL341" s="16">
        <f t="shared" si="306"/>
        <v>4.28</v>
      </c>
      <c r="FM341" s="15">
        <v>4.1900000000000004</v>
      </c>
      <c r="FN341" s="15">
        <v>0.04</v>
      </c>
      <c r="FO341" s="15">
        <f>FN341*SQRT(AR341)</f>
        <v>6.9282032302755092E-2</v>
      </c>
      <c r="FP341" s="15">
        <v>4.28</v>
      </c>
      <c r="FQ341" s="15">
        <v>0.04</v>
      </c>
      <c r="FR341" s="15">
        <f>FQ341*SQRT(AR341)</f>
        <v>6.9282032302755092E-2</v>
      </c>
      <c r="FS341" s="15">
        <f t="shared" si="285"/>
        <v>1.0214797136038185</v>
      </c>
      <c r="FT341" s="15">
        <f t="shared" si="286"/>
        <v>8.9999999999999858E-2</v>
      </c>
      <c r="FU341" s="15">
        <f t="shared" si="287"/>
        <v>2.1252275659658926E-2</v>
      </c>
      <c r="FV341" s="15">
        <f>((FR341*FR341)/(AR341*FP341*FP341)+(FO341*FO341)/(AR341*FM341*FM341))</f>
        <v>1.7848028695118695E-4</v>
      </c>
      <c r="GI341" s="15">
        <v>4.75</v>
      </c>
      <c r="GJ341" s="15">
        <v>0.05</v>
      </c>
      <c r="GK341" s="15">
        <f>GJ341*SQRT(AR158)</f>
        <v>8.6602540378443865E-2</v>
      </c>
      <c r="GL341" s="15">
        <v>6.6</v>
      </c>
      <c r="GM341" s="15">
        <v>0.05</v>
      </c>
      <c r="GN341" s="15">
        <f>GM341*SQRT(AR158)</f>
        <v>8.6602540378443865E-2</v>
      </c>
      <c r="GO341" s="15">
        <f t="shared" si="315"/>
        <v>1.3894736842105262</v>
      </c>
      <c r="GP341" s="15">
        <f t="shared" si="316"/>
        <v>1.8499999999999996</v>
      </c>
      <c r="GQ341" s="15">
        <f t="shared" si="317"/>
        <v>0.32892503098582981</v>
      </c>
      <c r="GR341" s="15">
        <f>((GN341*GN341)/(AR158*GL341*GL341)+(GK341*GK341)/(AR158*GI341*GI341))</f>
        <v>1.6819542694637129E-4</v>
      </c>
      <c r="HY341" s="15">
        <f t="shared" si="318"/>
        <v>45000</v>
      </c>
      <c r="HZ341" s="15">
        <f t="shared" si="318"/>
        <v>75</v>
      </c>
      <c r="IA341" s="15">
        <f t="shared" si="318"/>
        <v>9000</v>
      </c>
    </row>
    <row r="342" spans="1:235" s="23" customFormat="1" x14ac:dyDescent="0.25">
      <c r="A342" s="31">
        <v>340</v>
      </c>
      <c r="B342" s="1">
        <v>65</v>
      </c>
      <c r="C342" s="1">
        <v>69</v>
      </c>
      <c r="D342" s="15" t="s">
        <v>301</v>
      </c>
      <c r="E342" s="1">
        <v>3</v>
      </c>
      <c r="F342" s="23" t="s">
        <v>1152</v>
      </c>
      <c r="G342" s="15" t="s">
        <v>1148</v>
      </c>
      <c r="H342" s="15" t="s">
        <v>818</v>
      </c>
      <c r="I342" s="1">
        <v>2012</v>
      </c>
      <c r="J342" s="15" t="s">
        <v>816</v>
      </c>
      <c r="K342" s="1">
        <v>2011</v>
      </c>
      <c r="L342" s="15" t="s">
        <v>819</v>
      </c>
      <c r="M342" s="15" t="s">
        <v>480</v>
      </c>
      <c r="N342" s="15" t="s">
        <v>23</v>
      </c>
      <c r="O342" s="31">
        <v>2</v>
      </c>
      <c r="P342" s="15">
        <v>31.1</v>
      </c>
      <c r="Q342" s="15">
        <v>119.13</v>
      </c>
      <c r="U342" s="15" t="s">
        <v>807</v>
      </c>
      <c r="V342" s="31">
        <v>2</v>
      </c>
      <c r="W342" s="15" t="s">
        <v>1149</v>
      </c>
      <c r="Y342" s="55"/>
      <c r="Z342" s="15">
        <v>4.38</v>
      </c>
      <c r="AA342" s="15" t="s">
        <v>573</v>
      </c>
      <c r="AB342" s="15">
        <f t="shared" si="304"/>
        <v>4.38</v>
      </c>
      <c r="AC342" s="1">
        <v>1</v>
      </c>
      <c r="AD342" s="15">
        <v>17.2</v>
      </c>
      <c r="AE342" s="15"/>
      <c r="AF342" s="15">
        <v>9.7199999999999989</v>
      </c>
      <c r="AG342" s="15"/>
      <c r="AH342" s="15">
        <v>54.732510288065839</v>
      </c>
      <c r="AI342" s="15"/>
      <c r="AJ342" s="15">
        <v>17.8</v>
      </c>
      <c r="AK342" s="15">
        <v>74.5</v>
      </c>
      <c r="AL342" s="15">
        <v>7.7</v>
      </c>
      <c r="AM342" s="1">
        <v>2</v>
      </c>
      <c r="AN342" s="15"/>
      <c r="AO342" s="15"/>
      <c r="AP342" s="15" t="s">
        <v>1150</v>
      </c>
      <c r="AQ342" s="1">
        <v>1</v>
      </c>
      <c r="AR342" s="1">
        <v>3</v>
      </c>
      <c r="DV342" s="1">
        <v>8.48</v>
      </c>
      <c r="DW342" s="1" t="s">
        <v>938</v>
      </c>
      <c r="DX342" s="1">
        <v>5</v>
      </c>
      <c r="DY342" s="15">
        <f t="shared" ref="DY342:DY361" si="319">DX342*2250</f>
        <v>11250</v>
      </c>
      <c r="DZ342" s="15" t="s">
        <v>766</v>
      </c>
      <c r="EA342" s="1"/>
      <c r="EB342" s="1"/>
      <c r="EC342" s="1">
        <v>242.46</v>
      </c>
      <c r="ED342" s="1">
        <v>59.34</v>
      </c>
      <c r="EE342" s="1">
        <v>0.03</v>
      </c>
      <c r="EF342" s="1">
        <v>39.159999999999997</v>
      </c>
      <c r="EG342" s="1">
        <v>0.59</v>
      </c>
      <c r="EH342" s="1">
        <v>121.49</v>
      </c>
      <c r="ES342" s="15">
        <f t="shared" ref="ES342:ES361" si="320">DY342</f>
        <v>11250</v>
      </c>
      <c r="ET342" s="15">
        <f t="shared" ref="ET342:ET361" si="321">ES342/2.25/1000</f>
        <v>5</v>
      </c>
      <c r="EU342" s="15">
        <f t="shared" ref="EU342:EU361" si="322">ES342*0.55</f>
        <v>6187.5000000000009</v>
      </c>
      <c r="FK342" s="16">
        <f t="shared" si="305"/>
        <v>4.18</v>
      </c>
      <c r="FL342" s="16">
        <f t="shared" si="306"/>
        <v>4.47</v>
      </c>
      <c r="FM342" s="15">
        <v>4.18</v>
      </c>
      <c r="FN342" s="15">
        <v>0.04</v>
      </c>
      <c r="FO342" s="15">
        <f>FN342*SQRT(AR342)</f>
        <v>6.9282032302755092E-2</v>
      </c>
      <c r="FP342" s="15">
        <v>4.47</v>
      </c>
      <c r="FQ342" s="15">
        <v>0.04</v>
      </c>
      <c r="FR342" s="15">
        <f>FQ342*SQRT(AR342)</f>
        <v>6.9282032302755092E-2</v>
      </c>
      <c r="FS342" s="15">
        <f t="shared" si="285"/>
        <v>1.069377990430622</v>
      </c>
      <c r="FT342" s="15">
        <f t="shared" si="286"/>
        <v>0.29000000000000004</v>
      </c>
      <c r="FU342" s="15">
        <f t="shared" si="287"/>
        <v>6.7077162088812425E-2</v>
      </c>
      <c r="FV342" s="15">
        <f>((FR342*FR342)/(AR342*FP342*FP342)+(FO342*FO342)/(AR342*FM342*FM342))</f>
        <v>1.7164946815548336E-4</v>
      </c>
      <c r="GI342" s="15">
        <v>4.75</v>
      </c>
      <c r="GJ342" s="15">
        <v>0.05</v>
      </c>
      <c r="GK342" s="15">
        <f>GJ342*SQRT(AR159)</f>
        <v>8.6602540378443865E-2</v>
      </c>
      <c r="GL342" s="15">
        <v>6.3</v>
      </c>
      <c r="GM342" s="15">
        <v>0.05</v>
      </c>
      <c r="GN342" s="15">
        <f>GM342*SQRT(AR159)</f>
        <v>8.6602540378443865E-2</v>
      </c>
      <c r="GO342" s="15">
        <f t="shared" si="315"/>
        <v>1.3263157894736841</v>
      </c>
      <c r="GP342" s="15">
        <f t="shared" si="316"/>
        <v>1.5499999999999998</v>
      </c>
      <c r="GQ342" s="15">
        <f t="shared" si="317"/>
        <v>0.28240501535093698</v>
      </c>
      <c r="GR342" s="15">
        <f>((GN342*GN342)/(AR159*GL342*GL342)+(GK342*GK342)/(AR159*GI342*GI342))</f>
        <v>1.7379148232597646E-4</v>
      </c>
      <c r="HY342" s="15">
        <f t="shared" ref="HY342:IA345" si="323">ES342</f>
        <v>11250</v>
      </c>
      <c r="HZ342" s="15">
        <f t="shared" si="323"/>
        <v>5</v>
      </c>
      <c r="IA342" s="15">
        <f t="shared" si="323"/>
        <v>6187.5000000000009</v>
      </c>
    </row>
    <row r="343" spans="1:235" s="23" customFormat="1" x14ac:dyDescent="0.25">
      <c r="A343" s="31">
        <v>341</v>
      </c>
      <c r="B343" s="1">
        <v>65</v>
      </c>
      <c r="C343" s="1">
        <v>69</v>
      </c>
      <c r="D343" s="15" t="s">
        <v>302</v>
      </c>
      <c r="E343" s="1">
        <v>3</v>
      </c>
      <c r="F343" s="23" t="s">
        <v>1152</v>
      </c>
      <c r="G343" s="15" t="s">
        <v>1148</v>
      </c>
      <c r="H343" s="15" t="s">
        <v>818</v>
      </c>
      <c r="I343" s="1">
        <v>2012</v>
      </c>
      <c r="J343" s="15" t="s">
        <v>816</v>
      </c>
      <c r="K343" s="1">
        <v>2011</v>
      </c>
      <c r="L343" s="15" t="s">
        <v>819</v>
      </c>
      <c r="M343" s="15" t="s">
        <v>480</v>
      </c>
      <c r="N343" s="15" t="s">
        <v>23</v>
      </c>
      <c r="O343" s="31">
        <v>2</v>
      </c>
      <c r="P343" s="15">
        <v>31.1</v>
      </c>
      <c r="Q343" s="15">
        <v>119.13</v>
      </c>
      <c r="U343" s="15" t="s">
        <v>807</v>
      </c>
      <c r="V343" s="31">
        <v>2</v>
      </c>
      <c r="W343" s="15" t="s">
        <v>1149</v>
      </c>
      <c r="Y343" s="55"/>
      <c r="Z343" s="15">
        <v>4.38</v>
      </c>
      <c r="AA343" s="15" t="s">
        <v>573</v>
      </c>
      <c r="AB343" s="15">
        <f t="shared" si="304"/>
        <v>4.38</v>
      </c>
      <c r="AC343" s="1">
        <v>1</v>
      </c>
      <c r="AD343" s="15">
        <v>17.2</v>
      </c>
      <c r="AE343" s="15"/>
      <c r="AF343" s="15">
        <v>9.7199999999999989</v>
      </c>
      <c r="AG343" s="15"/>
      <c r="AH343" s="15">
        <v>54.732510288065839</v>
      </c>
      <c r="AI343" s="15"/>
      <c r="AJ343" s="15">
        <v>17.8</v>
      </c>
      <c r="AK343" s="15">
        <v>74.5</v>
      </c>
      <c r="AL343" s="15">
        <v>7.7</v>
      </c>
      <c r="AM343" s="1">
        <v>2</v>
      </c>
      <c r="AN343" s="15"/>
      <c r="AO343" s="15"/>
      <c r="AP343" s="15" t="s">
        <v>1150</v>
      </c>
      <c r="AQ343" s="1">
        <v>1</v>
      </c>
      <c r="AR343" s="1">
        <v>3</v>
      </c>
      <c r="DV343" s="1">
        <v>8.48</v>
      </c>
      <c r="DW343" s="1" t="s">
        <v>938</v>
      </c>
      <c r="DX343" s="1">
        <v>10</v>
      </c>
      <c r="DY343" s="15">
        <f t="shared" si="319"/>
        <v>22500</v>
      </c>
      <c r="DZ343" s="15" t="s">
        <v>766</v>
      </c>
      <c r="EA343" s="1"/>
      <c r="EB343" s="1"/>
      <c r="EC343" s="1">
        <v>242.46</v>
      </c>
      <c r="ED343" s="1">
        <v>59.34</v>
      </c>
      <c r="EE343" s="1">
        <v>0.03</v>
      </c>
      <c r="EF343" s="1">
        <v>39.159999999999997</v>
      </c>
      <c r="EG343" s="1">
        <v>0.59</v>
      </c>
      <c r="EH343" s="1">
        <v>121.49</v>
      </c>
      <c r="ES343" s="15">
        <f t="shared" si="320"/>
        <v>22500</v>
      </c>
      <c r="ET343" s="15">
        <f t="shared" si="321"/>
        <v>10</v>
      </c>
      <c r="EU343" s="15">
        <f t="shared" si="322"/>
        <v>12375.000000000002</v>
      </c>
      <c r="FK343" s="16">
        <f t="shared" si="305"/>
        <v>4.18</v>
      </c>
      <c r="FL343" s="16">
        <f t="shared" si="306"/>
        <v>4.95</v>
      </c>
      <c r="FM343" s="15">
        <v>4.18</v>
      </c>
      <c r="FN343" s="15">
        <v>0.04</v>
      </c>
      <c r="FO343" s="15">
        <f>FN343*SQRT(AR343)</f>
        <v>6.9282032302755092E-2</v>
      </c>
      <c r="FP343" s="15">
        <v>4.95</v>
      </c>
      <c r="FQ343" s="15">
        <v>0.06</v>
      </c>
      <c r="FR343" s="15">
        <f>FQ343*SQRT(AR343)</f>
        <v>0.10392304845413262</v>
      </c>
      <c r="FS343" s="15">
        <f t="shared" si="285"/>
        <v>1.1842105263157896</v>
      </c>
      <c r="FT343" s="15">
        <f t="shared" si="286"/>
        <v>0.77000000000000046</v>
      </c>
      <c r="FU343" s="15">
        <f t="shared" si="287"/>
        <v>0.16907633004393396</v>
      </c>
      <c r="FV343" s="15">
        <f>((FR343*FR343)/(AR343*FP343*FP343)+(FO343*FO343)/(AR343*FM343*FM343))</f>
        <v>2.3849677841115762E-4</v>
      </c>
      <c r="GI343" s="15">
        <v>4.75</v>
      </c>
      <c r="GJ343" s="15">
        <v>0.05</v>
      </c>
      <c r="GK343" s="15">
        <f>GJ343*SQRT(AR160)</f>
        <v>8.6602540378443865E-2</v>
      </c>
      <c r="GL343" s="15">
        <v>9.8699999999999992</v>
      </c>
      <c r="GM343" s="15">
        <v>0.05</v>
      </c>
      <c r="GN343" s="15">
        <f>GM343*SQRT(AR160)</f>
        <v>8.6602540378443865E-2</v>
      </c>
      <c r="GO343" s="15">
        <f t="shared" si="315"/>
        <v>2.0778947368421052</v>
      </c>
      <c r="GP343" s="15">
        <f t="shared" si="316"/>
        <v>5.1199999999999992</v>
      </c>
      <c r="GQ343" s="15">
        <f t="shared" si="317"/>
        <v>0.73135523539884018</v>
      </c>
      <c r="GR343" s="15">
        <f>((GN343*GN343)/(AR160*GL343*GL343)+(GK343*GK343)/(AR160*GI343*GI343))</f>
        <v>1.3646622242639937E-4</v>
      </c>
      <c r="HY343" s="15">
        <f t="shared" si="323"/>
        <v>22500</v>
      </c>
      <c r="HZ343" s="15">
        <f t="shared" si="323"/>
        <v>10</v>
      </c>
      <c r="IA343" s="15">
        <f t="shared" si="323"/>
        <v>12375.000000000002</v>
      </c>
    </row>
    <row r="344" spans="1:235" s="23" customFormat="1" x14ac:dyDescent="0.25">
      <c r="A344" s="31">
        <v>342</v>
      </c>
      <c r="B344" s="1">
        <v>65</v>
      </c>
      <c r="C344" s="1">
        <v>69</v>
      </c>
      <c r="D344" s="15" t="s">
        <v>303</v>
      </c>
      <c r="E344" s="1">
        <v>3</v>
      </c>
      <c r="F344" s="23" t="s">
        <v>1152</v>
      </c>
      <c r="G344" s="15" t="s">
        <v>1148</v>
      </c>
      <c r="H344" s="15" t="s">
        <v>818</v>
      </c>
      <c r="I344" s="1">
        <v>2012</v>
      </c>
      <c r="J344" s="15" t="s">
        <v>816</v>
      </c>
      <c r="K344" s="1">
        <v>2011</v>
      </c>
      <c r="L344" s="15" t="s">
        <v>819</v>
      </c>
      <c r="M344" s="15" t="s">
        <v>480</v>
      </c>
      <c r="N344" s="15" t="s">
        <v>23</v>
      </c>
      <c r="O344" s="31">
        <v>2</v>
      </c>
      <c r="P344" s="15">
        <v>31.1</v>
      </c>
      <c r="Q344" s="15">
        <v>119.13</v>
      </c>
      <c r="U344" s="15" t="s">
        <v>807</v>
      </c>
      <c r="V344" s="31">
        <v>2</v>
      </c>
      <c r="W344" s="15" t="s">
        <v>1149</v>
      </c>
      <c r="Y344" s="55"/>
      <c r="Z344" s="15">
        <v>4.38</v>
      </c>
      <c r="AA344" s="15" t="s">
        <v>573</v>
      </c>
      <c r="AB344" s="15">
        <f t="shared" si="304"/>
        <v>4.38</v>
      </c>
      <c r="AC344" s="1">
        <v>1</v>
      </c>
      <c r="AD344" s="15">
        <v>17.2</v>
      </c>
      <c r="AE344" s="15"/>
      <c r="AF344" s="15">
        <v>9.7199999999999989</v>
      </c>
      <c r="AG344" s="15"/>
      <c r="AH344" s="15">
        <v>54.732510288065839</v>
      </c>
      <c r="AI344" s="15"/>
      <c r="AJ344" s="15">
        <v>17.8</v>
      </c>
      <c r="AK344" s="15">
        <v>74.5</v>
      </c>
      <c r="AL344" s="15">
        <v>7.7</v>
      </c>
      <c r="AM344" s="1">
        <v>2</v>
      </c>
      <c r="AN344" s="15"/>
      <c r="AO344" s="15"/>
      <c r="AP344" s="15" t="s">
        <v>1150</v>
      </c>
      <c r="AQ344" s="1">
        <v>1</v>
      </c>
      <c r="AR344" s="1">
        <v>3</v>
      </c>
      <c r="DV344" s="1">
        <v>8.48</v>
      </c>
      <c r="DW344" s="1" t="s">
        <v>938</v>
      </c>
      <c r="DX344" s="1">
        <v>5</v>
      </c>
      <c r="DY344" s="15">
        <f t="shared" si="319"/>
        <v>11250</v>
      </c>
      <c r="DZ344" s="15" t="s">
        <v>766</v>
      </c>
      <c r="EA344" s="1"/>
      <c r="EB344" s="1"/>
      <c r="EC344" s="1">
        <v>242.46</v>
      </c>
      <c r="ED344" s="1">
        <v>59.34</v>
      </c>
      <c r="EE344" s="1">
        <v>0.03</v>
      </c>
      <c r="EF344" s="1">
        <v>39.159999999999997</v>
      </c>
      <c r="EG344" s="1">
        <v>0.59</v>
      </c>
      <c r="EH344" s="1">
        <v>121.49</v>
      </c>
      <c r="ES344" s="15">
        <f t="shared" si="320"/>
        <v>11250</v>
      </c>
      <c r="ET344" s="15">
        <f t="shared" si="321"/>
        <v>5</v>
      </c>
      <c r="EU344" s="15">
        <f t="shared" si="322"/>
        <v>6187.5000000000009</v>
      </c>
      <c r="FK344" s="16">
        <f t="shared" si="305"/>
        <v>4.1900000000000004</v>
      </c>
      <c r="FL344" s="16">
        <f t="shared" si="306"/>
        <v>4.45</v>
      </c>
      <c r="FM344" s="15">
        <v>4.1900000000000004</v>
      </c>
      <c r="FN344" s="15">
        <v>0.04</v>
      </c>
      <c r="FO344" s="15">
        <f>FN344*SQRT(AR344)</f>
        <v>6.9282032302755092E-2</v>
      </c>
      <c r="FP344" s="15">
        <v>4.45</v>
      </c>
      <c r="FQ344" s="15">
        <v>0.05</v>
      </c>
      <c r="FR344" s="15">
        <f>FQ344*SQRT(AR344)</f>
        <v>8.6602540378443865E-2</v>
      </c>
      <c r="FS344" s="15">
        <f t="shared" si="285"/>
        <v>1.0620525059665871</v>
      </c>
      <c r="FT344" s="15">
        <f t="shared" si="286"/>
        <v>0.25999999999999979</v>
      </c>
      <c r="FU344" s="15">
        <f t="shared" si="287"/>
        <v>6.0203362244102276E-2</v>
      </c>
      <c r="FV344" s="15">
        <f>((FR344*FR344)/(AR344*FP344*FP344)+(FO344*FO344)/(AR344*FM344*FM344))</f>
        <v>2.1738310014835763E-4</v>
      </c>
      <c r="GK344" s="15"/>
      <c r="GM344" s="15"/>
      <c r="GN344" s="15"/>
      <c r="GQ344" s="15"/>
      <c r="GR344" s="15"/>
      <c r="HY344" s="15">
        <f t="shared" si="323"/>
        <v>11250</v>
      </c>
      <c r="HZ344" s="15">
        <f t="shared" si="323"/>
        <v>5</v>
      </c>
      <c r="IA344" s="15">
        <f t="shared" si="323"/>
        <v>6187.5000000000009</v>
      </c>
    </row>
    <row r="345" spans="1:235" s="23" customFormat="1" x14ac:dyDescent="0.25">
      <c r="A345" s="31">
        <v>343</v>
      </c>
      <c r="B345" s="1">
        <v>65</v>
      </c>
      <c r="C345" s="1">
        <v>69</v>
      </c>
      <c r="D345" s="15" t="s">
        <v>304</v>
      </c>
      <c r="E345" s="1">
        <v>3</v>
      </c>
      <c r="F345" s="23" t="s">
        <v>1152</v>
      </c>
      <c r="G345" s="15" t="s">
        <v>1148</v>
      </c>
      <c r="H345" s="15" t="s">
        <v>818</v>
      </c>
      <c r="I345" s="1">
        <v>2012</v>
      </c>
      <c r="J345" s="15" t="s">
        <v>816</v>
      </c>
      <c r="K345" s="1">
        <v>2011</v>
      </c>
      <c r="L345" s="15" t="s">
        <v>819</v>
      </c>
      <c r="M345" s="15" t="s">
        <v>480</v>
      </c>
      <c r="N345" s="15" t="s">
        <v>23</v>
      </c>
      <c r="O345" s="31">
        <v>2</v>
      </c>
      <c r="P345" s="15">
        <v>31.1</v>
      </c>
      <c r="Q345" s="15">
        <v>119.13</v>
      </c>
      <c r="U345" s="15" t="s">
        <v>807</v>
      </c>
      <c r="V345" s="31">
        <v>2</v>
      </c>
      <c r="W345" s="15" t="s">
        <v>1149</v>
      </c>
      <c r="Y345" s="55"/>
      <c r="Z345" s="15">
        <v>4.38</v>
      </c>
      <c r="AA345" s="15" t="s">
        <v>573</v>
      </c>
      <c r="AB345" s="15">
        <f t="shared" si="304"/>
        <v>4.38</v>
      </c>
      <c r="AC345" s="1">
        <v>1</v>
      </c>
      <c r="AD345" s="15">
        <v>17.2</v>
      </c>
      <c r="AE345" s="15"/>
      <c r="AF345" s="15">
        <v>9.7199999999999989</v>
      </c>
      <c r="AG345" s="15"/>
      <c r="AH345" s="15">
        <v>54.732510288065839</v>
      </c>
      <c r="AI345" s="15"/>
      <c r="AJ345" s="15">
        <v>17.8</v>
      </c>
      <c r="AK345" s="15">
        <v>74.5</v>
      </c>
      <c r="AL345" s="15">
        <v>7.7</v>
      </c>
      <c r="AM345" s="1">
        <v>2</v>
      </c>
      <c r="AN345" s="15"/>
      <c r="AO345" s="15"/>
      <c r="AP345" s="15" t="s">
        <v>1150</v>
      </c>
      <c r="AQ345" s="1">
        <v>1</v>
      </c>
      <c r="AR345" s="1">
        <v>3</v>
      </c>
      <c r="DV345" s="1">
        <v>8.48</v>
      </c>
      <c r="DW345" s="1" t="s">
        <v>938</v>
      </c>
      <c r="DX345" s="1">
        <v>10</v>
      </c>
      <c r="DY345" s="15">
        <f t="shared" si="319"/>
        <v>22500</v>
      </c>
      <c r="DZ345" s="15" t="s">
        <v>766</v>
      </c>
      <c r="EA345" s="1"/>
      <c r="EB345" s="1"/>
      <c r="EC345" s="1">
        <v>242.46</v>
      </c>
      <c r="ED345" s="1">
        <v>59.34</v>
      </c>
      <c r="EE345" s="1">
        <v>0.03</v>
      </c>
      <c r="EF345" s="1">
        <v>39.159999999999997</v>
      </c>
      <c r="EG345" s="1">
        <v>0.59</v>
      </c>
      <c r="EH345" s="1">
        <v>121.49</v>
      </c>
      <c r="ES345" s="15">
        <f t="shared" si="320"/>
        <v>22500</v>
      </c>
      <c r="ET345" s="15">
        <f t="shared" si="321"/>
        <v>10</v>
      </c>
      <c r="EU345" s="15">
        <f t="shared" si="322"/>
        <v>12375.000000000002</v>
      </c>
      <c r="FK345" s="16">
        <f t="shared" si="305"/>
        <v>4.1900000000000004</v>
      </c>
      <c r="FL345" s="16">
        <f t="shared" si="306"/>
        <v>4.88</v>
      </c>
      <c r="FM345" s="15">
        <v>4.1900000000000004</v>
      </c>
      <c r="FN345" s="15">
        <v>0.04</v>
      </c>
      <c r="FO345" s="15">
        <f>FN345*SQRT(AR345)</f>
        <v>6.9282032302755092E-2</v>
      </c>
      <c r="FP345" s="15">
        <v>4.88</v>
      </c>
      <c r="FQ345" s="15">
        <v>0.06</v>
      </c>
      <c r="FR345" s="15">
        <f>FQ345*SQRT(AR345)</f>
        <v>0.10392304845413262</v>
      </c>
      <c r="FS345" s="15">
        <f t="shared" si="285"/>
        <v>1.1646778042959425</v>
      </c>
      <c r="FT345" s="15">
        <f t="shared" si="286"/>
        <v>0.6899999999999995</v>
      </c>
      <c r="FU345" s="15">
        <f t="shared" si="287"/>
        <v>0.15244448593100923</v>
      </c>
      <c r="FV345" s="15">
        <f>((FR345*FR345)/(AR345*FP345*FP345)+(FO345*FO345)/(AR345*FM345*FM345))</f>
        <v>2.4230545470435485E-4</v>
      </c>
      <c r="GI345" s="15"/>
      <c r="GJ345" s="15"/>
      <c r="GK345" s="15"/>
      <c r="GL345" s="15"/>
      <c r="GM345" s="15"/>
      <c r="GN345" s="15"/>
      <c r="GO345" s="15"/>
      <c r="GP345" s="15"/>
      <c r="GQ345" s="15"/>
      <c r="GR345" s="15"/>
      <c r="HY345" s="15">
        <f t="shared" si="323"/>
        <v>22500</v>
      </c>
      <c r="HZ345" s="15">
        <f t="shared" si="323"/>
        <v>10</v>
      </c>
      <c r="IA345" s="15">
        <f t="shared" si="323"/>
        <v>12375.000000000002</v>
      </c>
    </row>
    <row r="346" spans="1:235" x14ac:dyDescent="0.25">
      <c r="A346" s="31">
        <v>344</v>
      </c>
      <c r="B346" s="1">
        <v>65</v>
      </c>
      <c r="C346" s="1">
        <v>69</v>
      </c>
      <c r="D346" s="15" t="s">
        <v>305</v>
      </c>
      <c r="E346" s="1">
        <v>6</v>
      </c>
      <c r="F346" s="15" t="s">
        <v>1181</v>
      </c>
      <c r="G346" s="15" t="s">
        <v>1148</v>
      </c>
      <c r="H346" s="15" t="s">
        <v>818</v>
      </c>
      <c r="I346" s="1">
        <v>2012</v>
      </c>
      <c r="J346" s="15" t="s">
        <v>816</v>
      </c>
      <c r="K346" s="1">
        <v>2011</v>
      </c>
      <c r="L346" s="15" t="s">
        <v>819</v>
      </c>
      <c r="M346" s="15" t="s">
        <v>480</v>
      </c>
      <c r="N346" s="15" t="s">
        <v>23</v>
      </c>
      <c r="O346" s="31">
        <v>2</v>
      </c>
      <c r="P346" s="15">
        <v>31.1</v>
      </c>
      <c r="Q346" s="15">
        <v>119.13</v>
      </c>
      <c r="R346" s="23"/>
      <c r="S346" s="23"/>
      <c r="T346" s="23"/>
      <c r="U346" s="15" t="s">
        <v>807</v>
      </c>
      <c r="V346" s="31">
        <v>2</v>
      </c>
      <c r="W346" s="15" t="s">
        <v>1149</v>
      </c>
      <c r="X346" s="23"/>
      <c r="Y346" s="55"/>
      <c r="Z346" s="15">
        <v>4.38</v>
      </c>
      <c r="AA346" s="15" t="s">
        <v>573</v>
      </c>
      <c r="AB346" s="15">
        <f t="shared" si="304"/>
        <v>4.38</v>
      </c>
      <c r="AC346" s="1">
        <v>1</v>
      </c>
      <c r="AD346" s="15">
        <v>17.2</v>
      </c>
      <c r="AE346" s="15"/>
      <c r="AF346" s="15">
        <v>9.7199999999999989</v>
      </c>
      <c r="AH346" s="15">
        <v>54.732510288065839</v>
      </c>
      <c r="AJ346" s="15">
        <v>17.8</v>
      </c>
      <c r="AK346" s="15">
        <v>74.5</v>
      </c>
      <c r="AL346" s="15">
        <v>7.7</v>
      </c>
      <c r="AM346" s="1">
        <v>2</v>
      </c>
      <c r="AP346" s="15" t="s">
        <v>1150</v>
      </c>
      <c r="AQ346" s="1">
        <v>1</v>
      </c>
      <c r="AR346" s="1">
        <v>3</v>
      </c>
      <c r="DB346" s="15" t="s">
        <v>717</v>
      </c>
      <c r="DC346" s="15"/>
      <c r="DD346" s="15">
        <v>10</v>
      </c>
      <c r="DE346" s="15">
        <f t="shared" ref="DE346:DE361" si="324">DD346*2250</f>
        <v>22500</v>
      </c>
      <c r="DF346" s="15" t="s">
        <v>766</v>
      </c>
      <c r="DG346" s="15"/>
      <c r="DH346" s="15"/>
      <c r="DI346" s="15"/>
      <c r="DJ346" s="15">
        <v>421</v>
      </c>
      <c r="DK346" s="15">
        <v>45</v>
      </c>
      <c r="DL346" s="15">
        <v>0.7</v>
      </c>
      <c r="DM346" s="15"/>
      <c r="DN346" s="15"/>
      <c r="DO346" s="15"/>
      <c r="DP346" s="15"/>
      <c r="DQ346" s="15"/>
      <c r="DR346" s="15">
        <v>20.9</v>
      </c>
      <c r="DS346" s="15">
        <f>DE346</f>
        <v>22500</v>
      </c>
      <c r="DT346" s="15">
        <f t="shared" ref="DT346:DT361" si="325">DS346/0.6/1000</f>
        <v>37.5</v>
      </c>
      <c r="DU346" s="15">
        <f t="shared" ref="DU346:DU361" si="326">DS346*0.2</f>
        <v>4500</v>
      </c>
      <c r="DV346" s="1">
        <v>8.48</v>
      </c>
      <c r="DW346" s="1" t="s">
        <v>938</v>
      </c>
      <c r="DX346" s="1">
        <v>5</v>
      </c>
      <c r="DY346" s="15">
        <f t="shared" si="319"/>
        <v>11250</v>
      </c>
      <c r="DZ346" s="15" t="s">
        <v>766</v>
      </c>
      <c r="EA346" s="1"/>
      <c r="EB346" s="1"/>
      <c r="EC346" s="1">
        <v>242.46</v>
      </c>
      <c r="ED346" s="1">
        <v>59.34</v>
      </c>
      <c r="EE346" s="1">
        <v>0.03</v>
      </c>
      <c r="EF346" s="1">
        <v>39.159999999999997</v>
      </c>
      <c r="EG346" s="1">
        <v>0.59</v>
      </c>
      <c r="EH346" s="1">
        <v>121.49</v>
      </c>
      <c r="ES346" s="15">
        <f t="shared" si="320"/>
        <v>11250</v>
      </c>
      <c r="ET346" s="15">
        <f t="shared" si="321"/>
        <v>5</v>
      </c>
      <c r="EU346" s="15">
        <f t="shared" si="322"/>
        <v>6187.5000000000009</v>
      </c>
      <c r="EW346" s="46">
        <f>AX346+BT346+CF346+DE346+DY346</f>
        <v>33750</v>
      </c>
      <c r="EX346" s="46">
        <f>BA346+BZ346+CZ346+DT346+ET346</f>
        <v>42.5</v>
      </c>
      <c r="EY346" s="46">
        <f>BB346+CA346+DA346+DU346+EU346</f>
        <v>10687.5</v>
      </c>
      <c r="FK346" s="16">
        <f t="shared" si="305"/>
        <v>4.18</v>
      </c>
      <c r="FL346" s="16">
        <f t="shared" si="306"/>
        <v>4.91</v>
      </c>
      <c r="FM346" s="15">
        <v>4.18</v>
      </c>
      <c r="FN346" s="15">
        <v>0.04</v>
      </c>
      <c r="FO346" s="15">
        <f>FN346*SQRT(AR346)</f>
        <v>6.9282032302755092E-2</v>
      </c>
      <c r="FP346" s="15">
        <v>4.91</v>
      </c>
      <c r="FQ346" s="15">
        <v>0.05</v>
      </c>
      <c r="FR346" s="15">
        <f>FQ346*SQRT(AR346)</f>
        <v>8.6602540378443865E-2</v>
      </c>
      <c r="FS346" s="15">
        <f t="shared" si="285"/>
        <v>1.1746411483253589</v>
      </c>
      <c r="FT346" s="15">
        <f t="shared" si="286"/>
        <v>0.73000000000000043</v>
      </c>
      <c r="FU346" s="15">
        <f t="shared" si="287"/>
        <v>0.16096269526976426</v>
      </c>
      <c r="FV346" s="15">
        <f>((FR346*FR346)/(AR346*FP346*FP346)+(FO346*FO346)/(AR346*FM346*FM346))</f>
        <v>1.9527258156978725E-4</v>
      </c>
      <c r="GI346" s="15">
        <v>4.75</v>
      </c>
      <c r="GJ346" s="15">
        <v>0.05</v>
      </c>
      <c r="GK346" s="15">
        <f>GJ346*SQRT(AR163)</f>
        <v>8.6602540378443865E-2</v>
      </c>
      <c r="GL346" s="15">
        <v>6.21</v>
      </c>
      <c r="GM346" s="15">
        <v>6.2100000000000002E-2</v>
      </c>
      <c r="GN346" s="15">
        <f>GM346*SQRT(AR163)</f>
        <v>0.10756035515002728</v>
      </c>
      <c r="GO346" s="15">
        <f t="shared" ref="GO346:GO361" si="327">GL346/GI346</f>
        <v>1.3073684210526315</v>
      </c>
      <c r="GP346" s="15">
        <f t="shared" ref="GP346:GP361" si="328">GL346-GI346</f>
        <v>1.46</v>
      </c>
      <c r="GQ346" s="15">
        <f t="shared" ref="GQ346:GQ361" si="329">LN(GL346)-LN(GI346)</f>
        <v>0.26801627789883753</v>
      </c>
      <c r="GR346" s="15">
        <f>((GN346*GN346)/(AR163*GL346*GL346)+(GK346*GK346)/(AR163*GI346*GI346))</f>
        <v>2.1080332409972299E-4</v>
      </c>
      <c r="HY346" s="15">
        <f t="shared" ref="HY346:HY361" si="330">EW346</f>
        <v>33750</v>
      </c>
      <c r="HZ346" s="15">
        <f t="shared" ref="HZ346:HZ361" si="331">EX346</f>
        <v>42.5</v>
      </c>
      <c r="IA346" s="15">
        <f t="shared" ref="IA346:IA361" si="332">EY346</f>
        <v>10687.5</v>
      </c>
    </row>
    <row r="347" spans="1:235" x14ac:dyDescent="0.25">
      <c r="A347" s="31">
        <v>345</v>
      </c>
      <c r="B347" s="1">
        <v>65</v>
      </c>
      <c r="C347" s="1">
        <v>69</v>
      </c>
      <c r="D347" s="15" t="s">
        <v>306</v>
      </c>
      <c r="E347" s="1">
        <v>6</v>
      </c>
      <c r="F347" s="15" t="s">
        <v>1181</v>
      </c>
      <c r="G347" s="15" t="s">
        <v>1148</v>
      </c>
      <c r="H347" s="15" t="s">
        <v>818</v>
      </c>
      <c r="I347" s="1">
        <v>2012</v>
      </c>
      <c r="J347" s="15" t="s">
        <v>816</v>
      </c>
      <c r="K347" s="1">
        <v>2011</v>
      </c>
      <c r="L347" s="15" t="s">
        <v>819</v>
      </c>
      <c r="M347" s="15" t="s">
        <v>480</v>
      </c>
      <c r="N347" s="15" t="s">
        <v>23</v>
      </c>
      <c r="O347" s="31">
        <v>2</v>
      </c>
      <c r="P347" s="15">
        <v>31.1</v>
      </c>
      <c r="Q347" s="15">
        <v>119.13</v>
      </c>
      <c r="R347" s="23"/>
      <c r="S347" s="23"/>
      <c r="T347" s="23"/>
      <c r="U347" s="15" t="s">
        <v>807</v>
      </c>
      <c r="V347" s="31">
        <v>2</v>
      </c>
      <c r="W347" s="15" t="s">
        <v>1149</v>
      </c>
      <c r="X347" s="23"/>
      <c r="Y347" s="55"/>
      <c r="Z347" s="15">
        <v>4.38</v>
      </c>
      <c r="AA347" s="15" t="s">
        <v>573</v>
      </c>
      <c r="AB347" s="15">
        <f t="shared" si="304"/>
        <v>4.38</v>
      </c>
      <c r="AC347" s="1">
        <v>1</v>
      </c>
      <c r="AD347" s="15">
        <v>17.2</v>
      </c>
      <c r="AE347" s="15"/>
      <c r="AF347" s="15">
        <v>9.7199999999999989</v>
      </c>
      <c r="AH347" s="15">
        <v>54.732510288065839</v>
      </c>
      <c r="AJ347" s="15">
        <v>17.8</v>
      </c>
      <c r="AK347" s="15">
        <v>74.5</v>
      </c>
      <c r="AL347" s="15">
        <v>7.7</v>
      </c>
      <c r="AM347" s="1">
        <v>2</v>
      </c>
      <c r="AP347" s="15" t="s">
        <v>1150</v>
      </c>
      <c r="AQ347" s="1">
        <v>1</v>
      </c>
      <c r="AR347" s="1">
        <v>3</v>
      </c>
      <c r="DB347" s="15" t="s">
        <v>835</v>
      </c>
      <c r="DC347" s="15"/>
      <c r="DD347" s="15">
        <v>10</v>
      </c>
      <c r="DE347" s="15">
        <f t="shared" si="324"/>
        <v>22500</v>
      </c>
      <c r="DF347" s="15" t="s">
        <v>766</v>
      </c>
      <c r="DG347" s="15"/>
      <c r="DH347" s="15"/>
      <c r="DI347" s="15"/>
      <c r="DJ347" s="15">
        <v>418</v>
      </c>
      <c r="DK347" s="15">
        <v>86</v>
      </c>
      <c r="DL347" s="15">
        <v>1.1000000000000001</v>
      </c>
      <c r="DM347" s="15"/>
      <c r="DN347" s="15"/>
      <c r="DO347" s="15"/>
      <c r="DP347" s="15"/>
      <c r="DQ347" s="15"/>
      <c r="DR347" s="15">
        <v>29.3</v>
      </c>
      <c r="DS347" s="15">
        <f>DE347</f>
        <v>22500</v>
      </c>
      <c r="DT347" s="15">
        <f t="shared" si="325"/>
        <v>37.5</v>
      </c>
      <c r="DU347" s="15">
        <f t="shared" si="326"/>
        <v>4500</v>
      </c>
      <c r="DV347" s="1">
        <v>8.48</v>
      </c>
      <c r="DW347" s="1" t="s">
        <v>938</v>
      </c>
      <c r="DX347" s="1">
        <v>5</v>
      </c>
      <c r="DY347" s="15">
        <f t="shared" si="319"/>
        <v>11250</v>
      </c>
      <c r="DZ347" s="15" t="s">
        <v>766</v>
      </c>
      <c r="EA347" s="1"/>
      <c r="EB347" s="1"/>
      <c r="EC347" s="1">
        <v>242.46</v>
      </c>
      <c r="ED347" s="1">
        <v>59.34</v>
      </c>
      <c r="EE347" s="1">
        <v>0.03</v>
      </c>
      <c r="EF347" s="1">
        <v>39.159999999999997</v>
      </c>
      <c r="EG347" s="1">
        <v>0.59</v>
      </c>
      <c r="EH347" s="1">
        <v>121.49</v>
      </c>
      <c r="ES347" s="15">
        <f t="shared" si="320"/>
        <v>11250</v>
      </c>
      <c r="ET347" s="15">
        <f t="shared" si="321"/>
        <v>5</v>
      </c>
      <c r="EU347" s="15">
        <f t="shared" si="322"/>
        <v>6187.5000000000009</v>
      </c>
      <c r="EW347" s="46">
        <f>AX347+BT347+CF347+DE347+DY347</f>
        <v>33750</v>
      </c>
      <c r="EX347" s="46">
        <f>BA347+BZ347+CZ347+DT347+ET347</f>
        <v>42.5</v>
      </c>
      <c r="EY347" s="46">
        <f>BB347+CA347+DA347+DU347+EU347</f>
        <v>10687.5</v>
      </c>
      <c r="FK347" s="16">
        <f t="shared" si="305"/>
        <v>4.18</v>
      </c>
      <c r="FL347" s="16">
        <f t="shared" si="306"/>
        <v>4.6399999999999997</v>
      </c>
      <c r="FM347" s="15">
        <v>4.18</v>
      </c>
      <c r="FN347" s="15">
        <v>0.04</v>
      </c>
      <c r="FO347" s="15">
        <f>FN347*SQRT(AR347)</f>
        <v>6.9282032302755092E-2</v>
      </c>
      <c r="FP347" s="15">
        <v>4.6399999999999997</v>
      </c>
      <c r="FQ347" s="15">
        <v>0.05</v>
      </c>
      <c r="FR347" s="15">
        <f>FQ347*SQRT(AR347)</f>
        <v>8.6602540378443865E-2</v>
      </c>
      <c r="FS347" s="15">
        <f t="shared" si="285"/>
        <v>1.1100478468899522</v>
      </c>
      <c r="FT347" s="15">
        <f t="shared" si="286"/>
        <v>0.45999999999999996</v>
      </c>
      <c r="FU347" s="15">
        <f t="shared" si="287"/>
        <v>0.10440311970149896</v>
      </c>
      <c r="FV347" s="15">
        <f>((FR347*FR347)/(AR347*FP347*FP347)+(FO347*FO347)/(AR347*FM347*FM347))</f>
        <v>2.0769219845310783E-4</v>
      </c>
      <c r="GI347" s="15">
        <v>4.75</v>
      </c>
      <c r="GJ347" s="15">
        <v>0.05</v>
      </c>
      <c r="GK347" s="15">
        <f>GJ347*SQRT(AR164)</f>
        <v>8.6602540378443865E-2</v>
      </c>
      <c r="GL347" s="15">
        <v>6.4</v>
      </c>
      <c r="GM347" s="15">
        <v>6.4000000000000001E-2</v>
      </c>
      <c r="GN347" s="15">
        <f>GM347*SQRT(AR164)</f>
        <v>0.11085125168440814</v>
      </c>
      <c r="GO347" s="15">
        <f t="shared" si="327"/>
        <v>1.3473684210526315</v>
      </c>
      <c r="GP347" s="15">
        <f t="shared" si="328"/>
        <v>1.6500000000000004</v>
      </c>
      <c r="GQ347" s="15">
        <f t="shared" si="329"/>
        <v>0.29815337231907635</v>
      </c>
      <c r="GR347" s="15">
        <f>((GN347*GN347)/(AR164*GL347*GL347)+(GK347*GK347)/(AR164*GI347*GI347))</f>
        <v>2.1080332409972294E-4</v>
      </c>
      <c r="HY347" s="15">
        <f t="shared" si="330"/>
        <v>33750</v>
      </c>
      <c r="HZ347" s="15">
        <f t="shared" si="331"/>
        <v>42.5</v>
      </c>
      <c r="IA347" s="15">
        <f t="shared" si="332"/>
        <v>10687.5</v>
      </c>
    </row>
    <row r="348" spans="1:235" x14ac:dyDescent="0.25">
      <c r="A348" s="31">
        <v>346</v>
      </c>
      <c r="B348" s="1">
        <v>65</v>
      </c>
      <c r="C348" s="1">
        <v>69</v>
      </c>
      <c r="D348" s="15" t="s">
        <v>307</v>
      </c>
      <c r="E348" s="1">
        <v>6</v>
      </c>
      <c r="F348" s="15" t="s">
        <v>1181</v>
      </c>
      <c r="G348" s="15" t="s">
        <v>1148</v>
      </c>
      <c r="H348" s="15" t="s">
        <v>818</v>
      </c>
      <c r="I348" s="1">
        <v>2012</v>
      </c>
      <c r="J348" s="15" t="s">
        <v>816</v>
      </c>
      <c r="K348" s="1">
        <v>2011</v>
      </c>
      <c r="L348" s="15" t="s">
        <v>819</v>
      </c>
      <c r="M348" s="15" t="s">
        <v>480</v>
      </c>
      <c r="N348" s="15" t="s">
        <v>23</v>
      </c>
      <c r="O348" s="31">
        <v>2</v>
      </c>
      <c r="P348" s="15">
        <v>31.1</v>
      </c>
      <c r="Q348" s="15">
        <v>119.13</v>
      </c>
      <c r="R348" s="23"/>
      <c r="S348" s="23"/>
      <c r="T348" s="23"/>
      <c r="U348" s="15" t="s">
        <v>807</v>
      </c>
      <c r="V348" s="31">
        <v>2</v>
      </c>
      <c r="W348" s="15" t="s">
        <v>1149</v>
      </c>
      <c r="X348" s="23"/>
      <c r="Y348" s="55"/>
      <c r="Z348" s="15">
        <v>4.38</v>
      </c>
      <c r="AA348" s="15" t="s">
        <v>573</v>
      </c>
      <c r="AB348" s="15">
        <f t="shared" si="304"/>
        <v>4.38</v>
      </c>
      <c r="AC348" s="1">
        <v>1</v>
      </c>
      <c r="AD348" s="15">
        <v>17.2</v>
      </c>
      <c r="AE348" s="15"/>
      <c r="AF348" s="15">
        <v>9.7199999999999989</v>
      </c>
      <c r="AH348" s="15">
        <v>54.732510288065839</v>
      </c>
      <c r="AJ348" s="15">
        <v>17.8</v>
      </c>
      <c r="AK348" s="15">
        <v>74.5</v>
      </c>
      <c r="AL348" s="15">
        <v>7.7</v>
      </c>
      <c r="AM348" s="1">
        <v>2</v>
      </c>
      <c r="AP348" s="15" t="s">
        <v>1150</v>
      </c>
      <c r="AQ348" s="1">
        <v>1</v>
      </c>
      <c r="AR348" s="1">
        <v>3</v>
      </c>
      <c r="DB348" s="15" t="s">
        <v>896</v>
      </c>
      <c r="DC348" s="15"/>
      <c r="DD348" s="15">
        <v>10</v>
      </c>
      <c r="DE348" s="15">
        <f t="shared" si="324"/>
        <v>22500</v>
      </c>
      <c r="DF348" s="15" t="s">
        <v>766</v>
      </c>
      <c r="DG348" s="15"/>
      <c r="DH348" s="15"/>
      <c r="DI348" s="15"/>
      <c r="DJ348" s="15">
        <v>419</v>
      </c>
      <c r="DK348" s="15">
        <v>16</v>
      </c>
      <c r="DL348" s="15">
        <v>2.4</v>
      </c>
      <c r="DM348" s="15"/>
      <c r="DN348" s="15"/>
      <c r="DO348" s="15"/>
      <c r="DP348" s="15"/>
      <c r="DQ348" s="15"/>
      <c r="DR348" s="15">
        <v>76.19</v>
      </c>
      <c r="DS348" s="15">
        <f>DE348</f>
        <v>22500</v>
      </c>
      <c r="DT348" s="15">
        <f t="shared" si="325"/>
        <v>37.5</v>
      </c>
      <c r="DU348" s="15">
        <f t="shared" si="326"/>
        <v>4500</v>
      </c>
      <c r="DV348" s="1">
        <v>8.48</v>
      </c>
      <c r="DW348" s="1" t="s">
        <v>938</v>
      </c>
      <c r="DX348" s="1">
        <v>5</v>
      </c>
      <c r="DY348" s="15">
        <f t="shared" si="319"/>
        <v>11250</v>
      </c>
      <c r="DZ348" s="15" t="s">
        <v>766</v>
      </c>
      <c r="EA348" s="1"/>
      <c r="EB348" s="1"/>
      <c r="EC348" s="1">
        <v>242.46</v>
      </c>
      <c r="ED348" s="1">
        <v>59.34</v>
      </c>
      <c r="EE348" s="1">
        <v>0.03</v>
      </c>
      <c r="EF348" s="1">
        <v>39.159999999999997</v>
      </c>
      <c r="EG348" s="1">
        <v>0.59</v>
      </c>
      <c r="EH348" s="1">
        <v>121.49</v>
      </c>
      <c r="ES348" s="15">
        <f t="shared" si="320"/>
        <v>11250</v>
      </c>
      <c r="ET348" s="15">
        <f t="shared" si="321"/>
        <v>5</v>
      </c>
      <c r="EU348" s="15">
        <f t="shared" si="322"/>
        <v>6187.5000000000009</v>
      </c>
      <c r="EW348" s="46">
        <f>AX348+BT348+CF348+DE348+DY348</f>
        <v>33750</v>
      </c>
      <c r="EX348" s="46">
        <f>BA348+BZ348+CZ348+DT348+ET348</f>
        <v>42.5</v>
      </c>
      <c r="EY348" s="46">
        <f>BB348+CA348+DA348+DU348+EU348</f>
        <v>10687.5</v>
      </c>
      <c r="FK348" s="16">
        <f t="shared" si="305"/>
        <v>4.18</v>
      </c>
      <c r="FL348" s="16">
        <f t="shared" si="306"/>
        <v>4.9000000000000004</v>
      </c>
      <c r="FM348" s="15">
        <v>4.18</v>
      </c>
      <c r="FN348" s="15">
        <v>0.04</v>
      </c>
      <c r="FO348" s="15">
        <f>FN348*SQRT(AR348)</f>
        <v>6.9282032302755092E-2</v>
      </c>
      <c r="FP348" s="15">
        <v>4.9000000000000004</v>
      </c>
      <c r="FQ348" s="15">
        <v>0.05</v>
      </c>
      <c r="FR348" s="15">
        <f>FQ348*SQRT(AR348)</f>
        <v>8.6602540378443865E-2</v>
      </c>
      <c r="FS348" s="15">
        <f t="shared" si="285"/>
        <v>1.1722488038277514</v>
      </c>
      <c r="FT348" s="15">
        <f t="shared" si="286"/>
        <v>0.72000000000000064</v>
      </c>
      <c r="FU348" s="15">
        <f t="shared" si="287"/>
        <v>0.15892395857991604</v>
      </c>
      <c r="FV348" s="15">
        <f>((FR348*FR348)/(AR348*FP348*FP348)+(FO348*FO348)/(AR348*FM348*FM348))</f>
        <v>1.9569627708958557E-4</v>
      </c>
      <c r="GI348" s="15">
        <v>4.75</v>
      </c>
      <c r="GJ348" s="15">
        <v>0.05</v>
      </c>
      <c r="GK348" s="15">
        <f>GJ348*SQRT(AR165)</f>
        <v>8.6602540378443865E-2</v>
      </c>
      <c r="GL348" s="15">
        <v>9.4600000000000009</v>
      </c>
      <c r="GM348" s="15">
        <v>9.4600000000000017E-2</v>
      </c>
      <c r="GN348" s="15">
        <f>GM348*SQRT(AR165)</f>
        <v>0.16385200639601583</v>
      </c>
      <c r="GO348" s="15">
        <f t="shared" si="327"/>
        <v>1.9915789473684213</v>
      </c>
      <c r="GP348" s="15">
        <f t="shared" si="328"/>
        <v>4.7100000000000009</v>
      </c>
      <c r="GQ348" s="15">
        <f t="shared" si="329"/>
        <v>0.68892776501723718</v>
      </c>
      <c r="GR348" s="15">
        <f>((GN348*GN348)/(AR165*GL348*GL348)+(GK348*GK348)/(AR165*GI348*GI348))</f>
        <v>2.1080332409972299E-4</v>
      </c>
      <c r="HY348" s="15">
        <f t="shared" si="330"/>
        <v>33750</v>
      </c>
      <c r="HZ348" s="15">
        <f t="shared" si="331"/>
        <v>42.5</v>
      </c>
      <c r="IA348" s="15">
        <f t="shared" si="332"/>
        <v>10687.5</v>
      </c>
    </row>
    <row r="349" spans="1:235" x14ac:dyDescent="0.25">
      <c r="A349" s="31">
        <v>347</v>
      </c>
      <c r="B349" s="1">
        <v>65</v>
      </c>
      <c r="C349" s="1">
        <v>69</v>
      </c>
      <c r="D349" s="15" t="s">
        <v>308</v>
      </c>
      <c r="E349" s="1">
        <v>6</v>
      </c>
      <c r="F349" s="15" t="s">
        <v>1181</v>
      </c>
      <c r="G349" s="15" t="s">
        <v>1148</v>
      </c>
      <c r="H349" s="15" t="s">
        <v>818</v>
      </c>
      <c r="I349" s="1">
        <v>2012</v>
      </c>
      <c r="J349" s="15" t="s">
        <v>816</v>
      </c>
      <c r="K349" s="1">
        <v>2011</v>
      </c>
      <c r="L349" s="15" t="s">
        <v>819</v>
      </c>
      <c r="M349" s="15" t="s">
        <v>480</v>
      </c>
      <c r="N349" s="15" t="s">
        <v>23</v>
      </c>
      <c r="O349" s="31">
        <v>2</v>
      </c>
      <c r="P349" s="15">
        <v>31.1</v>
      </c>
      <c r="Q349" s="15">
        <v>119.13</v>
      </c>
      <c r="R349" s="23"/>
      <c r="S349" s="23"/>
      <c r="T349" s="23"/>
      <c r="U349" s="15" t="s">
        <v>807</v>
      </c>
      <c r="V349" s="31">
        <v>2</v>
      </c>
      <c r="W349" s="15" t="s">
        <v>1149</v>
      </c>
      <c r="X349" s="23"/>
      <c r="Y349" s="55"/>
      <c r="Z349" s="15">
        <v>4.38</v>
      </c>
      <c r="AA349" s="15" t="s">
        <v>573</v>
      </c>
      <c r="AB349" s="15">
        <f t="shared" si="304"/>
        <v>4.38</v>
      </c>
      <c r="AC349" s="1">
        <v>1</v>
      </c>
      <c r="AD349" s="15">
        <v>17.2</v>
      </c>
      <c r="AE349" s="15"/>
      <c r="AF349" s="15">
        <v>9.7199999999999989</v>
      </c>
      <c r="AH349" s="15">
        <v>54.732510288065839</v>
      </c>
      <c r="AJ349" s="15">
        <v>17.8</v>
      </c>
      <c r="AK349" s="15">
        <v>74.5</v>
      </c>
      <c r="AL349" s="15">
        <v>7.7</v>
      </c>
      <c r="AM349" s="1">
        <v>2</v>
      </c>
      <c r="AP349" s="15" t="s">
        <v>1150</v>
      </c>
      <c r="AQ349" s="1">
        <v>1</v>
      </c>
      <c r="AR349" s="1">
        <v>3</v>
      </c>
      <c r="DB349" s="15" t="s">
        <v>1151</v>
      </c>
      <c r="DC349" s="15"/>
      <c r="DD349" s="15">
        <v>10</v>
      </c>
      <c r="DE349" s="15">
        <f t="shared" si="324"/>
        <v>22500</v>
      </c>
      <c r="DF349" s="15" t="s">
        <v>766</v>
      </c>
      <c r="DG349" s="15"/>
      <c r="DH349" s="15"/>
      <c r="DI349" s="15"/>
      <c r="DJ349" s="15">
        <v>408</v>
      </c>
      <c r="DK349" s="15">
        <v>54</v>
      </c>
      <c r="DL349" s="15">
        <v>5.0999999999999996</v>
      </c>
      <c r="DM349" s="15"/>
      <c r="DN349" s="15"/>
      <c r="DO349" s="15"/>
      <c r="DP349" s="15"/>
      <c r="DQ349" s="15"/>
      <c r="DR349" s="15">
        <v>77.819999999999993</v>
      </c>
      <c r="DS349" s="15">
        <f>DE349</f>
        <v>22500</v>
      </c>
      <c r="DT349" s="15">
        <f t="shared" si="325"/>
        <v>37.5</v>
      </c>
      <c r="DU349" s="15">
        <f t="shared" si="326"/>
        <v>4500</v>
      </c>
      <c r="DV349" s="1">
        <v>8.48</v>
      </c>
      <c r="DW349" s="1" t="s">
        <v>938</v>
      </c>
      <c r="DX349" s="1">
        <v>5</v>
      </c>
      <c r="DY349" s="15">
        <f t="shared" si="319"/>
        <v>11250</v>
      </c>
      <c r="DZ349" s="15" t="s">
        <v>766</v>
      </c>
      <c r="EA349" s="1"/>
      <c r="EB349" s="1"/>
      <c r="EC349" s="1">
        <v>242.46</v>
      </c>
      <c r="ED349" s="1">
        <v>59.34</v>
      </c>
      <c r="EE349" s="1">
        <v>0.03</v>
      </c>
      <c r="EF349" s="1">
        <v>39.159999999999997</v>
      </c>
      <c r="EG349" s="1">
        <v>0.59</v>
      </c>
      <c r="EH349" s="1">
        <v>121.49</v>
      </c>
      <c r="ES349" s="15">
        <f t="shared" si="320"/>
        <v>11250</v>
      </c>
      <c r="ET349" s="15">
        <f t="shared" si="321"/>
        <v>5</v>
      </c>
      <c r="EU349" s="15">
        <f t="shared" si="322"/>
        <v>6187.5000000000009</v>
      </c>
      <c r="EW349" s="46">
        <f>AX349+BT349+CF349+DE349+DY349</f>
        <v>33750</v>
      </c>
      <c r="EX349" s="46">
        <f>BA349+BZ349+CZ349+DT349+ET349</f>
        <v>42.5</v>
      </c>
      <c r="EY349" s="46">
        <f>BB349+CA349+DA349+DU349+EU349</f>
        <v>10687.5</v>
      </c>
      <c r="FK349" s="16">
        <f t="shared" si="305"/>
        <v>4.18</v>
      </c>
      <c r="FL349" s="16">
        <f t="shared" si="306"/>
        <v>4.1900000000000004</v>
      </c>
      <c r="FM349" s="15">
        <v>4.18</v>
      </c>
      <c r="FN349" s="15">
        <v>0.04</v>
      </c>
      <c r="FO349" s="15">
        <f>FN349*SQRT(AR349)</f>
        <v>6.9282032302755092E-2</v>
      </c>
      <c r="FP349" s="15">
        <v>4.1900000000000004</v>
      </c>
      <c r="FQ349" s="15">
        <v>0.05</v>
      </c>
      <c r="FR349" s="15">
        <f>FQ349*SQRT(AR349)</f>
        <v>8.6602540378443865E-2</v>
      </c>
      <c r="FS349" s="15">
        <f t="shared" ref="FS349:FS364" si="333">FP349/FM349</f>
        <v>1.0023923444976077</v>
      </c>
      <c r="FT349" s="15">
        <f t="shared" ref="FT349:FT364" si="334">FP349-FM349</f>
        <v>1.0000000000000675E-2</v>
      </c>
      <c r="FU349" s="15">
        <f t="shared" ref="FU349:FU364" si="335">LN(FP349)-LN(FM349)</f>
        <v>2.38948739738154E-3</v>
      </c>
      <c r="FV349" s="15">
        <f>((FR349*FR349)/(AR349*FP349*FP349)+(FO349*FO349)/(AR349*FM349*FM349))</f>
        <v>2.3397364219227831E-4</v>
      </c>
      <c r="GI349" s="15">
        <v>4.75</v>
      </c>
      <c r="GJ349" s="15">
        <v>0.05</v>
      </c>
      <c r="GK349" s="15">
        <f>GJ349*SQRT(AR166)</f>
        <v>8.6602540378443865E-2</v>
      </c>
      <c r="GL349" s="15">
        <v>9.57</v>
      </c>
      <c r="GM349" s="15">
        <v>9.5700000000000007E-2</v>
      </c>
      <c r="GN349" s="15">
        <f>GM349*SQRT(AR166)</f>
        <v>0.16575726228434157</v>
      </c>
      <c r="GO349" s="15">
        <f t="shared" si="327"/>
        <v>2.0147368421052634</v>
      </c>
      <c r="GP349" s="15">
        <f t="shared" si="328"/>
        <v>4.82</v>
      </c>
      <c r="GQ349" s="15">
        <f t="shared" si="329"/>
        <v>0.7004885874183131</v>
      </c>
      <c r="GR349" s="15">
        <f>((GN349*GN349)/(AR166*GL349*GL349)+(GK349*GK349)/(AR166*GI349*GI349))</f>
        <v>2.1080332409972299E-4</v>
      </c>
      <c r="HY349" s="15">
        <f t="shared" si="330"/>
        <v>33750</v>
      </c>
      <c r="HZ349" s="15">
        <f t="shared" si="331"/>
        <v>42.5</v>
      </c>
      <c r="IA349" s="15">
        <f t="shared" si="332"/>
        <v>10687.5</v>
      </c>
    </row>
    <row r="350" spans="1:235" x14ac:dyDescent="0.25">
      <c r="A350" s="31">
        <v>348</v>
      </c>
      <c r="B350" s="1">
        <v>65</v>
      </c>
      <c r="C350" s="1">
        <v>69</v>
      </c>
      <c r="D350" s="15" t="s">
        <v>309</v>
      </c>
      <c r="E350" s="1">
        <v>6</v>
      </c>
      <c r="F350" s="15" t="s">
        <v>1181</v>
      </c>
      <c r="G350" s="15" t="s">
        <v>1148</v>
      </c>
      <c r="H350" s="15" t="s">
        <v>818</v>
      </c>
      <c r="I350" s="1">
        <v>2012</v>
      </c>
      <c r="J350" s="15" t="s">
        <v>816</v>
      </c>
      <c r="K350" s="1">
        <v>2011</v>
      </c>
      <c r="L350" s="15" t="s">
        <v>819</v>
      </c>
      <c r="M350" s="15" t="s">
        <v>480</v>
      </c>
      <c r="N350" s="15" t="s">
        <v>23</v>
      </c>
      <c r="O350" s="31">
        <v>2</v>
      </c>
      <c r="P350" s="15">
        <v>31.1</v>
      </c>
      <c r="Q350" s="15">
        <v>119.13</v>
      </c>
      <c r="R350" s="23"/>
      <c r="S350" s="23"/>
      <c r="T350" s="23"/>
      <c r="U350" s="15" t="s">
        <v>807</v>
      </c>
      <c r="V350" s="31">
        <v>2</v>
      </c>
      <c r="W350" s="15" t="s">
        <v>1149</v>
      </c>
      <c r="X350" s="23"/>
      <c r="Y350" s="55"/>
      <c r="Z350" s="15">
        <v>4.38</v>
      </c>
      <c r="AA350" s="15" t="s">
        <v>573</v>
      </c>
      <c r="AB350" s="15">
        <f t="shared" si="304"/>
        <v>4.38</v>
      </c>
      <c r="AC350" s="1">
        <v>1</v>
      </c>
      <c r="AD350" s="15">
        <v>17.2</v>
      </c>
      <c r="AE350" s="15"/>
      <c r="AF350" s="15">
        <v>9.7199999999999989</v>
      </c>
      <c r="AH350" s="15">
        <v>54.732510288065839</v>
      </c>
      <c r="AJ350" s="15">
        <v>17.8</v>
      </c>
      <c r="AK350" s="15">
        <v>74.5</v>
      </c>
      <c r="AL350" s="15">
        <v>7.7</v>
      </c>
      <c r="AM350" s="1">
        <v>2</v>
      </c>
      <c r="AP350" s="15" t="s">
        <v>1150</v>
      </c>
      <c r="AQ350" s="1">
        <v>1</v>
      </c>
      <c r="AR350" s="1">
        <v>3</v>
      </c>
      <c r="DB350" s="15" t="s">
        <v>717</v>
      </c>
      <c r="DC350" s="15"/>
      <c r="DD350" s="15">
        <v>20</v>
      </c>
      <c r="DE350" s="15">
        <f t="shared" si="324"/>
        <v>45000</v>
      </c>
      <c r="DF350" s="15" t="s">
        <v>766</v>
      </c>
      <c r="DG350" s="15"/>
      <c r="DH350" s="15"/>
      <c r="DI350" s="15"/>
      <c r="DJ350" s="15">
        <v>421</v>
      </c>
      <c r="DK350" s="15">
        <v>45</v>
      </c>
      <c r="DL350" s="15">
        <v>0.7</v>
      </c>
      <c r="DM350" s="15"/>
      <c r="DN350" s="15"/>
      <c r="DO350" s="15"/>
      <c r="DP350" s="15"/>
      <c r="DQ350" s="15"/>
      <c r="DR350" s="15">
        <v>20.9</v>
      </c>
      <c r="DS350" s="15">
        <f>DE350</f>
        <v>45000</v>
      </c>
      <c r="DT350" s="15">
        <f t="shared" si="325"/>
        <v>75</v>
      </c>
      <c r="DU350" s="15">
        <f t="shared" si="326"/>
        <v>9000</v>
      </c>
      <c r="DV350" s="1">
        <v>8.48</v>
      </c>
      <c r="DW350" s="1" t="s">
        <v>938</v>
      </c>
      <c r="DX350" s="1">
        <v>5</v>
      </c>
      <c r="DY350" s="15">
        <f t="shared" si="319"/>
        <v>11250</v>
      </c>
      <c r="DZ350" s="15" t="s">
        <v>766</v>
      </c>
      <c r="EA350" s="1"/>
      <c r="EB350" s="1"/>
      <c r="EC350" s="1">
        <v>242.46</v>
      </c>
      <c r="ED350" s="1">
        <v>59.34</v>
      </c>
      <c r="EE350" s="1">
        <v>0.03</v>
      </c>
      <c r="EF350" s="1">
        <v>39.159999999999997</v>
      </c>
      <c r="EG350" s="1">
        <v>0.59</v>
      </c>
      <c r="EH350" s="1">
        <v>121.49</v>
      </c>
      <c r="ES350" s="15">
        <f t="shared" si="320"/>
        <v>11250</v>
      </c>
      <c r="ET350" s="15">
        <f t="shared" si="321"/>
        <v>5</v>
      </c>
      <c r="EU350" s="15">
        <f t="shared" si="322"/>
        <v>6187.5000000000009</v>
      </c>
      <c r="EW350" s="46">
        <f>AX350+BT350+CF350+DE350+DY350</f>
        <v>56250</v>
      </c>
      <c r="EX350" s="46">
        <f>BA350+BZ350+CZ350+DT350+ET350</f>
        <v>80</v>
      </c>
      <c r="EY350" s="46">
        <f>BB350+CA350+DA350+DU350+EU350</f>
        <v>15187.5</v>
      </c>
      <c r="FK350" s="16">
        <f t="shared" si="305"/>
        <v>4.1900000000000004</v>
      </c>
      <c r="FL350" s="16">
        <f t="shared" si="306"/>
        <v>4.93</v>
      </c>
      <c r="FM350" s="15">
        <v>4.1900000000000004</v>
      </c>
      <c r="FN350" s="15">
        <v>0.04</v>
      </c>
      <c r="FO350" s="15">
        <f>FN350*SQRT(AR350)</f>
        <v>6.9282032302755092E-2</v>
      </c>
      <c r="FP350" s="15">
        <v>4.93</v>
      </c>
      <c r="FQ350" s="15">
        <v>0.05</v>
      </c>
      <c r="FR350" s="15">
        <f>FQ350*SQRT(AR350)</f>
        <v>8.6602540378443865E-2</v>
      </c>
      <c r="FS350" s="15">
        <f t="shared" si="333"/>
        <v>1.1766109785202863</v>
      </c>
      <c r="FT350" s="15">
        <f t="shared" si="334"/>
        <v>0.73999999999999932</v>
      </c>
      <c r="FU350" s="15">
        <f t="shared" si="335"/>
        <v>0.16263825412055222</v>
      </c>
      <c r="FV350" s="15">
        <f>((FR350*FR350)/(AR350*FP350*FP350)+(FO350*FO350)/(AR350*FM350*FM350))</f>
        <v>1.9399633125991651E-4</v>
      </c>
      <c r="GI350" s="15">
        <v>4.75</v>
      </c>
      <c r="GJ350" s="15">
        <v>0.05</v>
      </c>
      <c r="GK350" s="15">
        <f>GJ350*SQRT(AR167)</f>
        <v>8.6602540378443865E-2</v>
      </c>
      <c r="GL350" s="15">
        <v>10.74</v>
      </c>
      <c r="GM350" s="15">
        <v>0.10740000000000001</v>
      </c>
      <c r="GN350" s="15">
        <f>GM350*SQRT(AR167)</f>
        <v>0.18602225673289743</v>
      </c>
      <c r="GO350" s="15">
        <f t="shared" si="327"/>
        <v>2.2610526315789472</v>
      </c>
      <c r="GP350" s="15">
        <f t="shared" si="328"/>
        <v>5.99</v>
      </c>
      <c r="GQ350" s="15">
        <f t="shared" si="329"/>
        <v>0.81583047103416861</v>
      </c>
      <c r="GR350" s="15">
        <f>((GN350*GN350)/(AR167*GL350*GL350)+(GK350*GK350)/(AR167*GI350*GI350))</f>
        <v>2.1080332409972299E-4</v>
      </c>
      <c r="HY350" s="15">
        <f t="shared" si="330"/>
        <v>56250</v>
      </c>
      <c r="HZ350" s="15">
        <f t="shared" si="331"/>
        <v>80</v>
      </c>
      <c r="IA350" s="15">
        <f t="shared" si="332"/>
        <v>15187.5</v>
      </c>
    </row>
    <row r="351" spans="1:235" x14ac:dyDescent="0.25">
      <c r="A351" s="31">
        <v>349</v>
      </c>
      <c r="B351" s="1">
        <v>65</v>
      </c>
      <c r="C351" s="1">
        <v>69</v>
      </c>
      <c r="D351" s="15" t="s">
        <v>310</v>
      </c>
      <c r="E351" s="1">
        <v>6</v>
      </c>
      <c r="F351" s="15" t="s">
        <v>1181</v>
      </c>
      <c r="G351" s="15" t="s">
        <v>1197</v>
      </c>
      <c r="H351" s="15" t="s">
        <v>818</v>
      </c>
      <c r="I351" s="1">
        <v>2012</v>
      </c>
      <c r="J351" s="15" t="s">
        <v>816</v>
      </c>
      <c r="K351" s="1">
        <v>2011</v>
      </c>
      <c r="L351" s="15" t="s">
        <v>819</v>
      </c>
      <c r="M351" s="15" t="s">
        <v>480</v>
      </c>
      <c r="N351" s="15" t="s">
        <v>23</v>
      </c>
      <c r="O351" s="31">
        <v>2</v>
      </c>
      <c r="P351" s="15">
        <v>31.1</v>
      </c>
      <c r="Q351" s="15">
        <v>119.13</v>
      </c>
      <c r="R351" s="23"/>
      <c r="S351" s="23"/>
      <c r="T351" s="23"/>
      <c r="U351" s="15" t="s">
        <v>807</v>
      </c>
      <c r="V351" s="31">
        <v>2</v>
      </c>
      <c r="W351" s="15" t="s">
        <v>1149</v>
      </c>
      <c r="X351" s="23"/>
      <c r="Y351" s="55"/>
      <c r="Z351" s="15">
        <v>4.38</v>
      </c>
      <c r="AA351" s="15" t="s">
        <v>573</v>
      </c>
      <c r="AB351" s="15">
        <f t="shared" si="304"/>
        <v>4.38</v>
      </c>
      <c r="AC351" s="1">
        <v>1</v>
      </c>
      <c r="AD351" s="15">
        <v>17.2</v>
      </c>
      <c r="AE351" s="15"/>
      <c r="AF351" s="15">
        <v>9.7199999999999989</v>
      </c>
      <c r="AH351" s="15">
        <v>54.732510288065839</v>
      </c>
      <c r="AJ351" s="15">
        <v>17.8</v>
      </c>
      <c r="AK351" s="15">
        <v>74.5</v>
      </c>
      <c r="AL351" s="15">
        <v>7.7</v>
      </c>
      <c r="AM351" s="1">
        <v>2</v>
      </c>
      <c r="AP351" s="15" t="s">
        <v>1150</v>
      </c>
      <c r="AQ351" s="1">
        <v>1</v>
      </c>
      <c r="AR351" s="1">
        <v>3</v>
      </c>
      <c r="DB351" s="15" t="s">
        <v>835</v>
      </c>
      <c r="DC351" s="15"/>
      <c r="DD351" s="15">
        <v>20</v>
      </c>
      <c r="DE351" s="15">
        <f t="shared" si="324"/>
        <v>45000</v>
      </c>
      <c r="DF351" s="15" t="s">
        <v>766</v>
      </c>
      <c r="DG351" s="15"/>
      <c r="DH351" s="15"/>
      <c r="DI351" s="15"/>
      <c r="DJ351" s="15">
        <v>418</v>
      </c>
      <c r="DK351" s="15">
        <v>86</v>
      </c>
      <c r="DL351" s="15">
        <v>1.1000000000000001</v>
      </c>
      <c r="DM351" s="15"/>
      <c r="DN351" s="15"/>
      <c r="DO351" s="15"/>
      <c r="DP351" s="15"/>
      <c r="DQ351" s="15"/>
      <c r="DR351" s="15">
        <v>29.3</v>
      </c>
      <c r="DS351" s="15">
        <f>DE351</f>
        <v>45000</v>
      </c>
      <c r="DT351" s="15">
        <f t="shared" si="325"/>
        <v>75</v>
      </c>
      <c r="DU351" s="15">
        <f t="shared" si="326"/>
        <v>9000</v>
      </c>
      <c r="DV351" s="1">
        <v>8.48</v>
      </c>
      <c r="DW351" s="1" t="s">
        <v>938</v>
      </c>
      <c r="DX351" s="1">
        <v>5</v>
      </c>
      <c r="DY351" s="15">
        <f t="shared" si="319"/>
        <v>11250</v>
      </c>
      <c r="DZ351" s="15" t="s">
        <v>766</v>
      </c>
      <c r="EA351" s="1"/>
      <c r="EB351" s="1"/>
      <c r="EC351" s="1">
        <v>242.46</v>
      </c>
      <c r="ED351" s="1">
        <v>59.34</v>
      </c>
      <c r="EE351" s="1">
        <v>0.03</v>
      </c>
      <c r="EF351" s="1">
        <v>39.159999999999997</v>
      </c>
      <c r="EG351" s="1">
        <v>0.59</v>
      </c>
      <c r="EH351" s="1">
        <v>121.49</v>
      </c>
      <c r="ES351" s="15">
        <f t="shared" si="320"/>
        <v>11250</v>
      </c>
      <c r="ET351" s="15">
        <f t="shared" si="321"/>
        <v>5</v>
      </c>
      <c r="EU351" s="15">
        <f t="shared" si="322"/>
        <v>6187.5000000000009</v>
      </c>
      <c r="EW351" s="46">
        <f>AX351+BT351+CF351+DE351+DY351</f>
        <v>56250</v>
      </c>
      <c r="EX351" s="46">
        <f>BA351+BZ351+CZ351+DT351+ET351</f>
        <v>80</v>
      </c>
      <c r="EY351" s="46">
        <f>BB351+CA351+DA351+DU351+EU351</f>
        <v>15187.5</v>
      </c>
      <c r="FK351" s="16">
        <f t="shared" si="305"/>
        <v>4.1900000000000004</v>
      </c>
      <c r="FL351" s="16">
        <f t="shared" si="306"/>
        <v>4.7300000000000004</v>
      </c>
      <c r="FM351" s="15">
        <v>4.1900000000000004</v>
      </c>
      <c r="FN351" s="15">
        <v>0.04</v>
      </c>
      <c r="FO351" s="15">
        <f>FN351*SQRT(AR351)</f>
        <v>6.9282032302755092E-2</v>
      </c>
      <c r="FP351" s="15">
        <v>4.7300000000000004</v>
      </c>
      <c r="FQ351" s="15">
        <v>0.05</v>
      </c>
      <c r="FR351" s="15">
        <f>FQ351*SQRT(AR351)</f>
        <v>8.6602540378443865E-2</v>
      </c>
      <c r="FS351" s="15">
        <f t="shared" si="333"/>
        <v>1.1288782816229117</v>
      </c>
      <c r="FT351" s="15">
        <f t="shared" si="334"/>
        <v>0.54</v>
      </c>
      <c r="FU351" s="15">
        <f t="shared" si="335"/>
        <v>0.12122446856979519</v>
      </c>
      <c r="FV351" s="15">
        <f>((FR351*FR351)/(AR351*FP351*FP351)+(FO351*FO351)/(AR351*FM351*FM351))</f>
        <v>2.0287874524768071E-4</v>
      </c>
      <c r="GI351" s="15">
        <v>4.75</v>
      </c>
      <c r="GJ351" s="15">
        <v>0.05</v>
      </c>
      <c r="GK351" s="15">
        <f>GJ351*SQRT(AR168)</f>
        <v>8.6602540378443865E-2</v>
      </c>
      <c r="GL351" s="15">
        <v>11.03</v>
      </c>
      <c r="GM351" s="15">
        <v>0.1103</v>
      </c>
      <c r="GN351" s="15">
        <f>GM351*SQRT(AR168)</f>
        <v>0.19104520407484715</v>
      </c>
      <c r="GO351" s="15">
        <f t="shared" si="327"/>
        <v>2.3221052631578947</v>
      </c>
      <c r="GP351" s="15">
        <f t="shared" si="328"/>
        <v>6.2799999999999994</v>
      </c>
      <c r="GQ351" s="15">
        <f t="shared" si="329"/>
        <v>0.84247421521886112</v>
      </c>
      <c r="GR351" s="15">
        <f>((GN351*GN351)/(AR168*GL351*GL351)+(GK351*GK351)/(AR168*GI351*GI351))</f>
        <v>2.1080332409972299E-4</v>
      </c>
      <c r="HY351" s="15">
        <f t="shared" si="330"/>
        <v>56250</v>
      </c>
      <c r="HZ351" s="15">
        <f t="shared" si="331"/>
        <v>80</v>
      </c>
      <c r="IA351" s="15">
        <f t="shared" si="332"/>
        <v>15187.5</v>
      </c>
    </row>
    <row r="352" spans="1:235" x14ac:dyDescent="0.25">
      <c r="A352" s="31">
        <v>350</v>
      </c>
      <c r="B352" s="1">
        <v>65</v>
      </c>
      <c r="C352" s="1">
        <v>69</v>
      </c>
      <c r="D352" s="15" t="s">
        <v>311</v>
      </c>
      <c r="E352" s="1">
        <v>6</v>
      </c>
      <c r="F352" s="15" t="s">
        <v>1181</v>
      </c>
      <c r="G352" s="15" t="s">
        <v>1148</v>
      </c>
      <c r="H352" s="15" t="s">
        <v>818</v>
      </c>
      <c r="I352" s="1">
        <v>2012</v>
      </c>
      <c r="J352" s="15" t="s">
        <v>816</v>
      </c>
      <c r="K352" s="1">
        <v>2011</v>
      </c>
      <c r="L352" s="15" t="s">
        <v>819</v>
      </c>
      <c r="M352" s="15" t="s">
        <v>480</v>
      </c>
      <c r="N352" s="15" t="s">
        <v>23</v>
      </c>
      <c r="O352" s="31">
        <v>2</v>
      </c>
      <c r="P352" s="15">
        <v>31.1</v>
      </c>
      <c r="Q352" s="15">
        <v>119.13</v>
      </c>
      <c r="R352" s="23"/>
      <c r="S352" s="23"/>
      <c r="T352" s="23"/>
      <c r="U352" s="15" t="s">
        <v>807</v>
      </c>
      <c r="V352" s="31">
        <v>2</v>
      </c>
      <c r="W352" s="15" t="s">
        <v>1149</v>
      </c>
      <c r="X352" s="23"/>
      <c r="Y352" s="55"/>
      <c r="Z352" s="15">
        <v>4.38</v>
      </c>
      <c r="AA352" s="15" t="s">
        <v>573</v>
      </c>
      <c r="AB352" s="15">
        <f t="shared" si="304"/>
        <v>4.38</v>
      </c>
      <c r="AC352" s="1">
        <v>1</v>
      </c>
      <c r="AD352" s="15">
        <v>17.2</v>
      </c>
      <c r="AE352" s="15"/>
      <c r="AF352" s="15">
        <v>9.7199999999999989</v>
      </c>
      <c r="AH352" s="15">
        <v>54.732510288065839</v>
      </c>
      <c r="AJ352" s="15">
        <v>17.8</v>
      </c>
      <c r="AK352" s="15">
        <v>74.5</v>
      </c>
      <c r="AL352" s="15">
        <v>7.7</v>
      </c>
      <c r="AM352" s="1">
        <v>2</v>
      </c>
      <c r="AP352" s="15" t="s">
        <v>1150</v>
      </c>
      <c r="AQ352" s="1">
        <v>1</v>
      </c>
      <c r="AR352" s="1">
        <v>3</v>
      </c>
      <c r="DB352" s="15" t="s">
        <v>896</v>
      </c>
      <c r="DC352" s="15"/>
      <c r="DD352" s="15">
        <v>20</v>
      </c>
      <c r="DE352" s="15">
        <f t="shared" si="324"/>
        <v>45000</v>
      </c>
      <c r="DF352" s="15" t="s">
        <v>766</v>
      </c>
      <c r="DG352" s="15"/>
      <c r="DH352" s="15"/>
      <c r="DI352" s="15"/>
      <c r="DJ352" s="15">
        <v>419</v>
      </c>
      <c r="DK352" s="15">
        <v>16</v>
      </c>
      <c r="DL352" s="15">
        <v>2.4</v>
      </c>
      <c r="DM352" s="15"/>
      <c r="DN352" s="15"/>
      <c r="DO352" s="15"/>
      <c r="DP352" s="15"/>
      <c r="DQ352" s="15"/>
      <c r="DR352" s="15">
        <v>76.19</v>
      </c>
      <c r="DS352" s="15">
        <f>DE352</f>
        <v>45000</v>
      </c>
      <c r="DT352" s="15">
        <f t="shared" si="325"/>
        <v>75</v>
      </c>
      <c r="DU352" s="15">
        <f t="shared" si="326"/>
        <v>9000</v>
      </c>
      <c r="DV352" s="1">
        <v>8.48</v>
      </c>
      <c r="DW352" s="1" t="s">
        <v>938</v>
      </c>
      <c r="DX352" s="1">
        <v>5</v>
      </c>
      <c r="DY352" s="15">
        <f t="shared" si="319"/>
        <v>11250</v>
      </c>
      <c r="DZ352" s="15" t="s">
        <v>766</v>
      </c>
      <c r="EA352" s="1"/>
      <c r="EB352" s="1"/>
      <c r="EC352" s="1">
        <v>242.46</v>
      </c>
      <c r="ED352" s="1">
        <v>59.34</v>
      </c>
      <c r="EE352" s="1">
        <v>0.03</v>
      </c>
      <c r="EF352" s="1">
        <v>39.159999999999997</v>
      </c>
      <c r="EG352" s="1">
        <v>0.59</v>
      </c>
      <c r="EH352" s="1">
        <v>121.49</v>
      </c>
      <c r="ES352" s="15">
        <f t="shared" si="320"/>
        <v>11250</v>
      </c>
      <c r="ET352" s="15">
        <f t="shared" si="321"/>
        <v>5</v>
      </c>
      <c r="EU352" s="15">
        <f t="shared" si="322"/>
        <v>6187.5000000000009</v>
      </c>
      <c r="EW352" s="46">
        <f>AX352+BT352+CF352+DE352+DY352</f>
        <v>56250</v>
      </c>
      <c r="EX352" s="46">
        <f>BA352+BZ352+CZ352+DT352+ET352</f>
        <v>80</v>
      </c>
      <c r="EY352" s="46">
        <f>BB352+CA352+DA352+DU352+EU352</f>
        <v>15187.5</v>
      </c>
      <c r="FK352" s="16">
        <f t="shared" si="305"/>
        <v>4.1900000000000004</v>
      </c>
      <c r="FL352" s="16">
        <f t="shared" si="306"/>
        <v>4.8099999999999996</v>
      </c>
      <c r="FM352" s="15">
        <v>4.1900000000000004</v>
      </c>
      <c r="FN352" s="15">
        <v>0.04</v>
      </c>
      <c r="FO352" s="15">
        <f>FN352*SQRT(AR352)</f>
        <v>6.9282032302755092E-2</v>
      </c>
      <c r="FP352" s="15">
        <v>4.8099999999999996</v>
      </c>
      <c r="FQ352" s="15">
        <v>0.05</v>
      </c>
      <c r="FR352" s="15">
        <f>FQ352*SQRT(AR352)</f>
        <v>8.6602540378443865E-2</v>
      </c>
      <c r="FS352" s="15">
        <f t="shared" si="333"/>
        <v>1.1479713603818613</v>
      </c>
      <c r="FT352" s="15">
        <f t="shared" si="334"/>
        <v>0.61999999999999922</v>
      </c>
      <c r="FU352" s="15">
        <f t="shared" si="335"/>
        <v>0.13799635018362322</v>
      </c>
      <c r="FV352" s="15">
        <f>((FR352*FR352)/(AR352*FP352*FP352)+(FO352*FO352)/(AR352*FM352*FM352))</f>
        <v>1.9919265523623994E-4</v>
      </c>
      <c r="GI352" s="15">
        <v>4.75</v>
      </c>
      <c r="GJ352" s="15">
        <v>0.05</v>
      </c>
      <c r="GK352" s="15">
        <f>GJ352*SQRT(AR169)</f>
        <v>8.6602540378443865E-2</v>
      </c>
      <c r="GL352" s="15">
        <v>14.46</v>
      </c>
      <c r="GM352" s="15">
        <v>0.14460000000000001</v>
      </c>
      <c r="GN352" s="15">
        <f>GM352*SQRT(AR169)</f>
        <v>0.25045454677445966</v>
      </c>
      <c r="GO352" s="15">
        <f t="shared" si="327"/>
        <v>3.0442105263157897</v>
      </c>
      <c r="GP352" s="15">
        <f t="shared" si="328"/>
        <v>9.7100000000000009</v>
      </c>
      <c r="GQ352" s="15">
        <f t="shared" si="329"/>
        <v>1.1132415986840689</v>
      </c>
      <c r="GR352" s="15">
        <f>((GN352*GN352)/(AR169*GL352*GL352)+(GK352*GK352)/(AR169*GI352*GI352))</f>
        <v>2.1080332409972299E-4</v>
      </c>
      <c r="HY352" s="15">
        <f t="shared" si="330"/>
        <v>56250</v>
      </c>
      <c r="HZ352" s="15">
        <f t="shared" si="331"/>
        <v>80</v>
      </c>
      <c r="IA352" s="15">
        <f t="shared" si="332"/>
        <v>15187.5</v>
      </c>
    </row>
    <row r="353" spans="1:235" x14ac:dyDescent="0.25">
      <c r="A353" s="31">
        <v>351</v>
      </c>
      <c r="B353" s="1">
        <v>65</v>
      </c>
      <c r="C353" s="1">
        <v>69</v>
      </c>
      <c r="D353" s="15" t="s">
        <v>312</v>
      </c>
      <c r="E353" s="1">
        <v>6</v>
      </c>
      <c r="F353" s="15" t="s">
        <v>1181</v>
      </c>
      <c r="G353" s="15" t="s">
        <v>1148</v>
      </c>
      <c r="H353" s="15" t="s">
        <v>818</v>
      </c>
      <c r="I353" s="1">
        <v>2012</v>
      </c>
      <c r="J353" s="15" t="s">
        <v>816</v>
      </c>
      <c r="K353" s="1">
        <v>2011</v>
      </c>
      <c r="L353" s="15" t="s">
        <v>819</v>
      </c>
      <c r="M353" s="15" t="s">
        <v>480</v>
      </c>
      <c r="N353" s="15" t="s">
        <v>23</v>
      </c>
      <c r="O353" s="31">
        <v>2</v>
      </c>
      <c r="P353" s="15">
        <v>31.1</v>
      </c>
      <c r="Q353" s="15">
        <v>119.13</v>
      </c>
      <c r="R353" s="23"/>
      <c r="S353" s="23"/>
      <c r="T353" s="23"/>
      <c r="U353" s="15" t="s">
        <v>807</v>
      </c>
      <c r="V353" s="31">
        <v>2</v>
      </c>
      <c r="W353" s="15" t="s">
        <v>1149</v>
      </c>
      <c r="X353" s="23"/>
      <c r="Y353" s="55"/>
      <c r="Z353" s="15">
        <v>4.38</v>
      </c>
      <c r="AA353" s="15" t="s">
        <v>573</v>
      </c>
      <c r="AB353" s="15">
        <f t="shared" si="304"/>
        <v>4.38</v>
      </c>
      <c r="AC353" s="1">
        <v>1</v>
      </c>
      <c r="AD353" s="15">
        <v>17.2</v>
      </c>
      <c r="AE353" s="15"/>
      <c r="AF353" s="15">
        <v>9.7199999999999989</v>
      </c>
      <c r="AH353" s="15">
        <v>54.732510288065839</v>
      </c>
      <c r="AJ353" s="15">
        <v>17.8</v>
      </c>
      <c r="AK353" s="15">
        <v>74.5</v>
      </c>
      <c r="AL353" s="15">
        <v>7.7</v>
      </c>
      <c r="AM353" s="1">
        <v>2</v>
      </c>
      <c r="AP353" s="15" t="s">
        <v>1150</v>
      </c>
      <c r="AQ353" s="1">
        <v>1</v>
      </c>
      <c r="AR353" s="1">
        <v>3</v>
      </c>
      <c r="DB353" s="15" t="s">
        <v>1151</v>
      </c>
      <c r="DC353" s="15"/>
      <c r="DD353" s="15">
        <v>20</v>
      </c>
      <c r="DE353" s="15">
        <f t="shared" si="324"/>
        <v>45000</v>
      </c>
      <c r="DF353" s="15" t="s">
        <v>766</v>
      </c>
      <c r="DG353" s="15"/>
      <c r="DH353" s="15"/>
      <c r="DI353" s="15"/>
      <c r="DJ353" s="15">
        <v>408</v>
      </c>
      <c r="DK353" s="15">
        <v>54</v>
      </c>
      <c r="DL353" s="15">
        <v>5.0999999999999996</v>
      </c>
      <c r="DM353" s="15"/>
      <c r="DN353" s="15"/>
      <c r="DO353" s="15"/>
      <c r="DP353" s="15"/>
      <c r="DQ353" s="15"/>
      <c r="DR353" s="15">
        <v>77.819999999999993</v>
      </c>
      <c r="DS353" s="15">
        <f>DE353</f>
        <v>45000</v>
      </c>
      <c r="DT353" s="15">
        <f t="shared" si="325"/>
        <v>75</v>
      </c>
      <c r="DU353" s="15">
        <f t="shared" si="326"/>
        <v>9000</v>
      </c>
      <c r="DV353" s="1">
        <v>8.48</v>
      </c>
      <c r="DW353" s="1" t="s">
        <v>938</v>
      </c>
      <c r="DX353" s="1">
        <v>5</v>
      </c>
      <c r="DY353" s="15">
        <f t="shared" si="319"/>
        <v>11250</v>
      </c>
      <c r="DZ353" s="15" t="s">
        <v>766</v>
      </c>
      <c r="EA353" s="1"/>
      <c r="EB353" s="1"/>
      <c r="EC353" s="1">
        <v>242.46</v>
      </c>
      <c r="ED353" s="1">
        <v>59.34</v>
      </c>
      <c r="EE353" s="1">
        <v>0.03</v>
      </c>
      <c r="EF353" s="1">
        <v>39.159999999999997</v>
      </c>
      <c r="EG353" s="1">
        <v>0.59</v>
      </c>
      <c r="EH353" s="1">
        <v>121.49</v>
      </c>
      <c r="ES353" s="15">
        <f t="shared" si="320"/>
        <v>11250</v>
      </c>
      <c r="ET353" s="15">
        <f t="shared" si="321"/>
        <v>5</v>
      </c>
      <c r="EU353" s="15">
        <f t="shared" si="322"/>
        <v>6187.5000000000009</v>
      </c>
      <c r="EW353" s="46">
        <f>AX353+BT353+CF353+DE353+DY353</f>
        <v>56250</v>
      </c>
      <c r="EX353" s="46">
        <f>BA353+BZ353+CZ353+DT353+ET353</f>
        <v>80</v>
      </c>
      <c r="EY353" s="46">
        <f>BB353+CA353+DA353+DU353+EU353</f>
        <v>15187.5</v>
      </c>
      <c r="FK353" s="16">
        <f t="shared" si="305"/>
        <v>4.1900000000000004</v>
      </c>
      <c r="FL353" s="16">
        <f t="shared" si="306"/>
        <v>4.3600000000000003</v>
      </c>
      <c r="FM353" s="15">
        <v>4.1900000000000004</v>
      </c>
      <c r="FN353" s="15">
        <v>0.04</v>
      </c>
      <c r="FO353" s="15">
        <f>FN353*SQRT(AR353)</f>
        <v>6.9282032302755092E-2</v>
      </c>
      <c r="FP353" s="15">
        <v>4.3600000000000003</v>
      </c>
      <c r="FQ353" s="15">
        <v>0.05</v>
      </c>
      <c r="FR353" s="15">
        <f>FQ353*SQRT(AR353)</f>
        <v>8.6602540378443865E-2</v>
      </c>
      <c r="FS353" s="15">
        <f t="shared" si="333"/>
        <v>1.0405727923627686</v>
      </c>
      <c r="FT353" s="15">
        <f t="shared" si="334"/>
        <v>0.16999999999999993</v>
      </c>
      <c r="FU353" s="15">
        <f t="shared" si="335"/>
        <v>3.9771323426896599E-2</v>
      </c>
      <c r="FV353" s="15">
        <f>((FR353*FR353)/(AR353*FP353*FP353)+(FO353*FO353)/(AR353*FM353*FM353))</f>
        <v>2.2264891307176575E-4</v>
      </c>
      <c r="GI353" s="15">
        <v>4.75</v>
      </c>
      <c r="GJ353" s="15">
        <v>0.05</v>
      </c>
      <c r="GK353" s="15">
        <f>GJ353*SQRT(AR170)</f>
        <v>8.6602540378443865E-2</v>
      </c>
      <c r="GL353" s="15">
        <v>14.28</v>
      </c>
      <c r="GM353" s="15">
        <v>0.14280000000000001</v>
      </c>
      <c r="GN353" s="15">
        <f>GM353*SQRT(AR170)</f>
        <v>0.24733685532083569</v>
      </c>
      <c r="GO353" s="15">
        <f t="shared" si="327"/>
        <v>3.0063157894736841</v>
      </c>
      <c r="GP353" s="15">
        <f t="shared" si="328"/>
        <v>9.5299999999999994</v>
      </c>
      <c r="GQ353" s="15">
        <f t="shared" si="329"/>
        <v>1.1007153388648883</v>
      </c>
      <c r="GR353" s="15">
        <f>((GN353*GN353)/(AR170*GL353*GL353)+(GK353*GK353)/(AR170*GI353*GI353))</f>
        <v>2.1080332409972299E-4</v>
      </c>
      <c r="HY353" s="15">
        <f t="shared" si="330"/>
        <v>56250</v>
      </c>
      <c r="HZ353" s="15">
        <f t="shared" si="331"/>
        <v>80</v>
      </c>
      <c r="IA353" s="15">
        <f t="shared" si="332"/>
        <v>15187.5</v>
      </c>
    </row>
    <row r="354" spans="1:235" x14ac:dyDescent="0.25">
      <c r="A354" s="31">
        <v>352</v>
      </c>
      <c r="B354" s="1">
        <v>65</v>
      </c>
      <c r="C354" s="1">
        <v>69</v>
      </c>
      <c r="D354" s="15" t="s">
        <v>313</v>
      </c>
      <c r="E354" s="1">
        <v>6</v>
      </c>
      <c r="F354" s="15" t="s">
        <v>1181</v>
      </c>
      <c r="G354" s="15" t="s">
        <v>1148</v>
      </c>
      <c r="H354" s="15" t="s">
        <v>818</v>
      </c>
      <c r="I354" s="1">
        <v>2012</v>
      </c>
      <c r="J354" s="15" t="s">
        <v>816</v>
      </c>
      <c r="K354" s="1">
        <v>2011</v>
      </c>
      <c r="L354" s="15" t="s">
        <v>819</v>
      </c>
      <c r="M354" s="15" t="s">
        <v>480</v>
      </c>
      <c r="N354" s="15" t="s">
        <v>23</v>
      </c>
      <c r="O354" s="31">
        <v>2</v>
      </c>
      <c r="P354" s="15">
        <v>31.1</v>
      </c>
      <c r="Q354" s="15">
        <v>119.13</v>
      </c>
      <c r="R354" s="23"/>
      <c r="S354" s="23"/>
      <c r="T354" s="23"/>
      <c r="U354" s="15" t="s">
        <v>807</v>
      </c>
      <c r="V354" s="31">
        <v>2</v>
      </c>
      <c r="W354" s="15" t="s">
        <v>1149</v>
      </c>
      <c r="X354" s="23"/>
      <c r="Y354" s="55"/>
      <c r="Z354" s="15">
        <v>4.38</v>
      </c>
      <c r="AA354" s="15" t="s">
        <v>573</v>
      </c>
      <c r="AB354" s="15">
        <f t="shared" si="304"/>
        <v>4.38</v>
      </c>
      <c r="AC354" s="1">
        <v>1</v>
      </c>
      <c r="AD354" s="15">
        <v>17.2</v>
      </c>
      <c r="AE354" s="15"/>
      <c r="AF354" s="15">
        <v>9.7199999999999989</v>
      </c>
      <c r="AH354" s="15">
        <v>54.732510288065839</v>
      </c>
      <c r="AJ354" s="15">
        <v>17.8</v>
      </c>
      <c r="AK354" s="15">
        <v>74.5</v>
      </c>
      <c r="AL354" s="15">
        <v>7.7</v>
      </c>
      <c r="AM354" s="1">
        <v>2</v>
      </c>
      <c r="AP354" s="15" t="s">
        <v>1150</v>
      </c>
      <c r="AQ354" s="1">
        <v>1</v>
      </c>
      <c r="AR354" s="1">
        <v>3</v>
      </c>
      <c r="DB354" s="15" t="s">
        <v>717</v>
      </c>
      <c r="DC354" s="15"/>
      <c r="DD354" s="15">
        <v>10</v>
      </c>
      <c r="DE354" s="15">
        <f t="shared" si="324"/>
        <v>22500</v>
      </c>
      <c r="DF354" s="15" t="s">
        <v>766</v>
      </c>
      <c r="DG354" s="15"/>
      <c r="DH354" s="15"/>
      <c r="DI354" s="15"/>
      <c r="DJ354" s="15">
        <v>421</v>
      </c>
      <c r="DK354" s="15">
        <v>45</v>
      </c>
      <c r="DL354" s="15">
        <v>0.7</v>
      </c>
      <c r="DM354" s="15"/>
      <c r="DN354" s="15"/>
      <c r="DO354" s="15"/>
      <c r="DP354" s="15"/>
      <c r="DQ354" s="15"/>
      <c r="DR354" s="15">
        <v>20.9</v>
      </c>
      <c r="DS354" s="15">
        <f>DE354</f>
        <v>22500</v>
      </c>
      <c r="DT354" s="15">
        <f t="shared" si="325"/>
        <v>37.5</v>
      </c>
      <c r="DU354" s="15">
        <f t="shared" si="326"/>
        <v>4500</v>
      </c>
      <c r="DV354" s="1">
        <v>8.48</v>
      </c>
      <c r="DW354" s="1" t="s">
        <v>938</v>
      </c>
      <c r="DX354" s="1">
        <v>10</v>
      </c>
      <c r="DY354" s="15">
        <f t="shared" si="319"/>
        <v>22500</v>
      </c>
      <c r="DZ354" s="15" t="s">
        <v>766</v>
      </c>
      <c r="EA354" s="1"/>
      <c r="EB354" s="1"/>
      <c r="EC354" s="1">
        <v>242.46</v>
      </c>
      <c r="ED354" s="1">
        <v>59.34</v>
      </c>
      <c r="EE354" s="1">
        <v>0.03</v>
      </c>
      <c r="EF354" s="1">
        <v>39.159999999999997</v>
      </c>
      <c r="EG354" s="1">
        <v>0.59</v>
      </c>
      <c r="EH354" s="1">
        <v>121.49</v>
      </c>
      <c r="ES354" s="15">
        <f t="shared" si="320"/>
        <v>22500</v>
      </c>
      <c r="ET354" s="15">
        <f t="shared" si="321"/>
        <v>10</v>
      </c>
      <c r="EU354" s="15">
        <f t="shared" si="322"/>
        <v>12375.000000000002</v>
      </c>
      <c r="EW354" s="46">
        <f>AX354+BT354+CF354+DE354+DY354</f>
        <v>45000</v>
      </c>
      <c r="EX354" s="46">
        <f>BA354+BZ354+CZ354+DT354+ET354</f>
        <v>47.5</v>
      </c>
      <c r="EY354" s="46">
        <f>BB354+CA354+DA354+DU354+EU354</f>
        <v>16875</v>
      </c>
      <c r="FK354" s="16">
        <f t="shared" si="305"/>
        <v>4.18</v>
      </c>
      <c r="FL354" s="16">
        <f t="shared" si="306"/>
        <v>5.28</v>
      </c>
      <c r="FM354" s="15">
        <v>4.18</v>
      </c>
      <c r="FN354" s="15">
        <v>0.05</v>
      </c>
      <c r="FO354" s="15">
        <f>FN354*SQRT(AR354)</f>
        <v>8.6602540378443865E-2</v>
      </c>
      <c r="FP354" s="15">
        <v>5.28</v>
      </c>
      <c r="FQ354" s="15">
        <v>0.05</v>
      </c>
      <c r="FR354" s="15">
        <f>FQ354*SQRT(AR354)</f>
        <v>8.6602540378443865E-2</v>
      </c>
      <c r="FS354" s="15">
        <f t="shared" si="333"/>
        <v>1.2631578947368423</v>
      </c>
      <c r="FT354" s="15">
        <f t="shared" si="334"/>
        <v>1.1000000000000005</v>
      </c>
      <c r="FU354" s="15">
        <f t="shared" si="335"/>
        <v>0.23361485118150527</v>
      </c>
      <c r="FV354" s="15">
        <f>((FR354*FR354)/(AR354*FP354*FP354)+(FO354*FO354)/(AR354*FM354*FM354))</f>
        <v>2.3275796557872862E-4</v>
      </c>
      <c r="GI354" s="15">
        <v>4.75</v>
      </c>
      <c r="GJ354" s="15">
        <v>0.05</v>
      </c>
      <c r="GK354" s="15">
        <f>GJ354*SQRT(AR171)</f>
        <v>8.6602540378443865E-2</v>
      </c>
      <c r="GL354" s="15">
        <v>6.7</v>
      </c>
      <c r="GM354" s="15">
        <v>6.7000000000000004E-2</v>
      </c>
      <c r="GN354" s="15">
        <f>GM354*SQRT(AR171)</f>
        <v>0.11604740410711478</v>
      </c>
      <c r="GO354" s="15">
        <f t="shared" si="327"/>
        <v>1.4105263157894736</v>
      </c>
      <c r="GP354" s="15">
        <f t="shared" si="328"/>
        <v>1.9500000000000002</v>
      </c>
      <c r="GQ354" s="15">
        <f t="shared" si="329"/>
        <v>0.34396290835037058</v>
      </c>
      <c r="GR354" s="15">
        <f>((GN354*GN354)/(AR171*GL354*GL354)+(GK354*GK354)/(AR171*GI354*GI354))</f>
        <v>2.1080332409972299E-4</v>
      </c>
      <c r="HY354" s="15">
        <f t="shared" si="330"/>
        <v>45000</v>
      </c>
      <c r="HZ354" s="15">
        <f t="shared" si="331"/>
        <v>47.5</v>
      </c>
      <c r="IA354" s="15">
        <f t="shared" si="332"/>
        <v>16875</v>
      </c>
    </row>
    <row r="355" spans="1:235" x14ac:dyDescent="0.25">
      <c r="A355" s="31">
        <v>353</v>
      </c>
      <c r="B355" s="1">
        <v>65</v>
      </c>
      <c r="C355" s="1">
        <v>69</v>
      </c>
      <c r="D355" s="15" t="s">
        <v>314</v>
      </c>
      <c r="E355" s="1">
        <v>6</v>
      </c>
      <c r="F355" s="15" t="s">
        <v>1181</v>
      </c>
      <c r="G355" s="15" t="s">
        <v>1148</v>
      </c>
      <c r="H355" s="15" t="s">
        <v>818</v>
      </c>
      <c r="I355" s="1">
        <v>2012</v>
      </c>
      <c r="J355" s="15" t="s">
        <v>816</v>
      </c>
      <c r="K355" s="1">
        <v>2011</v>
      </c>
      <c r="L355" s="15" t="s">
        <v>819</v>
      </c>
      <c r="M355" s="15" t="s">
        <v>480</v>
      </c>
      <c r="N355" s="15" t="s">
        <v>23</v>
      </c>
      <c r="O355" s="31">
        <v>2</v>
      </c>
      <c r="P355" s="15">
        <v>31.1</v>
      </c>
      <c r="Q355" s="15">
        <v>119.13</v>
      </c>
      <c r="R355" s="23"/>
      <c r="S355" s="23"/>
      <c r="T355" s="23"/>
      <c r="U355" s="15" t="s">
        <v>807</v>
      </c>
      <c r="V355" s="31">
        <v>2</v>
      </c>
      <c r="W355" s="15" t="s">
        <v>1149</v>
      </c>
      <c r="X355" s="23"/>
      <c r="Y355" s="55"/>
      <c r="Z355" s="15">
        <v>4.38</v>
      </c>
      <c r="AA355" s="15" t="s">
        <v>573</v>
      </c>
      <c r="AB355" s="15">
        <f t="shared" si="304"/>
        <v>4.38</v>
      </c>
      <c r="AC355" s="1">
        <v>1</v>
      </c>
      <c r="AD355" s="15">
        <v>17.2</v>
      </c>
      <c r="AE355" s="15"/>
      <c r="AF355" s="15">
        <v>9.7199999999999989</v>
      </c>
      <c r="AH355" s="15">
        <v>54.732510288065839</v>
      </c>
      <c r="AJ355" s="15">
        <v>17.8</v>
      </c>
      <c r="AK355" s="15">
        <v>74.5</v>
      </c>
      <c r="AL355" s="15">
        <v>7.7</v>
      </c>
      <c r="AM355" s="1">
        <v>2</v>
      </c>
      <c r="AP355" s="15" t="s">
        <v>1150</v>
      </c>
      <c r="AQ355" s="1">
        <v>1</v>
      </c>
      <c r="AR355" s="1">
        <v>3</v>
      </c>
      <c r="DB355" s="15" t="s">
        <v>835</v>
      </c>
      <c r="DC355" s="15"/>
      <c r="DD355" s="15">
        <v>10</v>
      </c>
      <c r="DE355" s="15">
        <f t="shared" si="324"/>
        <v>22500</v>
      </c>
      <c r="DF355" s="15" t="s">
        <v>766</v>
      </c>
      <c r="DG355" s="15"/>
      <c r="DH355" s="15"/>
      <c r="DI355" s="15"/>
      <c r="DJ355" s="15">
        <v>418</v>
      </c>
      <c r="DK355" s="15">
        <v>86</v>
      </c>
      <c r="DL355" s="15">
        <v>1.1000000000000001</v>
      </c>
      <c r="DM355" s="15"/>
      <c r="DN355" s="15"/>
      <c r="DO355" s="15"/>
      <c r="DP355" s="15"/>
      <c r="DQ355" s="15"/>
      <c r="DR355" s="15">
        <v>29.3</v>
      </c>
      <c r="DS355" s="15">
        <f>DE355</f>
        <v>22500</v>
      </c>
      <c r="DT355" s="15">
        <f t="shared" si="325"/>
        <v>37.5</v>
      </c>
      <c r="DU355" s="15">
        <f t="shared" si="326"/>
        <v>4500</v>
      </c>
      <c r="DV355" s="1">
        <v>8.48</v>
      </c>
      <c r="DW355" s="1" t="s">
        <v>938</v>
      </c>
      <c r="DX355" s="1">
        <v>10</v>
      </c>
      <c r="DY355" s="15">
        <f t="shared" si="319"/>
        <v>22500</v>
      </c>
      <c r="DZ355" s="15" t="s">
        <v>766</v>
      </c>
      <c r="EA355" s="1"/>
      <c r="EB355" s="1"/>
      <c r="EC355" s="1">
        <v>242.46</v>
      </c>
      <c r="ED355" s="1">
        <v>59.34</v>
      </c>
      <c r="EE355" s="1">
        <v>0.03</v>
      </c>
      <c r="EF355" s="1">
        <v>39.159999999999997</v>
      </c>
      <c r="EG355" s="1">
        <v>0.59</v>
      </c>
      <c r="EH355" s="1">
        <v>121.49</v>
      </c>
      <c r="ES355" s="15">
        <f t="shared" si="320"/>
        <v>22500</v>
      </c>
      <c r="ET355" s="15">
        <f t="shared" si="321"/>
        <v>10</v>
      </c>
      <c r="EU355" s="15">
        <f t="shared" si="322"/>
        <v>12375.000000000002</v>
      </c>
      <c r="EW355" s="46">
        <f>AX355+BT355+CF355+DE355+DY355</f>
        <v>45000</v>
      </c>
      <c r="EX355" s="46">
        <f>BA355+BZ355+CZ355+DT355+ET355</f>
        <v>47.5</v>
      </c>
      <c r="EY355" s="46">
        <f>BB355+CA355+DA355+DU355+EU355</f>
        <v>16875</v>
      </c>
      <c r="FK355" s="16">
        <f t="shared" si="305"/>
        <v>4.18</v>
      </c>
      <c r="FL355" s="16">
        <f t="shared" si="306"/>
        <v>5</v>
      </c>
      <c r="FM355" s="15">
        <v>4.18</v>
      </c>
      <c r="FN355" s="15">
        <v>0.05</v>
      </c>
      <c r="FO355" s="15">
        <f>FN355*SQRT(AR355)</f>
        <v>8.6602540378443865E-2</v>
      </c>
      <c r="FP355" s="15">
        <v>5</v>
      </c>
      <c r="FQ355" s="15">
        <v>0.05</v>
      </c>
      <c r="FR355" s="15">
        <f>FQ355*SQRT(AR355)</f>
        <v>8.6602540378443865E-2</v>
      </c>
      <c r="FS355" s="15">
        <f t="shared" si="333"/>
        <v>1.1961722488038278</v>
      </c>
      <c r="FT355" s="15">
        <f t="shared" si="334"/>
        <v>0.82000000000000028</v>
      </c>
      <c r="FU355" s="15">
        <f t="shared" si="335"/>
        <v>0.17912666589743531</v>
      </c>
      <c r="FV355" s="15">
        <f>((FR355*FR355)/(AR355*FP355*FP355)+(FO355*FO355)/(AR355*FM355*FM355))</f>
        <v>2.4308280488084065E-4</v>
      </c>
      <c r="GI355" s="15">
        <v>4.75</v>
      </c>
      <c r="GJ355" s="15">
        <v>0.05</v>
      </c>
      <c r="GK355" s="15">
        <f>GJ355*SQRT(AR172)</f>
        <v>8.6602540378443865E-2</v>
      </c>
      <c r="GL355" s="15">
        <v>7</v>
      </c>
      <c r="GM355" s="15">
        <v>7.0000000000000007E-2</v>
      </c>
      <c r="GN355" s="15">
        <f>GM355*SQRT(AR172)</f>
        <v>0.12124355652982141</v>
      </c>
      <c r="GO355" s="15">
        <f t="shared" si="327"/>
        <v>1.4736842105263157</v>
      </c>
      <c r="GP355" s="15">
        <f t="shared" si="328"/>
        <v>2.25</v>
      </c>
      <c r="GQ355" s="15">
        <f t="shared" si="329"/>
        <v>0.38776553100876332</v>
      </c>
      <c r="GR355" s="15">
        <f>((GN355*GN355)/(AR172*GL355*GL355)+(GK355*GK355)/(AR172*GI355*GI355))</f>
        <v>2.1080332409972299E-4</v>
      </c>
      <c r="HY355" s="15">
        <f t="shared" si="330"/>
        <v>45000</v>
      </c>
      <c r="HZ355" s="15">
        <f t="shared" si="331"/>
        <v>47.5</v>
      </c>
      <c r="IA355" s="15">
        <f t="shared" si="332"/>
        <v>16875</v>
      </c>
    </row>
    <row r="356" spans="1:235" x14ac:dyDescent="0.25">
      <c r="A356" s="31">
        <v>354</v>
      </c>
      <c r="B356" s="1">
        <v>65</v>
      </c>
      <c r="C356" s="1">
        <v>69</v>
      </c>
      <c r="D356" s="15" t="s">
        <v>315</v>
      </c>
      <c r="E356" s="1">
        <v>6</v>
      </c>
      <c r="F356" s="15" t="s">
        <v>1181</v>
      </c>
      <c r="G356" s="15" t="s">
        <v>1148</v>
      </c>
      <c r="H356" s="15" t="s">
        <v>818</v>
      </c>
      <c r="I356" s="1">
        <v>2012</v>
      </c>
      <c r="J356" s="15" t="s">
        <v>816</v>
      </c>
      <c r="K356" s="1">
        <v>2011</v>
      </c>
      <c r="L356" s="15" t="s">
        <v>819</v>
      </c>
      <c r="M356" s="15" t="s">
        <v>480</v>
      </c>
      <c r="N356" s="15" t="s">
        <v>23</v>
      </c>
      <c r="O356" s="31">
        <v>2</v>
      </c>
      <c r="P356" s="15">
        <v>31.1</v>
      </c>
      <c r="Q356" s="15">
        <v>119.13</v>
      </c>
      <c r="R356" s="23"/>
      <c r="S356" s="23"/>
      <c r="T356" s="23"/>
      <c r="U356" s="15" t="s">
        <v>807</v>
      </c>
      <c r="V356" s="31">
        <v>2</v>
      </c>
      <c r="W356" s="15" t="s">
        <v>1149</v>
      </c>
      <c r="X356" s="23"/>
      <c r="Y356" s="55"/>
      <c r="Z356" s="15">
        <v>4.38</v>
      </c>
      <c r="AA356" s="15" t="s">
        <v>573</v>
      </c>
      <c r="AB356" s="15">
        <f t="shared" si="304"/>
        <v>4.38</v>
      </c>
      <c r="AC356" s="1">
        <v>1</v>
      </c>
      <c r="AD356" s="15">
        <v>17.2</v>
      </c>
      <c r="AE356" s="15"/>
      <c r="AF356" s="15">
        <v>9.7199999999999989</v>
      </c>
      <c r="AH356" s="15">
        <v>54.732510288065839</v>
      </c>
      <c r="AJ356" s="15">
        <v>17.8</v>
      </c>
      <c r="AK356" s="15">
        <v>74.5</v>
      </c>
      <c r="AL356" s="15">
        <v>7.7</v>
      </c>
      <c r="AM356" s="1">
        <v>2</v>
      </c>
      <c r="AP356" s="15" t="s">
        <v>1150</v>
      </c>
      <c r="AQ356" s="1">
        <v>1</v>
      </c>
      <c r="AR356" s="1">
        <v>3</v>
      </c>
      <c r="DB356" s="15" t="s">
        <v>896</v>
      </c>
      <c r="DC356" s="15"/>
      <c r="DD356" s="15">
        <v>10</v>
      </c>
      <c r="DE356" s="15">
        <f t="shared" si="324"/>
        <v>22500</v>
      </c>
      <c r="DF356" s="15" t="s">
        <v>766</v>
      </c>
      <c r="DG356" s="15"/>
      <c r="DH356" s="15"/>
      <c r="DI356" s="15"/>
      <c r="DJ356" s="15">
        <v>419</v>
      </c>
      <c r="DK356" s="15">
        <v>16</v>
      </c>
      <c r="DL356" s="15">
        <v>2.4</v>
      </c>
      <c r="DM356" s="15"/>
      <c r="DN356" s="15"/>
      <c r="DO356" s="15"/>
      <c r="DP356" s="15"/>
      <c r="DQ356" s="15"/>
      <c r="DR356" s="15">
        <v>76.19</v>
      </c>
      <c r="DS356" s="15">
        <f>DE356</f>
        <v>22500</v>
      </c>
      <c r="DT356" s="15">
        <f t="shared" si="325"/>
        <v>37.5</v>
      </c>
      <c r="DU356" s="15">
        <f t="shared" si="326"/>
        <v>4500</v>
      </c>
      <c r="DV356" s="1">
        <v>8.48</v>
      </c>
      <c r="DW356" s="1" t="s">
        <v>938</v>
      </c>
      <c r="DX356" s="1">
        <v>10</v>
      </c>
      <c r="DY356" s="15">
        <f t="shared" si="319"/>
        <v>22500</v>
      </c>
      <c r="DZ356" s="15" t="s">
        <v>766</v>
      </c>
      <c r="EA356" s="1"/>
      <c r="EB356" s="1"/>
      <c r="EC356" s="1">
        <v>242.46</v>
      </c>
      <c r="ED356" s="1">
        <v>59.34</v>
      </c>
      <c r="EE356" s="1">
        <v>0.03</v>
      </c>
      <c r="EF356" s="1">
        <v>39.159999999999997</v>
      </c>
      <c r="EG356" s="1">
        <v>0.59</v>
      </c>
      <c r="EH356" s="1">
        <v>121.49</v>
      </c>
      <c r="ES356" s="15">
        <f t="shared" si="320"/>
        <v>22500</v>
      </c>
      <c r="ET356" s="15">
        <f t="shared" si="321"/>
        <v>10</v>
      </c>
      <c r="EU356" s="15">
        <f t="shared" si="322"/>
        <v>12375.000000000002</v>
      </c>
      <c r="EW356" s="46">
        <f>AX356+BT356+CF356+DE356+DY356</f>
        <v>45000</v>
      </c>
      <c r="EX356" s="46">
        <f>BA356+BZ356+CZ356+DT356+ET356</f>
        <v>47.5</v>
      </c>
      <c r="EY356" s="46">
        <f>BB356+CA356+DA356+DU356+EU356</f>
        <v>16875</v>
      </c>
      <c r="FK356" s="16">
        <f t="shared" si="305"/>
        <v>4.18</v>
      </c>
      <c r="FL356" s="16">
        <f t="shared" si="306"/>
        <v>5.01</v>
      </c>
      <c r="FM356" s="15">
        <v>4.18</v>
      </c>
      <c r="FN356" s="15">
        <v>0.05</v>
      </c>
      <c r="FO356" s="15">
        <f>FN356*SQRT(AR356)</f>
        <v>8.6602540378443865E-2</v>
      </c>
      <c r="FP356" s="15">
        <v>5.01</v>
      </c>
      <c r="FQ356" s="15">
        <v>0.05</v>
      </c>
      <c r="FR356" s="15">
        <f>FQ356*SQRT(AR356)</f>
        <v>8.6602540378443865E-2</v>
      </c>
      <c r="FS356" s="15">
        <f t="shared" si="333"/>
        <v>1.1985645933014355</v>
      </c>
      <c r="FT356" s="15">
        <f t="shared" si="334"/>
        <v>0.83000000000000007</v>
      </c>
      <c r="FU356" s="15">
        <f t="shared" si="335"/>
        <v>0.18112466856010845</v>
      </c>
      <c r="FV356" s="15">
        <f>((FR356*FR356)/(AR356*FP356*FP356)+(FO356*FO356)/(AR356*FM356*FM356))</f>
        <v>2.4268400168882151E-4</v>
      </c>
      <c r="GI356" s="15">
        <v>4.75</v>
      </c>
      <c r="GJ356" s="15">
        <v>0.05</v>
      </c>
      <c r="GK356" s="15">
        <f>GJ356*SQRT(AR173)</f>
        <v>8.6602540378443865E-2</v>
      </c>
      <c r="GL356" s="15">
        <v>10.3</v>
      </c>
      <c r="GM356" s="15">
        <v>0.10300000000000001</v>
      </c>
      <c r="GN356" s="15">
        <f>GM356*SQRT(AR173)</f>
        <v>0.17840123317959436</v>
      </c>
      <c r="GO356" s="15">
        <f t="shared" si="327"/>
        <v>2.168421052631579</v>
      </c>
      <c r="GP356" s="15">
        <f t="shared" si="328"/>
        <v>5.5500000000000007</v>
      </c>
      <c r="GQ356" s="15">
        <f t="shared" si="329"/>
        <v>0.77399927718904005</v>
      </c>
      <c r="GR356" s="15">
        <f>((GN356*GN356)/(AR173*GL356*GL356)+(GK356*GK356)/(AR173*GI356*GI356))</f>
        <v>2.1080332409972299E-4</v>
      </c>
      <c r="HY356" s="15">
        <f t="shared" si="330"/>
        <v>45000</v>
      </c>
      <c r="HZ356" s="15">
        <f t="shared" si="331"/>
        <v>47.5</v>
      </c>
      <c r="IA356" s="15">
        <f t="shared" si="332"/>
        <v>16875</v>
      </c>
    </row>
    <row r="357" spans="1:235" x14ac:dyDescent="0.25">
      <c r="A357" s="31">
        <v>355</v>
      </c>
      <c r="B357" s="1">
        <v>65</v>
      </c>
      <c r="C357" s="1">
        <v>69</v>
      </c>
      <c r="D357" s="15" t="s">
        <v>316</v>
      </c>
      <c r="E357" s="1">
        <v>6</v>
      </c>
      <c r="F357" s="15" t="s">
        <v>1181</v>
      </c>
      <c r="G357" s="15" t="s">
        <v>1148</v>
      </c>
      <c r="H357" s="15" t="s">
        <v>818</v>
      </c>
      <c r="I357" s="1">
        <v>2012</v>
      </c>
      <c r="J357" s="15" t="s">
        <v>816</v>
      </c>
      <c r="K357" s="1">
        <v>2011</v>
      </c>
      <c r="L357" s="15" t="s">
        <v>819</v>
      </c>
      <c r="M357" s="15" t="s">
        <v>480</v>
      </c>
      <c r="N357" s="15" t="s">
        <v>23</v>
      </c>
      <c r="O357" s="31">
        <v>2</v>
      </c>
      <c r="P357" s="15">
        <v>31.1</v>
      </c>
      <c r="Q357" s="15">
        <v>119.13</v>
      </c>
      <c r="R357" s="23"/>
      <c r="S357" s="23"/>
      <c r="T357" s="23"/>
      <c r="U357" s="15" t="s">
        <v>807</v>
      </c>
      <c r="V357" s="31">
        <v>2</v>
      </c>
      <c r="W357" s="15" t="s">
        <v>1149</v>
      </c>
      <c r="X357" s="23"/>
      <c r="Y357" s="55"/>
      <c r="Z357" s="15">
        <v>4.38</v>
      </c>
      <c r="AA357" s="15" t="s">
        <v>573</v>
      </c>
      <c r="AB357" s="15">
        <f t="shared" si="304"/>
        <v>4.38</v>
      </c>
      <c r="AC357" s="1">
        <v>1</v>
      </c>
      <c r="AD357" s="15">
        <v>17.2</v>
      </c>
      <c r="AE357" s="15"/>
      <c r="AF357" s="15">
        <v>9.7199999999999989</v>
      </c>
      <c r="AH357" s="15">
        <v>54.732510288065839</v>
      </c>
      <c r="AJ357" s="15">
        <v>17.8</v>
      </c>
      <c r="AK357" s="15">
        <v>74.5</v>
      </c>
      <c r="AL357" s="15">
        <v>7.7</v>
      </c>
      <c r="AM357" s="1">
        <v>2</v>
      </c>
      <c r="AP357" s="15" t="s">
        <v>1150</v>
      </c>
      <c r="AQ357" s="1">
        <v>1</v>
      </c>
      <c r="AR357" s="1">
        <v>3</v>
      </c>
      <c r="DB357" s="15" t="s">
        <v>1151</v>
      </c>
      <c r="DC357" s="15"/>
      <c r="DD357" s="15">
        <v>10</v>
      </c>
      <c r="DE357" s="15">
        <f t="shared" si="324"/>
        <v>22500</v>
      </c>
      <c r="DF357" s="15" t="s">
        <v>766</v>
      </c>
      <c r="DG357" s="15"/>
      <c r="DH357" s="15"/>
      <c r="DI357" s="15"/>
      <c r="DJ357" s="15">
        <v>408</v>
      </c>
      <c r="DK357" s="15">
        <v>54</v>
      </c>
      <c r="DL357" s="15">
        <v>5.0999999999999996</v>
      </c>
      <c r="DM357" s="15"/>
      <c r="DN357" s="15"/>
      <c r="DO357" s="15"/>
      <c r="DP357" s="15"/>
      <c r="DQ357" s="15"/>
      <c r="DR357" s="15">
        <v>77.819999999999993</v>
      </c>
      <c r="DS357" s="15">
        <f>DE357</f>
        <v>22500</v>
      </c>
      <c r="DT357" s="15">
        <f t="shared" si="325"/>
        <v>37.5</v>
      </c>
      <c r="DU357" s="15">
        <f t="shared" si="326"/>
        <v>4500</v>
      </c>
      <c r="DV357" s="1">
        <v>8.48</v>
      </c>
      <c r="DW357" s="1" t="s">
        <v>938</v>
      </c>
      <c r="DX357" s="1">
        <v>10</v>
      </c>
      <c r="DY357" s="15">
        <f t="shared" si="319"/>
        <v>22500</v>
      </c>
      <c r="DZ357" s="15" t="s">
        <v>766</v>
      </c>
      <c r="EA357" s="1"/>
      <c r="EB357" s="1"/>
      <c r="EC357" s="1">
        <v>242.46</v>
      </c>
      <c r="ED357" s="1">
        <v>59.34</v>
      </c>
      <c r="EE357" s="1">
        <v>0.03</v>
      </c>
      <c r="EF357" s="1">
        <v>39.159999999999997</v>
      </c>
      <c r="EG357" s="1">
        <v>0.59</v>
      </c>
      <c r="EH357" s="1">
        <v>121.49</v>
      </c>
      <c r="ES357" s="15">
        <f t="shared" si="320"/>
        <v>22500</v>
      </c>
      <c r="ET357" s="15">
        <f t="shared" si="321"/>
        <v>10</v>
      </c>
      <c r="EU357" s="15">
        <f t="shared" si="322"/>
        <v>12375.000000000002</v>
      </c>
      <c r="EW357" s="46">
        <f>AX357+BT357+CF357+DE357+DY357</f>
        <v>45000</v>
      </c>
      <c r="EX357" s="46">
        <f>BA357+BZ357+CZ357+DT357+ET357</f>
        <v>47.5</v>
      </c>
      <c r="EY357" s="46">
        <f>BB357+CA357+DA357+DU357+EU357</f>
        <v>16875</v>
      </c>
      <c r="FK357" s="16">
        <f t="shared" si="305"/>
        <v>4.18</v>
      </c>
      <c r="FL357" s="16">
        <f t="shared" si="306"/>
        <v>4.7699999999999996</v>
      </c>
      <c r="FM357" s="15">
        <v>4.18</v>
      </c>
      <c r="FN357" s="15">
        <v>0.05</v>
      </c>
      <c r="FO357" s="15">
        <f>FN357*SQRT(AR357)</f>
        <v>8.6602540378443865E-2</v>
      </c>
      <c r="FP357" s="15">
        <v>4.7699999999999996</v>
      </c>
      <c r="FQ357" s="15">
        <v>0.05</v>
      </c>
      <c r="FR357" s="15">
        <f>FQ357*SQRT(AR357)</f>
        <v>8.6602540378443865E-2</v>
      </c>
      <c r="FS357" s="15">
        <f t="shared" si="333"/>
        <v>1.1411483253588517</v>
      </c>
      <c r="FT357" s="15">
        <f t="shared" si="334"/>
        <v>0.58999999999999986</v>
      </c>
      <c r="FU357" s="15">
        <f t="shared" si="335"/>
        <v>0.13203505836358476</v>
      </c>
      <c r="FV357" s="15">
        <f>((FR357*FR357)/(AR357*FP357*FP357)+(FO357*FO357)/(AR357*FM357*FM357))</f>
        <v>2.529589085863024E-4</v>
      </c>
      <c r="GI357" s="15">
        <v>4.75</v>
      </c>
      <c r="GJ357" s="15">
        <v>0.05</v>
      </c>
      <c r="GK357" s="15">
        <f>GJ357*SQRT(AR174)</f>
        <v>8.6602540378443865E-2</v>
      </c>
      <c r="GL357" s="15">
        <v>11.4</v>
      </c>
      <c r="GM357" s="15">
        <v>0.114</v>
      </c>
      <c r="GN357" s="15">
        <f>GM357*SQRT(AR174)</f>
        <v>0.19745379206285202</v>
      </c>
      <c r="GO357" s="15">
        <f t="shared" si="327"/>
        <v>2.4</v>
      </c>
      <c r="GP357" s="15">
        <f t="shared" si="328"/>
        <v>6.65</v>
      </c>
      <c r="GQ357" s="15">
        <f t="shared" si="329"/>
        <v>0.87546873735389985</v>
      </c>
      <c r="GR357" s="15">
        <f>((GN357*GN357)/(AR174*GL357*GL357)+(GK357*GK357)/(AR174*GI357*GI357))</f>
        <v>2.1080332409972299E-4</v>
      </c>
      <c r="HY357" s="15">
        <f t="shared" si="330"/>
        <v>45000</v>
      </c>
      <c r="HZ357" s="15">
        <f t="shared" si="331"/>
        <v>47.5</v>
      </c>
      <c r="IA357" s="15">
        <f t="shared" si="332"/>
        <v>16875</v>
      </c>
    </row>
    <row r="358" spans="1:235" x14ac:dyDescent="0.25">
      <c r="A358" s="31">
        <v>356</v>
      </c>
      <c r="B358" s="1">
        <v>65</v>
      </c>
      <c r="C358" s="1">
        <v>69</v>
      </c>
      <c r="D358" s="15" t="s">
        <v>317</v>
      </c>
      <c r="E358" s="1">
        <v>6</v>
      </c>
      <c r="F358" s="15" t="s">
        <v>1181</v>
      </c>
      <c r="G358" s="15" t="s">
        <v>1148</v>
      </c>
      <c r="H358" s="15" t="s">
        <v>818</v>
      </c>
      <c r="I358" s="1">
        <v>2012</v>
      </c>
      <c r="J358" s="15" t="s">
        <v>816</v>
      </c>
      <c r="K358" s="1">
        <v>2011</v>
      </c>
      <c r="L358" s="15" t="s">
        <v>819</v>
      </c>
      <c r="M358" s="15" t="s">
        <v>480</v>
      </c>
      <c r="N358" s="15" t="s">
        <v>23</v>
      </c>
      <c r="O358" s="31">
        <v>2</v>
      </c>
      <c r="P358" s="15">
        <v>31.1</v>
      </c>
      <c r="Q358" s="15">
        <v>119.13</v>
      </c>
      <c r="R358" s="23"/>
      <c r="S358" s="23"/>
      <c r="T358" s="23"/>
      <c r="U358" s="15" t="s">
        <v>807</v>
      </c>
      <c r="V358" s="31">
        <v>2</v>
      </c>
      <c r="W358" s="15" t="s">
        <v>1149</v>
      </c>
      <c r="X358" s="23"/>
      <c r="Y358" s="55"/>
      <c r="Z358" s="15">
        <v>4.38</v>
      </c>
      <c r="AA358" s="15" t="s">
        <v>573</v>
      </c>
      <c r="AB358" s="15">
        <f t="shared" si="304"/>
        <v>4.38</v>
      </c>
      <c r="AC358" s="1">
        <v>1</v>
      </c>
      <c r="AD358" s="15">
        <v>17.2</v>
      </c>
      <c r="AE358" s="15"/>
      <c r="AF358" s="15">
        <v>9.7199999999999989</v>
      </c>
      <c r="AH358" s="15">
        <v>54.732510288065839</v>
      </c>
      <c r="AJ358" s="15">
        <v>17.8</v>
      </c>
      <c r="AK358" s="15">
        <v>74.5</v>
      </c>
      <c r="AL358" s="15">
        <v>7.7</v>
      </c>
      <c r="AM358" s="1">
        <v>2</v>
      </c>
      <c r="AP358" s="15" t="s">
        <v>1150</v>
      </c>
      <c r="AQ358" s="1">
        <v>1</v>
      </c>
      <c r="AR358" s="1">
        <v>3</v>
      </c>
      <c r="DB358" s="15" t="s">
        <v>717</v>
      </c>
      <c r="DC358" s="15"/>
      <c r="DD358" s="15">
        <v>20</v>
      </c>
      <c r="DE358" s="15">
        <f t="shared" si="324"/>
        <v>45000</v>
      </c>
      <c r="DF358" s="15" t="s">
        <v>766</v>
      </c>
      <c r="DG358" s="15"/>
      <c r="DH358" s="15"/>
      <c r="DI358" s="15"/>
      <c r="DJ358" s="15">
        <v>421</v>
      </c>
      <c r="DK358" s="15">
        <v>45</v>
      </c>
      <c r="DL358" s="15">
        <v>0.7</v>
      </c>
      <c r="DM358" s="15"/>
      <c r="DN358" s="15"/>
      <c r="DO358" s="15"/>
      <c r="DP358" s="15"/>
      <c r="DQ358" s="15"/>
      <c r="DR358" s="15">
        <v>20.9</v>
      </c>
      <c r="DS358" s="15">
        <f>DE358</f>
        <v>45000</v>
      </c>
      <c r="DT358" s="15">
        <f t="shared" si="325"/>
        <v>75</v>
      </c>
      <c r="DU358" s="15">
        <f t="shared" si="326"/>
        <v>9000</v>
      </c>
      <c r="DV358" s="1">
        <v>8.48</v>
      </c>
      <c r="DW358" s="1" t="s">
        <v>938</v>
      </c>
      <c r="DX358" s="1">
        <v>10</v>
      </c>
      <c r="DY358" s="15">
        <f t="shared" si="319"/>
        <v>22500</v>
      </c>
      <c r="DZ358" s="15" t="s">
        <v>766</v>
      </c>
      <c r="EA358" s="1"/>
      <c r="EB358" s="1"/>
      <c r="EC358" s="1">
        <v>242.46</v>
      </c>
      <c r="ED358" s="1">
        <v>59.34</v>
      </c>
      <c r="EE358" s="1">
        <v>0.03</v>
      </c>
      <c r="EF358" s="1">
        <v>39.159999999999997</v>
      </c>
      <c r="EG358" s="1">
        <v>0.59</v>
      </c>
      <c r="EH358" s="1">
        <v>121.49</v>
      </c>
      <c r="ES358" s="15">
        <f t="shared" si="320"/>
        <v>22500</v>
      </c>
      <c r="ET358" s="15">
        <f t="shared" si="321"/>
        <v>10</v>
      </c>
      <c r="EU358" s="15">
        <f t="shared" si="322"/>
        <v>12375.000000000002</v>
      </c>
      <c r="EW358" s="46">
        <f>AX358+BT358+CF358+DE358+DY358</f>
        <v>67500</v>
      </c>
      <c r="EX358" s="46">
        <f>BA358+BZ358+CZ358+DT358+ET358</f>
        <v>85</v>
      </c>
      <c r="EY358" s="46">
        <f>BB358+CA358+DA358+DU358+EU358</f>
        <v>21375</v>
      </c>
      <c r="FK358" s="16">
        <f t="shared" si="305"/>
        <v>4.1900000000000004</v>
      </c>
      <c r="FL358" s="16">
        <f t="shared" si="306"/>
        <v>5.36</v>
      </c>
      <c r="FM358" s="15">
        <v>4.1900000000000004</v>
      </c>
      <c r="FN358" s="15">
        <v>0.05</v>
      </c>
      <c r="FO358" s="15">
        <f>FN358*SQRT(AR358)</f>
        <v>8.6602540378443865E-2</v>
      </c>
      <c r="FP358" s="15">
        <v>5.36</v>
      </c>
      <c r="FQ358" s="15">
        <v>0.05</v>
      </c>
      <c r="FR358" s="15">
        <f>FQ358*SQRT(AR358)</f>
        <v>8.6602540378443865E-2</v>
      </c>
      <c r="FS358" s="15">
        <f t="shared" si="333"/>
        <v>1.2792362768496419</v>
      </c>
      <c r="FT358" s="15">
        <f t="shared" si="334"/>
        <v>1.17</v>
      </c>
      <c r="FU358" s="15">
        <f t="shared" si="335"/>
        <v>0.24626324114866427</v>
      </c>
      <c r="FV358" s="15">
        <f>((FR358*FR358)/(AR358*FP358*FP358)+(FO358*FO358)/(AR358*FM358*FM358))</f>
        <v>2.2941891394312255E-4</v>
      </c>
      <c r="GI358" s="15">
        <v>4.75</v>
      </c>
      <c r="GJ358" s="15">
        <v>0.05</v>
      </c>
      <c r="GK358" s="15">
        <f>GJ358*SQRT(AR175)</f>
        <v>8.6602540378443865E-2</v>
      </c>
      <c r="GL358" s="15">
        <v>9.58</v>
      </c>
      <c r="GM358" s="15">
        <v>9.5799999999999996E-2</v>
      </c>
      <c r="GN358" s="15">
        <f>GM358*SQRT(AR175)</f>
        <v>0.16593046736509842</v>
      </c>
      <c r="GO358" s="15">
        <f t="shared" si="327"/>
        <v>2.0168421052631578</v>
      </c>
      <c r="GP358" s="15">
        <f t="shared" si="328"/>
        <v>4.83</v>
      </c>
      <c r="GQ358" s="15">
        <f t="shared" si="329"/>
        <v>0.70153297393621905</v>
      </c>
      <c r="GR358" s="15">
        <f>((GN358*GN358)/(AR175*GL358*GL358)+(GK358*GK358)/(AR175*GI358*GI358))</f>
        <v>2.1080332409972294E-4</v>
      </c>
      <c r="HY358" s="15">
        <f t="shared" si="330"/>
        <v>67500</v>
      </c>
      <c r="HZ358" s="15">
        <f t="shared" si="331"/>
        <v>85</v>
      </c>
      <c r="IA358" s="15">
        <f t="shared" si="332"/>
        <v>21375</v>
      </c>
    </row>
    <row r="359" spans="1:235" x14ac:dyDescent="0.25">
      <c r="A359" s="31">
        <v>357</v>
      </c>
      <c r="B359" s="1">
        <v>65</v>
      </c>
      <c r="C359" s="1">
        <v>69</v>
      </c>
      <c r="D359" s="15" t="s">
        <v>318</v>
      </c>
      <c r="E359" s="1">
        <v>6</v>
      </c>
      <c r="F359" s="15" t="s">
        <v>1181</v>
      </c>
      <c r="G359" s="15" t="s">
        <v>1148</v>
      </c>
      <c r="H359" s="15" t="s">
        <v>818</v>
      </c>
      <c r="I359" s="1">
        <v>2012</v>
      </c>
      <c r="J359" s="15" t="s">
        <v>816</v>
      </c>
      <c r="K359" s="1">
        <v>2011</v>
      </c>
      <c r="L359" s="15" t="s">
        <v>819</v>
      </c>
      <c r="M359" s="15" t="s">
        <v>480</v>
      </c>
      <c r="N359" s="15" t="s">
        <v>23</v>
      </c>
      <c r="O359" s="31">
        <v>2</v>
      </c>
      <c r="P359" s="15">
        <v>31.1</v>
      </c>
      <c r="Q359" s="15">
        <v>119.13</v>
      </c>
      <c r="R359" s="23"/>
      <c r="S359" s="23"/>
      <c r="T359" s="23"/>
      <c r="U359" s="15" t="s">
        <v>807</v>
      </c>
      <c r="V359" s="31">
        <v>2</v>
      </c>
      <c r="W359" s="15" t="s">
        <v>1149</v>
      </c>
      <c r="X359" s="23"/>
      <c r="Y359" s="55"/>
      <c r="Z359" s="15">
        <v>4.38</v>
      </c>
      <c r="AA359" s="15" t="s">
        <v>573</v>
      </c>
      <c r="AB359" s="15">
        <f t="shared" si="304"/>
        <v>4.38</v>
      </c>
      <c r="AC359" s="1">
        <v>1</v>
      </c>
      <c r="AD359" s="15">
        <v>17.2</v>
      </c>
      <c r="AE359" s="15"/>
      <c r="AF359" s="15">
        <v>9.7199999999999989</v>
      </c>
      <c r="AH359" s="15">
        <v>54.732510288065839</v>
      </c>
      <c r="AJ359" s="15">
        <v>17.8</v>
      </c>
      <c r="AK359" s="15">
        <v>74.5</v>
      </c>
      <c r="AL359" s="15">
        <v>7.7</v>
      </c>
      <c r="AM359" s="1">
        <v>2</v>
      </c>
      <c r="AP359" s="15" t="s">
        <v>1150</v>
      </c>
      <c r="AQ359" s="1">
        <v>1</v>
      </c>
      <c r="AR359" s="1">
        <v>3</v>
      </c>
      <c r="DB359" s="15" t="s">
        <v>835</v>
      </c>
      <c r="DC359" s="15"/>
      <c r="DD359" s="15">
        <v>20</v>
      </c>
      <c r="DE359" s="15">
        <f t="shared" si="324"/>
        <v>45000</v>
      </c>
      <c r="DF359" s="15" t="s">
        <v>766</v>
      </c>
      <c r="DG359" s="15"/>
      <c r="DH359" s="15"/>
      <c r="DI359" s="15"/>
      <c r="DJ359" s="15">
        <v>418</v>
      </c>
      <c r="DK359" s="15">
        <v>86</v>
      </c>
      <c r="DL359" s="15">
        <v>1.1000000000000001</v>
      </c>
      <c r="DM359" s="15"/>
      <c r="DN359" s="15"/>
      <c r="DO359" s="15"/>
      <c r="DP359" s="15"/>
      <c r="DQ359" s="15"/>
      <c r="DR359" s="15">
        <v>29.3</v>
      </c>
      <c r="DS359" s="15">
        <f>DE359</f>
        <v>45000</v>
      </c>
      <c r="DT359" s="15">
        <f t="shared" si="325"/>
        <v>75</v>
      </c>
      <c r="DU359" s="15">
        <f t="shared" si="326"/>
        <v>9000</v>
      </c>
      <c r="DV359" s="1">
        <v>8.48</v>
      </c>
      <c r="DW359" s="1" t="s">
        <v>938</v>
      </c>
      <c r="DX359" s="1">
        <v>10</v>
      </c>
      <c r="DY359" s="15">
        <f t="shared" si="319"/>
        <v>22500</v>
      </c>
      <c r="DZ359" s="15" t="s">
        <v>766</v>
      </c>
      <c r="EA359" s="1"/>
      <c r="EB359" s="1"/>
      <c r="EC359" s="1">
        <v>242.46</v>
      </c>
      <c r="ED359" s="1">
        <v>59.34</v>
      </c>
      <c r="EE359" s="1">
        <v>0.03</v>
      </c>
      <c r="EF359" s="1">
        <v>39.159999999999997</v>
      </c>
      <c r="EG359" s="1">
        <v>0.59</v>
      </c>
      <c r="EH359" s="1">
        <v>121.49</v>
      </c>
      <c r="ES359" s="15">
        <f t="shared" si="320"/>
        <v>22500</v>
      </c>
      <c r="ET359" s="15">
        <f t="shared" si="321"/>
        <v>10</v>
      </c>
      <c r="EU359" s="15">
        <f t="shared" si="322"/>
        <v>12375.000000000002</v>
      </c>
      <c r="EW359" s="46">
        <f>AX359+BT359+CF359+DE359+DY359</f>
        <v>67500</v>
      </c>
      <c r="EX359" s="46">
        <f>BA359+BZ359+CZ359+DT359+ET359</f>
        <v>85</v>
      </c>
      <c r="EY359" s="46">
        <f>BB359+CA359+DA359+DU359+EU359</f>
        <v>21375</v>
      </c>
      <c r="FK359" s="16">
        <f t="shared" si="305"/>
        <v>4.1900000000000004</v>
      </c>
      <c r="FL359" s="16">
        <f t="shared" si="306"/>
        <v>5.05</v>
      </c>
      <c r="FM359" s="15">
        <v>4.1900000000000004</v>
      </c>
      <c r="FN359" s="15">
        <v>0.05</v>
      </c>
      <c r="FO359" s="15">
        <f>FN359*SQRT(AR359)</f>
        <v>8.6602540378443865E-2</v>
      </c>
      <c r="FP359" s="15">
        <v>5.05</v>
      </c>
      <c r="FQ359" s="15">
        <v>0.05</v>
      </c>
      <c r="FR359" s="15">
        <f>FQ359*SQRT(AR359)</f>
        <v>8.6602540378443865E-2</v>
      </c>
      <c r="FS359" s="15">
        <f t="shared" si="333"/>
        <v>1.205250596658711</v>
      </c>
      <c r="FT359" s="15">
        <f t="shared" si="334"/>
        <v>0.85999999999999943</v>
      </c>
      <c r="FU359" s="15">
        <f t="shared" si="335"/>
        <v>0.18668750935322187</v>
      </c>
      <c r="FV359" s="15">
        <f>((FR359*FR359)/(AR359*FP359*FP359)+(FO359*FO359)/(AR359*FM359*FM359))</f>
        <v>2.4043025200923236E-4</v>
      </c>
      <c r="GI359" s="15">
        <v>4.75</v>
      </c>
      <c r="GJ359" s="15">
        <v>0.05</v>
      </c>
      <c r="GK359" s="15">
        <f>GJ359*SQRT(AR176)</f>
        <v>8.6602540378443865E-2</v>
      </c>
      <c r="GL359" s="15">
        <v>9.77</v>
      </c>
      <c r="GM359" s="15">
        <v>9.7699999999999995E-2</v>
      </c>
      <c r="GN359" s="15">
        <f>GM359*SQRT(AR176)</f>
        <v>0.16922136389947928</v>
      </c>
      <c r="GO359" s="15">
        <f t="shared" si="327"/>
        <v>2.0568421052631578</v>
      </c>
      <c r="GP359" s="15">
        <f t="shared" si="328"/>
        <v>5.0199999999999996</v>
      </c>
      <c r="GQ359" s="15">
        <f t="shared" si="329"/>
        <v>0.72117184800814149</v>
      </c>
      <c r="GR359" s="15">
        <f>((GN359*GN359)/(AR176*GL359*GL359)+(GK359*GK359)/(AR176*GI359*GI359))</f>
        <v>2.1080332409972294E-4</v>
      </c>
      <c r="HY359" s="15">
        <f t="shared" si="330"/>
        <v>67500</v>
      </c>
      <c r="HZ359" s="15">
        <f t="shared" si="331"/>
        <v>85</v>
      </c>
      <c r="IA359" s="15">
        <f t="shared" si="332"/>
        <v>21375</v>
      </c>
    </row>
    <row r="360" spans="1:235" x14ac:dyDescent="0.25">
      <c r="A360" s="31">
        <v>358</v>
      </c>
      <c r="B360" s="1">
        <v>65</v>
      </c>
      <c r="C360" s="1">
        <v>69</v>
      </c>
      <c r="D360" s="15" t="s">
        <v>319</v>
      </c>
      <c r="E360" s="1">
        <v>6</v>
      </c>
      <c r="F360" s="15" t="s">
        <v>1181</v>
      </c>
      <c r="G360" s="15" t="s">
        <v>1148</v>
      </c>
      <c r="H360" s="15" t="s">
        <v>818</v>
      </c>
      <c r="I360" s="1">
        <v>2012</v>
      </c>
      <c r="J360" s="15" t="s">
        <v>816</v>
      </c>
      <c r="K360" s="1">
        <v>2011</v>
      </c>
      <c r="L360" s="15" t="s">
        <v>819</v>
      </c>
      <c r="M360" s="15" t="s">
        <v>480</v>
      </c>
      <c r="N360" s="15" t="s">
        <v>23</v>
      </c>
      <c r="O360" s="31">
        <v>2</v>
      </c>
      <c r="P360" s="15">
        <v>31.1</v>
      </c>
      <c r="Q360" s="15">
        <v>119.13</v>
      </c>
      <c r="R360" s="23"/>
      <c r="S360" s="23"/>
      <c r="T360" s="23"/>
      <c r="U360" s="15" t="s">
        <v>807</v>
      </c>
      <c r="V360" s="31">
        <v>2</v>
      </c>
      <c r="W360" s="15" t="s">
        <v>1149</v>
      </c>
      <c r="X360" s="23"/>
      <c r="Y360" s="55"/>
      <c r="Z360" s="15">
        <v>4.38</v>
      </c>
      <c r="AA360" s="15" t="s">
        <v>573</v>
      </c>
      <c r="AB360" s="15">
        <f t="shared" si="304"/>
        <v>4.38</v>
      </c>
      <c r="AC360" s="1">
        <v>1</v>
      </c>
      <c r="AD360" s="15">
        <v>17.2</v>
      </c>
      <c r="AE360" s="15"/>
      <c r="AF360" s="15">
        <v>9.7199999999999989</v>
      </c>
      <c r="AH360" s="15">
        <v>54.732510288065839</v>
      </c>
      <c r="AJ360" s="15">
        <v>17.8</v>
      </c>
      <c r="AK360" s="15">
        <v>74.5</v>
      </c>
      <c r="AL360" s="15">
        <v>7.7</v>
      </c>
      <c r="AM360" s="1">
        <v>2</v>
      </c>
      <c r="AP360" s="15" t="s">
        <v>1150</v>
      </c>
      <c r="AQ360" s="1">
        <v>1</v>
      </c>
      <c r="AR360" s="1">
        <v>3</v>
      </c>
      <c r="DB360" s="15" t="s">
        <v>896</v>
      </c>
      <c r="DC360" s="15"/>
      <c r="DD360" s="15">
        <v>20</v>
      </c>
      <c r="DE360" s="15">
        <f t="shared" si="324"/>
        <v>45000</v>
      </c>
      <c r="DF360" s="15" t="s">
        <v>766</v>
      </c>
      <c r="DG360" s="15"/>
      <c r="DH360" s="15"/>
      <c r="DI360" s="15"/>
      <c r="DJ360" s="15">
        <v>419</v>
      </c>
      <c r="DK360" s="15">
        <v>16</v>
      </c>
      <c r="DL360" s="15">
        <v>2.4</v>
      </c>
      <c r="DM360" s="15"/>
      <c r="DN360" s="15"/>
      <c r="DO360" s="15"/>
      <c r="DP360" s="15"/>
      <c r="DQ360" s="15"/>
      <c r="DR360" s="15">
        <v>76.19</v>
      </c>
      <c r="DS360" s="15">
        <f>DE360</f>
        <v>45000</v>
      </c>
      <c r="DT360" s="15">
        <f t="shared" si="325"/>
        <v>75</v>
      </c>
      <c r="DU360" s="15">
        <f t="shared" si="326"/>
        <v>9000</v>
      </c>
      <c r="DV360" s="1">
        <v>8.48</v>
      </c>
      <c r="DW360" s="1" t="s">
        <v>938</v>
      </c>
      <c r="DX360" s="1">
        <v>10</v>
      </c>
      <c r="DY360" s="15">
        <f t="shared" si="319"/>
        <v>22500</v>
      </c>
      <c r="DZ360" s="15" t="s">
        <v>766</v>
      </c>
      <c r="EA360" s="1"/>
      <c r="EB360" s="1"/>
      <c r="EC360" s="1">
        <v>242.46</v>
      </c>
      <c r="ED360" s="1">
        <v>59.34</v>
      </c>
      <c r="EE360" s="1">
        <v>0.03</v>
      </c>
      <c r="EF360" s="1">
        <v>39.159999999999997</v>
      </c>
      <c r="EG360" s="1">
        <v>0.59</v>
      </c>
      <c r="EH360" s="1">
        <v>121.49</v>
      </c>
      <c r="ES360" s="15">
        <f t="shared" si="320"/>
        <v>22500</v>
      </c>
      <c r="ET360" s="15">
        <f t="shared" si="321"/>
        <v>10</v>
      </c>
      <c r="EU360" s="15">
        <f t="shared" si="322"/>
        <v>12375.000000000002</v>
      </c>
      <c r="EW360" s="46">
        <f>AX360+BT360+CF360+DE360+DY360</f>
        <v>67500</v>
      </c>
      <c r="EX360" s="46">
        <f>BA360+BZ360+CZ360+DT360+ET360</f>
        <v>85</v>
      </c>
      <c r="EY360" s="46">
        <f>BB360+CA360+DA360+DU360+EU360</f>
        <v>21375</v>
      </c>
      <c r="FK360" s="16">
        <f t="shared" si="305"/>
        <v>4.1900000000000004</v>
      </c>
      <c r="FL360" s="16">
        <f t="shared" si="306"/>
        <v>5.2</v>
      </c>
      <c r="FM360" s="15">
        <v>4.1900000000000004</v>
      </c>
      <c r="FN360" s="15">
        <v>0.05</v>
      </c>
      <c r="FO360" s="15">
        <f>FN360*SQRT(AR360)</f>
        <v>8.6602540378443865E-2</v>
      </c>
      <c r="FP360" s="15">
        <v>5.2</v>
      </c>
      <c r="FQ360" s="15">
        <v>0.05</v>
      </c>
      <c r="FR360" s="15">
        <f>FQ360*SQRT(AR360)</f>
        <v>8.6602540378443865E-2</v>
      </c>
      <c r="FS360" s="15">
        <f t="shared" si="333"/>
        <v>1.2410501193317423</v>
      </c>
      <c r="FT360" s="15">
        <f t="shared" si="334"/>
        <v>1.0099999999999998</v>
      </c>
      <c r="FU360" s="15">
        <f t="shared" si="335"/>
        <v>0.21595789165333512</v>
      </c>
      <c r="FV360" s="15">
        <f>((FR360*FR360)/(AR360*FP360*FP360)+(FO360*FO360)/(AR360*FM360*FM360))</f>
        <v>2.3485626837031542E-4</v>
      </c>
      <c r="GI360" s="15">
        <v>4.75</v>
      </c>
      <c r="GJ360" s="15">
        <v>0.05</v>
      </c>
      <c r="GK360" s="15">
        <f>GJ360*SQRT(AR177)</f>
        <v>8.6602540378443865E-2</v>
      </c>
      <c r="GL360" s="15">
        <v>13.2</v>
      </c>
      <c r="GM360" s="15">
        <v>0.13200000000000001</v>
      </c>
      <c r="GN360" s="15">
        <f>GM360*SQRT(AR177)</f>
        <v>0.22863070659909179</v>
      </c>
      <c r="GO360" s="15">
        <f t="shared" si="327"/>
        <v>2.7789473684210524</v>
      </c>
      <c r="GP360" s="15">
        <f t="shared" si="328"/>
        <v>8.4499999999999993</v>
      </c>
      <c r="GQ360" s="15">
        <f t="shared" si="329"/>
        <v>1.0220722115457752</v>
      </c>
      <c r="GR360" s="15">
        <f>((GN360*GN360)/(AR177*GL360*GL360)+(GK360*GK360)/(AR177*GI360*GI360))</f>
        <v>2.1080332409972299E-4</v>
      </c>
      <c r="HY360" s="15">
        <f t="shared" si="330"/>
        <v>67500</v>
      </c>
      <c r="HZ360" s="15">
        <f t="shared" si="331"/>
        <v>85</v>
      </c>
      <c r="IA360" s="15">
        <f t="shared" si="332"/>
        <v>21375</v>
      </c>
    </row>
    <row r="361" spans="1:235" x14ac:dyDescent="0.25">
      <c r="A361" s="31">
        <v>359</v>
      </c>
      <c r="B361" s="1">
        <v>65</v>
      </c>
      <c r="C361" s="1">
        <v>69</v>
      </c>
      <c r="D361" s="15" t="s">
        <v>320</v>
      </c>
      <c r="E361" s="1">
        <v>6</v>
      </c>
      <c r="F361" s="15" t="s">
        <v>1181</v>
      </c>
      <c r="G361" s="15" t="s">
        <v>1148</v>
      </c>
      <c r="H361" s="15" t="s">
        <v>818</v>
      </c>
      <c r="I361" s="1">
        <v>2012</v>
      </c>
      <c r="J361" s="15" t="s">
        <v>816</v>
      </c>
      <c r="K361" s="1">
        <v>2011</v>
      </c>
      <c r="L361" s="15" t="s">
        <v>819</v>
      </c>
      <c r="M361" s="15" t="s">
        <v>480</v>
      </c>
      <c r="N361" s="15" t="s">
        <v>23</v>
      </c>
      <c r="O361" s="31">
        <v>2</v>
      </c>
      <c r="P361" s="15">
        <v>31.1</v>
      </c>
      <c r="Q361" s="15">
        <v>119.13</v>
      </c>
      <c r="R361" s="23"/>
      <c r="S361" s="23"/>
      <c r="T361" s="23"/>
      <c r="U361" s="15" t="s">
        <v>807</v>
      </c>
      <c r="V361" s="31">
        <v>2</v>
      </c>
      <c r="W361" s="15" t="s">
        <v>1149</v>
      </c>
      <c r="X361" s="23"/>
      <c r="Y361" s="55"/>
      <c r="Z361" s="15">
        <v>4.38</v>
      </c>
      <c r="AA361" s="15" t="s">
        <v>573</v>
      </c>
      <c r="AB361" s="15">
        <f t="shared" si="304"/>
        <v>4.38</v>
      </c>
      <c r="AC361" s="1">
        <v>1</v>
      </c>
      <c r="AD361" s="15">
        <v>17.2</v>
      </c>
      <c r="AE361" s="15"/>
      <c r="AF361" s="15">
        <v>9.7199999999999989</v>
      </c>
      <c r="AH361" s="15">
        <v>54.732510288065839</v>
      </c>
      <c r="AJ361" s="15">
        <v>17.8</v>
      </c>
      <c r="AK361" s="15">
        <v>74.5</v>
      </c>
      <c r="AL361" s="15">
        <v>7.7</v>
      </c>
      <c r="AM361" s="1">
        <v>2</v>
      </c>
      <c r="AP361" s="15" t="s">
        <v>1150</v>
      </c>
      <c r="AQ361" s="1">
        <v>1</v>
      </c>
      <c r="AR361" s="1">
        <v>3</v>
      </c>
      <c r="DB361" s="15" t="s">
        <v>1151</v>
      </c>
      <c r="DC361" s="15"/>
      <c r="DD361" s="15">
        <v>20</v>
      </c>
      <c r="DE361" s="15">
        <f t="shared" si="324"/>
        <v>45000</v>
      </c>
      <c r="DF361" s="15" t="s">
        <v>766</v>
      </c>
      <c r="DG361" s="15"/>
      <c r="DH361" s="15"/>
      <c r="DI361" s="15"/>
      <c r="DJ361" s="15">
        <v>408</v>
      </c>
      <c r="DK361" s="15">
        <v>54</v>
      </c>
      <c r="DL361" s="15">
        <v>5.0999999999999996</v>
      </c>
      <c r="DM361" s="15"/>
      <c r="DN361" s="15"/>
      <c r="DO361" s="15"/>
      <c r="DP361" s="15"/>
      <c r="DQ361" s="15"/>
      <c r="DR361" s="15">
        <v>77.819999999999993</v>
      </c>
      <c r="DS361" s="15">
        <f>DE361</f>
        <v>45000</v>
      </c>
      <c r="DT361" s="15">
        <f t="shared" si="325"/>
        <v>75</v>
      </c>
      <c r="DU361" s="15">
        <f t="shared" si="326"/>
        <v>9000</v>
      </c>
      <c r="DV361" s="1">
        <v>8.48</v>
      </c>
      <c r="DW361" s="1" t="s">
        <v>938</v>
      </c>
      <c r="DX361" s="1">
        <v>10</v>
      </c>
      <c r="DY361" s="15">
        <f t="shared" si="319"/>
        <v>22500</v>
      </c>
      <c r="DZ361" s="15" t="s">
        <v>766</v>
      </c>
      <c r="EA361" s="1"/>
      <c r="EB361" s="1"/>
      <c r="EC361" s="1">
        <v>242.46</v>
      </c>
      <c r="ED361" s="1">
        <v>59.34</v>
      </c>
      <c r="EE361" s="1">
        <v>0.03</v>
      </c>
      <c r="EF361" s="1">
        <v>39.159999999999997</v>
      </c>
      <c r="EG361" s="1">
        <v>0.59</v>
      </c>
      <c r="EH361" s="1">
        <v>121.49</v>
      </c>
      <c r="ES361" s="15">
        <f t="shared" si="320"/>
        <v>22500</v>
      </c>
      <c r="ET361" s="15">
        <f t="shared" si="321"/>
        <v>10</v>
      </c>
      <c r="EU361" s="15">
        <f t="shared" si="322"/>
        <v>12375.000000000002</v>
      </c>
      <c r="EW361" s="46">
        <f>AX361+BT361+CF361+DE361+DY361</f>
        <v>67500</v>
      </c>
      <c r="EX361" s="46">
        <f>BA361+BZ361+CZ361+DT361+ET361</f>
        <v>85</v>
      </c>
      <c r="EY361" s="46">
        <f>BB361+CA361+DA361+DU361+EU361</f>
        <v>21375</v>
      </c>
      <c r="FK361" s="16">
        <f t="shared" si="305"/>
        <v>4.1900000000000004</v>
      </c>
      <c r="FL361" s="16">
        <f t="shared" si="306"/>
        <v>4.57</v>
      </c>
      <c r="FM361" s="15">
        <v>4.1900000000000004</v>
      </c>
      <c r="FN361" s="15">
        <v>0.05</v>
      </c>
      <c r="FO361" s="15">
        <f>FN361*SQRT(AR361)</f>
        <v>8.6602540378443865E-2</v>
      </c>
      <c r="FP361" s="15">
        <v>4.57</v>
      </c>
      <c r="FQ361" s="15">
        <v>0.05</v>
      </c>
      <c r="FR361" s="15">
        <f>FQ361*SQRT(AR361)</f>
        <v>8.6602540378443865E-2</v>
      </c>
      <c r="FS361" s="15">
        <f t="shared" si="333"/>
        <v>1.0906921241050118</v>
      </c>
      <c r="FT361" s="15">
        <f t="shared" si="334"/>
        <v>0.37999999999999989</v>
      </c>
      <c r="FU361" s="15">
        <f t="shared" si="335"/>
        <v>8.6812470972066791E-2</v>
      </c>
      <c r="FV361" s="15">
        <f>((FR361*FR361)/(AR361*FP361*FP361)+(FO361*FO361)/(AR361*FM361*FM361))</f>
        <v>2.6210435644708646E-4</v>
      </c>
      <c r="GI361" s="15">
        <v>4.75</v>
      </c>
      <c r="GJ361" s="15">
        <v>0.05</v>
      </c>
      <c r="GK361" s="15">
        <f>GJ361*SQRT(AR178)</f>
        <v>8.6602540378443865E-2</v>
      </c>
      <c r="GL361" s="15">
        <v>15.8</v>
      </c>
      <c r="GM361" s="15">
        <v>0.158</v>
      </c>
      <c r="GN361" s="15">
        <f>GM361*SQRT(AR178)</f>
        <v>0.2736640275958826</v>
      </c>
      <c r="GO361" s="15">
        <f t="shared" si="327"/>
        <v>3.3263157894736843</v>
      </c>
      <c r="GP361" s="15">
        <f t="shared" si="328"/>
        <v>11.05</v>
      </c>
      <c r="GQ361" s="15">
        <f t="shared" si="329"/>
        <v>1.2018653219863711</v>
      </c>
      <c r="GR361" s="15">
        <f>((GN361*GN361)/(AR178*GL361*GL361)+(GK361*GK361)/(AR178*GI361*GI361))</f>
        <v>2.1080332409972296E-4</v>
      </c>
      <c r="HY361" s="15">
        <f t="shared" si="330"/>
        <v>67500</v>
      </c>
      <c r="HZ361" s="15">
        <f t="shared" si="331"/>
        <v>85</v>
      </c>
      <c r="IA361" s="15">
        <f t="shared" si="332"/>
        <v>21375</v>
      </c>
    </row>
    <row r="362" spans="1:235" s="15" customFormat="1" x14ac:dyDescent="0.25">
      <c r="A362" s="31">
        <v>360</v>
      </c>
      <c r="B362" s="1">
        <v>66</v>
      </c>
      <c r="C362" s="1">
        <v>70</v>
      </c>
      <c r="D362" s="15" t="s">
        <v>321</v>
      </c>
      <c r="E362" s="1">
        <v>1</v>
      </c>
      <c r="F362" s="15" t="s">
        <v>761</v>
      </c>
      <c r="G362" s="15" t="s">
        <v>1182</v>
      </c>
      <c r="H362" s="15" t="s">
        <v>1183</v>
      </c>
      <c r="I362" s="1">
        <v>2015</v>
      </c>
      <c r="J362" s="15" t="s">
        <v>801</v>
      </c>
      <c r="K362" s="1">
        <v>2014</v>
      </c>
      <c r="L362" s="15" t="s">
        <v>1184</v>
      </c>
      <c r="M362" s="15" t="s">
        <v>480</v>
      </c>
      <c r="N362" s="15" t="s">
        <v>23</v>
      </c>
      <c r="O362" s="31">
        <v>2</v>
      </c>
      <c r="P362" s="15">
        <v>30.27</v>
      </c>
      <c r="Q362" s="15">
        <v>117.07</v>
      </c>
      <c r="U362" s="15" t="s">
        <v>807</v>
      </c>
      <c r="V362" s="31">
        <v>2</v>
      </c>
      <c r="W362" s="15" t="s">
        <v>1149</v>
      </c>
      <c r="Y362" s="1"/>
      <c r="Z362" s="15">
        <v>5.6</v>
      </c>
      <c r="AA362" s="15" t="s">
        <v>573</v>
      </c>
      <c r="AB362" s="15">
        <f t="shared" si="304"/>
        <v>5.6</v>
      </c>
      <c r="AC362" s="1">
        <v>4</v>
      </c>
      <c r="AD362" s="15">
        <v>17.600000000000001</v>
      </c>
      <c r="AM362" s="1"/>
      <c r="AP362" s="15" t="s">
        <v>1185</v>
      </c>
      <c r="AQ362" s="61">
        <v>3</v>
      </c>
      <c r="AR362" s="1">
        <v>3</v>
      </c>
      <c r="AT362" s="15" t="s">
        <v>545</v>
      </c>
      <c r="AU362" s="15">
        <v>98</v>
      </c>
      <c r="AW362" s="15">
        <v>1500</v>
      </c>
      <c r="AX362" s="15">
        <f>AW362*1.78</f>
        <v>2670</v>
      </c>
      <c r="AY362" s="15" t="s">
        <v>766</v>
      </c>
      <c r="AZ362" s="15">
        <f t="shared" ref="AZ362:AZ425" si="336">AX362</f>
        <v>2670</v>
      </c>
      <c r="BA362" s="15">
        <f t="shared" ref="BA362:BA425" si="337">AZ362/2.93/1000</f>
        <v>0.9112627986348123</v>
      </c>
      <c r="BB362" s="15">
        <f t="shared" ref="BB362:BB425" si="338">AZ362*0.6</f>
        <v>1602</v>
      </c>
      <c r="BP362" s="16"/>
      <c r="BQ362" s="16"/>
      <c r="BR362" s="16"/>
      <c r="BU362" s="16"/>
      <c r="EZ362" s="16"/>
      <c r="FA362" s="16"/>
      <c r="FB362" s="16"/>
      <c r="FC362" s="16"/>
      <c r="FD362" s="16"/>
      <c r="FE362" s="16"/>
      <c r="FF362" s="16"/>
      <c r="FG362" s="16"/>
      <c r="FH362" s="16"/>
      <c r="FI362" s="16"/>
      <c r="FJ362" s="16"/>
      <c r="FK362" s="16">
        <f t="shared" si="305"/>
        <v>5.28</v>
      </c>
      <c r="FL362" s="16">
        <f t="shared" si="306"/>
        <v>5.83</v>
      </c>
      <c r="FM362" s="15">
        <v>5.28</v>
      </c>
      <c r="FN362" s="15">
        <v>0.13</v>
      </c>
      <c r="FO362" s="15">
        <f>FN362*SQRT(AR362)</f>
        <v>0.22516660498395405</v>
      </c>
      <c r="FP362" s="15">
        <v>5.83</v>
      </c>
      <c r="FQ362" s="15">
        <v>0.1</v>
      </c>
      <c r="FR362" s="15">
        <f>FQ362*SQRT(AR362)</f>
        <v>0.17320508075688773</v>
      </c>
      <c r="FS362" s="15">
        <f t="shared" si="333"/>
        <v>1.1041666666666665</v>
      </c>
      <c r="FT362" s="15">
        <f t="shared" si="334"/>
        <v>0.54999999999999982</v>
      </c>
      <c r="FU362" s="15">
        <f t="shared" si="335"/>
        <v>9.9090902644230816E-2</v>
      </c>
      <c r="FV362" s="15">
        <f>((FR362*FR362)/(AR362*FP362*FP362)+(FO362*FO362)/(AR362*FM362*FM362))</f>
        <v>9.0041778549598383E-4</v>
      </c>
      <c r="HE362" s="15">
        <v>117.4</v>
      </c>
      <c r="HF362" s="15">
        <v>5.870000000000001</v>
      </c>
      <c r="HG362" s="15">
        <f>HF362*SQRT(AR166)</f>
        <v>10.167138240429312</v>
      </c>
      <c r="HH362" s="15">
        <v>132.9</v>
      </c>
      <c r="HI362" s="15">
        <v>6.6450000000000005</v>
      </c>
      <c r="HJ362" s="15">
        <f>HI362*SQRT(AR362)</f>
        <v>11.50947761629519</v>
      </c>
      <c r="HK362" s="15">
        <f t="shared" ref="HK362:HK372" si="339">HH362/HE362</f>
        <v>1.1320272572402044</v>
      </c>
      <c r="HL362" s="15">
        <f t="shared" ref="HL362:HL372" si="340">HH362-HE362</f>
        <v>15.5</v>
      </c>
      <c r="HM362" s="15">
        <f t="shared" ref="HM362:HM372" si="341">LN(HH362)-LN(HE362)</f>
        <v>0.12401005832520351</v>
      </c>
      <c r="HN362" s="15">
        <f>((HJ362*HJ362)/(AR362*HH362*HH362)+(HG362*HG362)/(AR362*HE362*HE362))</f>
        <v>5.0000000000000001E-3</v>
      </c>
      <c r="HP362" s="15" t="s">
        <v>1186</v>
      </c>
      <c r="HV362" s="15">
        <f t="shared" ref="HV362:HV372" si="342">HX362/HW362/100</f>
        <v>129.18306963447444</v>
      </c>
      <c r="HW362" s="15">
        <f t="shared" ref="HW362:HW372" si="343">HM362</f>
        <v>0.12401005832520351</v>
      </c>
      <c r="HX362" s="15">
        <f>BB362</f>
        <v>1602</v>
      </c>
      <c r="HY362" s="15">
        <f>AZ362</f>
        <v>2670</v>
      </c>
      <c r="HZ362" s="15">
        <f>BA362</f>
        <v>0.9112627986348123</v>
      </c>
      <c r="IA362" s="15">
        <f>BB362</f>
        <v>1602</v>
      </c>
    </row>
    <row r="363" spans="1:235" s="15" customFormat="1" x14ac:dyDescent="0.25">
      <c r="A363" s="31">
        <v>361</v>
      </c>
      <c r="B363" s="1">
        <v>66</v>
      </c>
      <c r="C363" s="1">
        <v>70</v>
      </c>
      <c r="D363" s="15" t="s">
        <v>322</v>
      </c>
      <c r="E363" s="1">
        <v>1</v>
      </c>
      <c r="F363" s="15" t="s">
        <v>761</v>
      </c>
      <c r="G363" s="15" t="s">
        <v>1182</v>
      </c>
      <c r="H363" s="15" t="s">
        <v>1183</v>
      </c>
      <c r="I363" s="1">
        <v>2015</v>
      </c>
      <c r="J363" s="15" t="s">
        <v>801</v>
      </c>
      <c r="K363" s="1">
        <v>2014</v>
      </c>
      <c r="L363" s="15" t="s">
        <v>1184</v>
      </c>
      <c r="M363" s="15" t="s">
        <v>480</v>
      </c>
      <c r="N363" s="15" t="s">
        <v>23</v>
      </c>
      <c r="O363" s="31">
        <v>2</v>
      </c>
      <c r="P363" s="15">
        <v>30.27</v>
      </c>
      <c r="Q363" s="15">
        <v>117.07</v>
      </c>
      <c r="U363" s="15" t="s">
        <v>807</v>
      </c>
      <c r="V363" s="31">
        <v>2</v>
      </c>
      <c r="W363" s="15" t="s">
        <v>1149</v>
      </c>
      <c r="Y363" s="1"/>
      <c r="Z363" s="15">
        <v>5.6</v>
      </c>
      <c r="AA363" s="15" t="s">
        <v>573</v>
      </c>
      <c r="AB363" s="15">
        <f t="shared" si="304"/>
        <v>5.6</v>
      </c>
      <c r="AC363" s="1">
        <v>4</v>
      </c>
      <c r="AD363" s="15">
        <v>17.600000000000001</v>
      </c>
      <c r="AM363" s="1"/>
      <c r="AP363" s="15" t="s">
        <v>1185</v>
      </c>
      <c r="AQ363" s="61">
        <v>3</v>
      </c>
      <c r="AR363" s="1">
        <v>3</v>
      </c>
      <c r="AS363" s="15">
        <v>8.5</v>
      </c>
      <c r="AT363" s="15" t="s">
        <v>993</v>
      </c>
      <c r="AU363" s="15">
        <v>22</v>
      </c>
      <c r="AV363" s="15">
        <v>13</v>
      </c>
      <c r="AW363" s="15">
        <v>1500</v>
      </c>
      <c r="AX363" s="15">
        <f>AW363*1.09</f>
        <v>1635.0000000000002</v>
      </c>
      <c r="AY363" s="15" t="s">
        <v>766</v>
      </c>
      <c r="AZ363" s="15">
        <f t="shared" si="336"/>
        <v>1635.0000000000002</v>
      </c>
      <c r="BA363" s="15">
        <f t="shared" si="337"/>
        <v>0.55802047781569963</v>
      </c>
      <c r="BB363" s="15">
        <f t="shared" si="338"/>
        <v>981.00000000000011</v>
      </c>
      <c r="BP363" s="16"/>
      <c r="BQ363" s="16"/>
      <c r="BR363" s="16"/>
      <c r="BU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>
        <f t="shared" si="305"/>
        <v>5.28</v>
      </c>
      <c r="FL363" s="16">
        <f t="shared" si="306"/>
        <v>5.41</v>
      </c>
      <c r="FM363" s="15">
        <v>5.28</v>
      </c>
      <c r="FN363" s="15">
        <v>0.13</v>
      </c>
      <c r="FO363" s="15">
        <f>FN363*SQRT(AR363)</f>
        <v>0.22516660498395405</v>
      </c>
      <c r="FP363" s="15">
        <v>5.41</v>
      </c>
      <c r="FQ363" s="15">
        <v>7.0000000000000007E-2</v>
      </c>
      <c r="FR363" s="15">
        <f>FQ363*SQRT(AR363)</f>
        <v>0.12124355652982141</v>
      </c>
      <c r="FS363" s="15">
        <f t="shared" si="333"/>
        <v>1.0246212121212122</v>
      </c>
      <c r="FT363" s="15">
        <f t="shared" si="334"/>
        <v>0.12999999999999989</v>
      </c>
      <c r="FU363" s="15">
        <f t="shared" si="335"/>
        <v>2.4322995140219961E-2</v>
      </c>
      <c r="FV363" s="15">
        <f>((FR363*FR363)/(AR363*FP363*FP363)+(FO363*FO363)/(AR363*FM363*FM363))</f>
        <v>7.7362185515136763E-4</v>
      </c>
      <c r="HE363" s="15">
        <v>117.4</v>
      </c>
      <c r="HF363" s="15">
        <v>5.870000000000001</v>
      </c>
      <c r="HG363" s="15">
        <f>HF363*SQRT(AR167)</f>
        <v>10.167138240429312</v>
      </c>
      <c r="HH363" s="15">
        <v>128.1</v>
      </c>
      <c r="HI363" s="15">
        <v>6.4050000000000002</v>
      </c>
      <c r="HJ363" s="15">
        <f>HI363*SQRT(AR363)</f>
        <v>11.093785422478659</v>
      </c>
      <c r="HK363" s="15">
        <f t="shared" si="339"/>
        <v>1.0911413969335604</v>
      </c>
      <c r="HL363" s="15">
        <f t="shared" si="340"/>
        <v>10.699999999999989</v>
      </c>
      <c r="HM363" s="15">
        <f t="shared" si="341"/>
        <v>8.7224301508692648E-2</v>
      </c>
      <c r="HN363" s="15">
        <f>((HJ363*HJ363)/(AR363*HH363*HH363)+(HG363*HG363)/(AR363*HE363*HE363))</f>
        <v>5.000000000000001E-3</v>
      </c>
      <c r="HP363" s="15" t="s">
        <v>1186</v>
      </c>
      <c r="HV363" s="15">
        <f t="shared" si="342"/>
        <v>112.46865644458443</v>
      </c>
      <c r="HW363" s="15">
        <f t="shared" si="343"/>
        <v>8.7224301508692648E-2</v>
      </c>
      <c r="HX363" s="15">
        <f>BB363</f>
        <v>981.00000000000011</v>
      </c>
      <c r="HY363" s="15">
        <f>AZ363</f>
        <v>1635.0000000000002</v>
      </c>
      <c r="HZ363" s="15">
        <f>BA363</f>
        <v>0.55802047781569963</v>
      </c>
      <c r="IA363" s="15">
        <f>BB363</f>
        <v>981.00000000000011</v>
      </c>
    </row>
    <row r="364" spans="1:235" s="15" customFormat="1" x14ac:dyDescent="0.25">
      <c r="A364" s="31">
        <v>362</v>
      </c>
      <c r="B364" s="1">
        <v>66</v>
      </c>
      <c r="C364" s="1">
        <v>70</v>
      </c>
      <c r="D364" s="15" t="s">
        <v>323</v>
      </c>
      <c r="E364" s="1">
        <v>1</v>
      </c>
      <c r="F364" s="15" t="s">
        <v>761</v>
      </c>
      <c r="G364" s="15" t="s">
        <v>1182</v>
      </c>
      <c r="H364" s="15" t="s">
        <v>1183</v>
      </c>
      <c r="I364" s="1">
        <v>2015</v>
      </c>
      <c r="J364" s="15" t="s">
        <v>801</v>
      </c>
      <c r="K364" s="1">
        <v>2014</v>
      </c>
      <c r="L364" s="15" t="s">
        <v>1184</v>
      </c>
      <c r="M364" s="15" t="s">
        <v>480</v>
      </c>
      <c r="N364" s="15" t="s">
        <v>23</v>
      </c>
      <c r="O364" s="31">
        <v>2</v>
      </c>
      <c r="P364" s="15">
        <v>30.27</v>
      </c>
      <c r="Q364" s="15">
        <v>117.07</v>
      </c>
      <c r="U364" s="15" t="s">
        <v>807</v>
      </c>
      <c r="V364" s="31">
        <v>2</v>
      </c>
      <c r="W364" s="15" t="s">
        <v>1149</v>
      </c>
      <c r="Y364" s="1"/>
      <c r="Z364" s="15">
        <v>5.6</v>
      </c>
      <c r="AA364" s="15" t="s">
        <v>573</v>
      </c>
      <c r="AB364" s="15">
        <f t="shared" si="304"/>
        <v>5.6</v>
      </c>
      <c r="AC364" s="1">
        <v>4</v>
      </c>
      <c r="AD364" s="15">
        <v>17.600000000000001</v>
      </c>
      <c r="AM364" s="1"/>
      <c r="AP364" s="15" t="s">
        <v>1185</v>
      </c>
      <c r="AQ364" s="61">
        <v>3</v>
      </c>
      <c r="AR364" s="1">
        <v>3</v>
      </c>
      <c r="AT364" s="15" t="s">
        <v>546</v>
      </c>
      <c r="AW364" s="15">
        <v>1500</v>
      </c>
      <c r="AX364" s="15">
        <f>AW364*1.35</f>
        <v>2025.0000000000002</v>
      </c>
      <c r="AY364" s="15" t="s">
        <v>766</v>
      </c>
      <c r="AZ364" s="15">
        <f t="shared" si="336"/>
        <v>2025.0000000000002</v>
      </c>
      <c r="BA364" s="15">
        <f t="shared" si="337"/>
        <v>0.6911262798634813</v>
      </c>
      <c r="BB364" s="15">
        <f t="shared" si="338"/>
        <v>1215</v>
      </c>
      <c r="BP364" s="16"/>
      <c r="BQ364" s="16"/>
      <c r="BR364" s="16"/>
      <c r="BU364" s="16"/>
      <c r="EZ364" s="16"/>
      <c r="FA364" s="16"/>
      <c r="FB364" s="16"/>
      <c r="FC364" s="16"/>
      <c r="FD364" s="16"/>
      <c r="FE364" s="16"/>
      <c r="FF364" s="16"/>
      <c r="FG364" s="16"/>
      <c r="FH364" s="16"/>
      <c r="FI364" s="16"/>
      <c r="FJ364" s="16"/>
      <c r="FK364" s="16">
        <f t="shared" si="305"/>
        <v>5.28</v>
      </c>
      <c r="FL364" s="16">
        <f t="shared" si="306"/>
        <v>5.64</v>
      </c>
      <c r="FM364" s="15">
        <v>5.28</v>
      </c>
      <c r="FN364" s="15">
        <v>0.13</v>
      </c>
      <c r="FO364" s="15">
        <f>FN364*SQRT(AR364)</f>
        <v>0.22516660498395405</v>
      </c>
      <c r="FP364" s="15">
        <v>5.64</v>
      </c>
      <c r="FQ364" s="15">
        <v>0.09</v>
      </c>
      <c r="FR364" s="15">
        <f>FQ364*SQRT(AR364)</f>
        <v>0.15588457268119893</v>
      </c>
      <c r="FS364" s="15">
        <f t="shared" si="333"/>
        <v>1.0681818181818181</v>
      </c>
      <c r="FT364" s="15">
        <f t="shared" si="334"/>
        <v>0.35999999999999943</v>
      </c>
      <c r="FU364" s="15">
        <f t="shared" si="335"/>
        <v>6.595796779179719E-2</v>
      </c>
      <c r="FV364" s="15">
        <f>((FR364*FR364)/(AR364*FP364*FP364)+(FO364*FO364)/(AR364*FM364*FM364))</f>
        <v>8.6084419496416909E-4</v>
      </c>
      <c r="HE364" s="15">
        <v>117.4</v>
      </c>
      <c r="HF364" s="15">
        <v>5.870000000000001</v>
      </c>
      <c r="HG364" s="15">
        <f>HF364*SQRT(AR168)</f>
        <v>10.167138240429312</v>
      </c>
      <c r="HH364" s="15">
        <v>136.9</v>
      </c>
      <c r="HI364" s="15">
        <v>6.8450000000000006</v>
      </c>
      <c r="HJ364" s="15">
        <f>HI364*SQRT(AR364)</f>
        <v>11.855887777808965</v>
      </c>
      <c r="HK364" s="15">
        <f t="shared" si="339"/>
        <v>1.166098807495741</v>
      </c>
      <c r="HL364" s="15">
        <f t="shared" si="340"/>
        <v>19.5</v>
      </c>
      <c r="HM364" s="15">
        <f t="shared" si="341"/>
        <v>0.15366382490040742</v>
      </c>
      <c r="HN364" s="15">
        <f>((HJ364*HJ364)/(AR364*HH364*HH364)+(HG364*HG364)/(AR364*HE364*HE364))</f>
        <v>5.0000000000000001E-3</v>
      </c>
      <c r="HP364" s="15" t="s">
        <v>1186</v>
      </c>
      <c r="HV364" s="15">
        <f t="shared" si="342"/>
        <v>79.068707341332001</v>
      </c>
      <c r="HW364" s="15">
        <f t="shared" si="343"/>
        <v>0.15366382490040742</v>
      </c>
      <c r="HX364" s="15">
        <f>BB364</f>
        <v>1215</v>
      </c>
      <c r="HY364" s="15">
        <f>AZ364</f>
        <v>2025.0000000000002</v>
      </c>
      <c r="HZ364" s="15">
        <f>BA364</f>
        <v>0.6911262798634813</v>
      </c>
      <c r="IA364" s="15">
        <f>BB364</f>
        <v>1215</v>
      </c>
    </row>
    <row r="365" spans="1:235" s="15" customFormat="1" x14ac:dyDescent="0.25">
      <c r="A365" s="31">
        <v>363</v>
      </c>
      <c r="B365" s="1">
        <v>67</v>
      </c>
      <c r="C365" s="1">
        <v>71</v>
      </c>
      <c r="D365" s="15" t="s">
        <v>324</v>
      </c>
      <c r="E365" s="1">
        <v>1</v>
      </c>
      <c r="F365" s="15" t="s">
        <v>761</v>
      </c>
      <c r="G365" s="15" t="s">
        <v>1191</v>
      </c>
      <c r="H365" s="15" t="s">
        <v>1192</v>
      </c>
      <c r="I365" s="1">
        <v>2002</v>
      </c>
      <c r="J365" s="15" t="s">
        <v>1193</v>
      </c>
      <c r="K365" s="1">
        <v>2001</v>
      </c>
      <c r="L365" s="15" t="s">
        <v>1194</v>
      </c>
      <c r="M365" s="15" t="s">
        <v>480</v>
      </c>
      <c r="N365" s="15" t="s">
        <v>23</v>
      </c>
      <c r="O365" s="31">
        <v>2</v>
      </c>
      <c r="P365" s="15">
        <v>30.89</v>
      </c>
      <c r="Q365" s="15">
        <v>119.42</v>
      </c>
      <c r="U365" s="15" t="s">
        <v>549</v>
      </c>
      <c r="V365" s="31">
        <v>1</v>
      </c>
      <c r="W365" s="16" t="s">
        <v>1170</v>
      </c>
      <c r="X365" s="15" t="s">
        <v>1195</v>
      </c>
      <c r="Y365" s="1">
        <v>5</v>
      </c>
      <c r="Z365" s="15">
        <v>4.0999999999999996</v>
      </c>
      <c r="AA365" s="15" t="s">
        <v>574</v>
      </c>
      <c r="AB365" s="15">
        <f t="shared" si="304"/>
        <v>4.0999999999999996</v>
      </c>
      <c r="AC365" s="1">
        <v>1</v>
      </c>
      <c r="AD365" s="15">
        <v>9.8000000000000007</v>
      </c>
      <c r="AM365" s="1"/>
      <c r="AP365" s="15" t="s">
        <v>682</v>
      </c>
      <c r="AQ365" s="1">
        <v>1</v>
      </c>
      <c r="AR365" s="1">
        <v>4</v>
      </c>
      <c r="AT365" s="15" t="s">
        <v>993</v>
      </c>
      <c r="AW365" s="15">
        <v>600</v>
      </c>
      <c r="AX365" s="15">
        <f t="shared" ref="AX365:AX372" si="344">AW365*1.09</f>
        <v>654</v>
      </c>
      <c r="AY365" s="15" t="s">
        <v>766</v>
      </c>
      <c r="AZ365" s="15">
        <f t="shared" si="336"/>
        <v>654</v>
      </c>
      <c r="BA365" s="15">
        <f t="shared" si="337"/>
        <v>0.22320819112627985</v>
      </c>
      <c r="BB365" s="15">
        <f t="shared" si="338"/>
        <v>392.4</v>
      </c>
      <c r="BP365" s="16"/>
      <c r="BQ365" s="16"/>
      <c r="BR365" s="16"/>
      <c r="BU365" s="16"/>
      <c r="EZ365" s="16"/>
      <c r="FA365" s="16"/>
      <c r="FB365" s="16"/>
      <c r="FC365" s="16"/>
      <c r="FD365" s="16"/>
      <c r="FE365" s="16"/>
      <c r="FF365" s="16"/>
      <c r="FG365" s="16"/>
      <c r="FH365" s="16"/>
      <c r="FI365" s="16"/>
      <c r="FJ365" s="16"/>
      <c r="FK365" s="16"/>
      <c r="FL365" s="16"/>
      <c r="HE365" s="15">
        <v>2168</v>
      </c>
      <c r="HF365" s="15">
        <f t="shared" ref="HF365:HF372" si="345">HE365*0.05</f>
        <v>108.4</v>
      </c>
      <c r="HG365" s="15">
        <f>HF365*SQRT(AR169)</f>
        <v>187.7543075404663</v>
      </c>
      <c r="HH365" s="15">
        <v>2370</v>
      </c>
      <c r="HI365" s="15">
        <f t="shared" ref="HI365:HI372" si="346">HH365*0.05</f>
        <v>118.5</v>
      </c>
      <c r="HJ365" s="15">
        <f>HI365*SQRT(AR365)</f>
        <v>237</v>
      </c>
      <c r="HK365" s="15">
        <f t="shared" si="339"/>
        <v>1.0931734317343174</v>
      </c>
      <c r="HL365" s="15">
        <f t="shared" si="340"/>
        <v>202</v>
      </c>
      <c r="HM365" s="15">
        <f t="shared" si="341"/>
        <v>8.908487156963929E-2</v>
      </c>
      <c r="HN365" s="15">
        <f>((HJ365*HJ365)/(AR365*HH365*HH365)+(HG365*HG365)/(AR365*HE365*HE365))</f>
        <v>4.3750000000000004E-3</v>
      </c>
      <c r="HP365" s="15" t="s">
        <v>766</v>
      </c>
      <c r="HV365" s="15">
        <f t="shared" si="342"/>
        <v>44.047883000342388</v>
      </c>
      <c r="HW365" s="15">
        <f t="shared" si="343"/>
        <v>8.908487156963929E-2</v>
      </c>
      <c r="HX365" s="15">
        <f>BB365</f>
        <v>392.4</v>
      </c>
      <c r="HY365" s="15">
        <f>AZ365</f>
        <v>654</v>
      </c>
      <c r="HZ365" s="15">
        <f>BA365</f>
        <v>0.22320819112627985</v>
      </c>
      <c r="IA365" s="15">
        <f>BB365</f>
        <v>392.4</v>
      </c>
    </row>
    <row r="366" spans="1:235" s="15" customFormat="1" x14ac:dyDescent="0.25">
      <c r="A366" s="31">
        <v>364</v>
      </c>
      <c r="B366" s="1">
        <v>67</v>
      </c>
      <c r="C366" s="1">
        <v>71</v>
      </c>
      <c r="D366" s="15" t="s">
        <v>325</v>
      </c>
      <c r="E366" s="1">
        <v>1</v>
      </c>
      <c r="F366" s="15" t="s">
        <v>761</v>
      </c>
      <c r="G366" s="15" t="s">
        <v>1191</v>
      </c>
      <c r="H366" s="15" t="s">
        <v>1192</v>
      </c>
      <c r="I366" s="1">
        <v>2002</v>
      </c>
      <c r="J366" s="15" t="s">
        <v>1193</v>
      </c>
      <c r="K366" s="1">
        <v>2001</v>
      </c>
      <c r="L366" s="15" t="s">
        <v>1194</v>
      </c>
      <c r="M366" s="15" t="s">
        <v>480</v>
      </c>
      <c r="N366" s="15" t="s">
        <v>23</v>
      </c>
      <c r="O366" s="31">
        <v>2</v>
      </c>
      <c r="P366" s="15">
        <v>30.89</v>
      </c>
      <c r="Q366" s="15">
        <v>119.42</v>
      </c>
      <c r="U366" s="15" t="s">
        <v>549</v>
      </c>
      <c r="V366" s="31">
        <v>1</v>
      </c>
      <c r="W366" s="16" t="s">
        <v>1170</v>
      </c>
      <c r="X366" s="15" t="s">
        <v>1195</v>
      </c>
      <c r="Y366" s="1">
        <v>5</v>
      </c>
      <c r="Z366" s="15">
        <v>4.0999999999999996</v>
      </c>
      <c r="AA366" s="15" t="s">
        <v>574</v>
      </c>
      <c r="AB366" s="15">
        <f t="shared" si="304"/>
        <v>4.0999999999999996</v>
      </c>
      <c r="AC366" s="1">
        <v>1</v>
      </c>
      <c r="AD366" s="15">
        <v>9.8000000000000007</v>
      </c>
      <c r="AM366" s="1"/>
      <c r="AP366" s="15" t="s">
        <v>682</v>
      </c>
      <c r="AQ366" s="1">
        <v>1</v>
      </c>
      <c r="AR366" s="1">
        <v>4</v>
      </c>
      <c r="AT366" s="15" t="s">
        <v>993</v>
      </c>
      <c r="AW366" s="15">
        <v>1100</v>
      </c>
      <c r="AX366" s="15">
        <f t="shared" si="344"/>
        <v>1199</v>
      </c>
      <c r="AY366" s="15" t="s">
        <v>766</v>
      </c>
      <c r="AZ366" s="15">
        <f t="shared" si="336"/>
        <v>1199</v>
      </c>
      <c r="BA366" s="15">
        <f t="shared" si="337"/>
        <v>0.40921501706484642</v>
      </c>
      <c r="BB366" s="15">
        <f t="shared" si="338"/>
        <v>719.4</v>
      </c>
      <c r="BP366" s="16"/>
      <c r="BQ366" s="16"/>
      <c r="BR366" s="16"/>
      <c r="BU366" s="16"/>
      <c r="EZ366" s="16"/>
      <c r="FA366" s="16"/>
      <c r="FB366" s="16"/>
      <c r="FC366" s="16"/>
      <c r="FD366" s="16"/>
      <c r="FE366" s="16"/>
      <c r="FF366" s="16"/>
      <c r="FG366" s="16"/>
      <c r="FH366" s="16"/>
      <c r="FI366" s="16"/>
      <c r="FJ366" s="16"/>
      <c r="FK366" s="16"/>
      <c r="FL366" s="16"/>
      <c r="HE366" s="15">
        <v>2168</v>
      </c>
      <c r="HF366" s="15">
        <f t="shared" si="345"/>
        <v>108.4</v>
      </c>
      <c r="HG366" s="15">
        <f>HF366*SQRT(AR170)</f>
        <v>187.7543075404663</v>
      </c>
      <c r="HH366" s="15">
        <v>2481</v>
      </c>
      <c r="HI366" s="15">
        <f t="shared" si="346"/>
        <v>124.05000000000001</v>
      </c>
      <c r="HJ366" s="15">
        <f>HI366*SQRT(AR366)</f>
        <v>248.10000000000002</v>
      </c>
      <c r="HK366" s="15">
        <f t="shared" si="339"/>
        <v>1.1443726937269372</v>
      </c>
      <c r="HL366" s="15">
        <f t="shared" si="340"/>
        <v>313</v>
      </c>
      <c r="HM366" s="15">
        <f t="shared" si="341"/>
        <v>0.13485662113226393</v>
      </c>
      <c r="HN366" s="15">
        <f>((HJ366*HJ366)/(AR366*HH366*HH366)+(HG366*HG366)/(AR366*HE366*HE366))</f>
        <v>4.3750000000000004E-3</v>
      </c>
      <c r="HP366" s="15" t="s">
        <v>766</v>
      </c>
      <c r="HV366" s="15">
        <f t="shared" si="342"/>
        <v>53.345545362168821</v>
      </c>
      <c r="HW366" s="15">
        <f t="shared" si="343"/>
        <v>0.13485662113226393</v>
      </c>
      <c r="HX366" s="15">
        <f>BB366</f>
        <v>719.4</v>
      </c>
      <c r="HY366" s="15">
        <f>AZ366</f>
        <v>1199</v>
      </c>
      <c r="HZ366" s="15">
        <f>BA366</f>
        <v>0.40921501706484642</v>
      </c>
      <c r="IA366" s="15">
        <f>BB366</f>
        <v>719.4</v>
      </c>
    </row>
    <row r="367" spans="1:235" s="15" customFormat="1" x14ac:dyDescent="0.25">
      <c r="A367" s="31">
        <v>365</v>
      </c>
      <c r="B367" s="1">
        <v>67</v>
      </c>
      <c r="C367" s="1">
        <v>71</v>
      </c>
      <c r="D367" s="15" t="s">
        <v>326</v>
      </c>
      <c r="E367" s="1">
        <v>1</v>
      </c>
      <c r="F367" s="15" t="s">
        <v>761</v>
      </c>
      <c r="G367" s="15" t="s">
        <v>1191</v>
      </c>
      <c r="H367" s="15" t="s">
        <v>1192</v>
      </c>
      <c r="I367" s="1">
        <v>2002</v>
      </c>
      <c r="J367" s="15" t="s">
        <v>1193</v>
      </c>
      <c r="K367" s="1">
        <v>2001</v>
      </c>
      <c r="L367" s="15" t="s">
        <v>1194</v>
      </c>
      <c r="M367" s="15" t="s">
        <v>480</v>
      </c>
      <c r="N367" s="15" t="s">
        <v>23</v>
      </c>
      <c r="O367" s="31">
        <v>2</v>
      </c>
      <c r="P367" s="15">
        <v>30.89</v>
      </c>
      <c r="Q367" s="15">
        <v>119.42</v>
      </c>
      <c r="U367" s="15" t="s">
        <v>549</v>
      </c>
      <c r="V367" s="31">
        <v>1</v>
      </c>
      <c r="W367" s="16" t="s">
        <v>1170</v>
      </c>
      <c r="X367" s="15" t="s">
        <v>1195</v>
      </c>
      <c r="Y367" s="1">
        <v>5</v>
      </c>
      <c r="Z367" s="15">
        <v>4.0999999999999996</v>
      </c>
      <c r="AA367" s="15" t="s">
        <v>574</v>
      </c>
      <c r="AB367" s="15">
        <f t="shared" si="304"/>
        <v>4.0999999999999996</v>
      </c>
      <c r="AC367" s="1">
        <v>1</v>
      </c>
      <c r="AD367" s="15">
        <v>9.8000000000000007</v>
      </c>
      <c r="AM367" s="1"/>
      <c r="AP367" s="15" t="s">
        <v>682</v>
      </c>
      <c r="AQ367" s="1">
        <v>1</v>
      </c>
      <c r="AR367" s="1">
        <v>4</v>
      </c>
      <c r="AT367" s="15" t="s">
        <v>993</v>
      </c>
      <c r="AW367" s="15">
        <v>1600</v>
      </c>
      <c r="AX367" s="15">
        <f t="shared" si="344"/>
        <v>1744.0000000000002</v>
      </c>
      <c r="AY367" s="15" t="s">
        <v>766</v>
      </c>
      <c r="AZ367" s="15">
        <f t="shared" si="336"/>
        <v>1744.0000000000002</v>
      </c>
      <c r="BA367" s="15">
        <f t="shared" si="337"/>
        <v>0.59522184300341308</v>
      </c>
      <c r="BB367" s="15">
        <f t="shared" si="338"/>
        <v>1046.4000000000001</v>
      </c>
      <c r="BP367" s="16"/>
      <c r="BQ367" s="16"/>
      <c r="BR367" s="16"/>
      <c r="BU367" s="16"/>
      <c r="EZ367" s="16"/>
      <c r="FA367" s="16"/>
      <c r="FB367" s="16"/>
      <c r="FC367" s="16"/>
      <c r="FD367" s="16"/>
      <c r="FE367" s="16"/>
      <c r="FF367" s="16"/>
      <c r="FG367" s="16"/>
      <c r="FH367" s="16"/>
      <c r="FI367" s="16"/>
      <c r="FJ367" s="16"/>
      <c r="FK367" s="16"/>
      <c r="FL367" s="16"/>
      <c r="HE367" s="15">
        <v>2168</v>
      </c>
      <c r="HF367" s="15">
        <f t="shared" si="345"/>
        <v>108.4</v>
      </c>
      <c r="HG367" s="15">
        <f>HF367*SQRT(AR171)</f>
        <v>187.7543075404663</v>
      </c>
      <c r="HH367" s="15">
        <v>2518</v>
      </c>
      <c r="HI367" s="15">
        <f t="shared" si="346"/>
        <v>125.9</v>
      </c>
      <c r="HJ367" s="15">
        <f>HI367*SQRT(AR367)</f>
        <v>251.8</v>
      </c>
      <c r="HK367" s="15">
        <f t="shared" si="339"/>
        <v>1.161439114391144</v>
      </c>
      <c r="HL367" s="15">
        <f t="shared" si="340"/>
        <v>350</v>
      </c>
      <c r="HM367" s="15">
        <f t="shared" si="341"/>
        <v>0.1496598520447554</v>
      </c>
      <c r="HN367" s="15">
        <f>((HJ367*HJ367)/(AR367*HH367*HH367)+(HG367*HG367)/(AR367*HE367*HE367))</f>
        <v>4.3750000000000004E-3</v>
      </c>
      <c r="HP367" s="15" t="s">
        <v>766</v>
      </c>
      <c r="HV367" s="15">
        <f t="shared" si="342"/>
        <v>69.918551014408109</v>
      </c>
      <c r="HW367" s="15">
        <f t="shared" si="343"/>
        <v>0.1496598520447554</v>
      </c>
      <c r="HX367" s="15">
        <f>BB367</f>
        <v>1046.4000000000001</v>
      </c>
      <c r="HY367" s="15">
        <f>AZ367</f>
        <v>1744.0000000000002</v>
      </c>
      <c r="HZ367" s="15">
        <f>BA367</f>
        <v>0.59522184300341308</v>
      </c>
      <c r="IA367" s="15">
        <f>BB367</f>
        <v>1046.4000000000001</v>
      </c>
    </row>
    <row r="368" spans="1:235" s="15" customFormat="1" x14ac:dyDescent="0.25">
      <c r="A368" s="31">
        <v>366</v>
      </c>
      <c r="B368" s="1">
        <v>67</v>
      </c>
      <c r="C368" s="1">
        <v>71</v>
      </c>
      <c r="D368" s="15" t="s">
        <v>327</v>
      </c>
      <c r="E368" s="1">
        <v>1</v>
      </c>
      <c r="F368" s="15" t="s">
        <v>761</v>
      </c>
      <c r="G368" s="15" t="s">
        <v>1191</v>
      </c>
      <c r="H368" s="15" t="s">
        <v>1192</v>
      </c>
      <c r="I368" s="1">
        <v>2002</v>
      </c>
      <c r="J368" s="15" t="s">
        <v>1193</v>
      </c>
      <c r="K368" s="1">
        <v>2001</v>
      </c>
      <c r="L368" s="15" t="s">
        <v>1194</v>
      </c>
      <c r="M368" s="15" t="s">
        <v>480</v>
      </c>
      <c r="N368" s="15" t="s">
        <v>23</v>
      </c>
      <c r="O368" s="31">
        <v>2</v>
      </c>
      <c r="P368" s="15">
        <v>30.89</v>
      </c>
      <c r="Q368" s="15">
        <v>119.42</v>
      </c>
      <c r="U368" s="15" t="s">
        <v>549</v>
      </c>
      <c r="V368" s="31">
        <v>1</v>
      </c>
      <c r="W368" s="16" t="s">
        <v>1170</v>
      </c>
      <c r="X368" s="15" t="s">
        <v>1195</v>
      </c>
      <c r="Y368" s="1">
        <v>5</v>
      </c>
      <c r="Z368" s="15">
        <v>4.0999999999999996</v>
      </c>
      <c r="AA368" s="15" t="s">
        <v>574</v>
      </c>
      <c r="AB368" s="15">
        <f t="shared" si="304"/>
        <v>4.0999999999999996</v>
      </c>
      <c r="AC368" s="1">
        <v>1</v>
      </c>
      <c r="AD368" s="15">
        <v>9.8000000000000007</v>
      </c>
      <c r="AM368" s="1"/>
      <c r="AP368" s="15" t="s">
        <v>682</v>
      </c>
      <c r="AQ368" s="1">
        <v>1</v>
      </c>
      <c r="AR368" s="1">
        <v>4</v>
      </c>
      <c r="AT368" s="15" t="s">
        <v>993</v>
      </c>
      <c r="AW368" s="15">
        <v>2500</v>
      </c>
      <c r="AX368" s="15">
        <f t="shared" si="344"/>
        <v>2725</v>
      </c>
      <c r="AY368" s="15" t="s">
        <v>766</v>
      </c>
      <c r="AZ368" s="15">
        <f t="shared" si="336"/>
        <v>2725</v>
      </c>
      <c r="BA368" s="15">
        <f t="shared" si="337"/>
        <v>0.93003412969283272</v>
      </c>
      <c r="BB368" s="15">
        <f t="shared" si="338"/>
        <v>1635</v>
      </c>
      <c r="BP368" s="16"/>
      <c r="BQ368" s="16"/>
      <c r="BR368" s="16"/>
      <c r="BU368" s="16"/>
      <c r="EZ368" s="16"/>
      <c r="FA368" s="16"/>
      <c r="FB368" s="16"/>
      <c r="FC368" s="16"/>
      <c r="FD368" s="16"/>
      <c r="FE368" s="16"/>
      <c r="FF368" s="16"/>
      <c r="FG368" s="16"/>
      <c r="FH368" s="16"/>
      <c r="FI368" s="16"/>
      <c r="FJ368" s="16"/>
      <c r="FK368" s="16"/>
      <c r="FL368" s="16"/>
      <c r="HE368" s="15">
        <v>2168</v>
      </c>
      <c r="HF368" s="15">
        <f t="shared" si="345"/>
        <v>108.4</v>
      </c>
      <c r="HG368" s="15">
        <f>HF368*SQRT(AR172)</f>
        <v>187.7543075404663</v>
      </c>
      <c r="HH368" s="15">
        <v>2401</v>
      </c>
      <c r="HI368" s="15">
        <f t="shared" si="346"/>
        <v>120.05000000000001</v>
      </c>
      <c r="HJ368" s="15">
        <f>HI368*SQRT(AR368)</f>
        <v>240.10000000000002</v>
      </c>
      <c r="HK368" s="15">
        <f t="shared" si="339"/>
        <v>1.1074723247232472</v>
      </c>
      <c r="HL368" s="15">
        <f t="shared" si="340"/>
        <v>233</v>
      </c>
      <c r="HM368" s="15">
        <f t="shared" si="341"/>
        <v>0.1020802336617157</v>
      </c>
      <c r="HN368" s="15">
        <f>((HJ368*HJ368)/(AR368*HH368*HH368)+(HG368*HG368)/(AR368*HE368*HE368))</f>
        <v>4.3750000000000004E-3</v>
      </c>
      <c r="HP368" s="15" t="s">
        <v>766</v>
      </c>
      <c r="HV368" s="15">
        <f t="shared" si="342"/>
        <v>160.16812867202444</v>
      </c>
      <c r="HW368" s="15">
        <f t="shared" si="343"/>
        <v>0.1020802336617157</v>
      </c>
      <c r="HX368" s="15">
        <f>BB368</f>
        <v>1635</v>
      </c>
      <c r="HY368" s="15">
        <f>AZ368</f>
        <v>2725</v>
      </c>
      <c r="HZ368" s="15">
        <f>BA368</f>
        <v>0.93003412969283272</v>
      </c>
      <c r="IA368" s="15">
        <f>BB368</f>
        <v>1635</v>
      </c>
    </row>
    <row r="369" spans="1:235" s="15" customFormat="1" x14ac:dyDescent="0.25">
      <c r="A369" s="31">
        <v>367</v>
      </c>
      <c r="B369" s="1">
        <v>67</v>
      </c>
      <c r="C369" s="1">
        <v>71</v>
      </c>
      <c r="D369" s="15" t="s">
        <v>328</v>
      </c>
      <c r="E369" s="1">
        <v>1</v>
      </c>
      <c r="F369" s="15" t="s">
        <v>761</v>
      </c>
      <c r="G369" s="15" t="s">
        <v>1191</v>
      </c>
      <c r="H369" s="15" t="s">
        <v>1192</v>
      </c>
      <c r="I369" s="1">
        <v>2002</v>
      </c>
      <c r="J369" s="15" t="s">
        <v>1193</v>
      </c>
      <c r="K369" s="1">
        <v>2001</v>
      </c>
      <c r="L369" s="15" t="s">
        <v>1194</v>
      </c>
      <c r="M369" s="15" t="s">
        <v>480</v>
      </c>
      <c r="N369" s="15" t="s">
        <v>23</v>
      </c>
      <c r="O369" s="31">
        <v>2</v>
      </c>
      <c r="P369" s="15">
        <v>30.89</v>
      </c>
      <c r="Q369" s="15">
        <v>119.42</v>
      </c>
      <c r="U369" s="15" t="s">
        <v>549</v>
      </c>
      <c r="V369" s="31">
        <v>1</v>
      </c>
      <c r="W369" s="16" t="s">
        <v>1170</v>
      </c>
      <c r="X369" s="15" t="s">
        <v>731</v>
      </c>
      <c r="Y369" s="1">
        <v>12</v>
      </c>
      <c r="Z369" s="15">
        <v>4.0999999999999996</v>
      </c>
      <c r="AA369" s="15" t="s">
        <v>574</v>
      </c>
      <c r="AB369" s="15">
        <f t="shared" si="304"/>
        <v>4.0999999999999996</v>
      </c>
      <c r="AC369" s="1">
        <v>1</v>
      </c>
      <c r="AD369" s="15">
        <v>9.8000000000000007</v>
      </c>
      <c r="AM369" s="1"/>
      <c r="AP369" s="15" t="s">
        <v>682</v>
      </c>
      <c r="AQ369" s="1">
        <v>1</v>
      </c>
      <c r="AR369" s="1">
        <v>4</v>
      </c>
      <c r="AT369" s="15" t="s">
        <v>993</v>
      </c>
      <c r="AW369" s="15">
        <v>2500</v>
      </c>
      <c r="AX369" s="15">
        <f t="shared" si="344"/>
        <v>2725</v>
      </c>
      <c r="AY369" s="15" t="s">
        <v>766</v>
      </c>
      <c r="AZ369" s="15">
        <f t="shared" si="336"/>
        <v>2725</v>
      </c>
      <c r="BA369" s="15">
        <f t="shared" si="337"/>
        <v>0.93003412969283272</v>
      </c>
      <c r="BB369" s="15">
        <f t="shared" si="338"/>
        <v>1635</v>
      </c>
      <c r="BP369" s="16"/>
      <c r="BQ369" s="16"/>
      <c r="BR369" s="16"/>
      <c r="BU369" s="16"/>
      <c r="EZ369" s="16"/>
      <c r="FA369" s="16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HE369" s="15">
        <v>3408</v>
      </c>
      <c r="HF369" s="15">
        <f t="shared" si="345"/>
        <v>170.4</v>
      </c>
      <c r="HG369" s="15">
        <f>HF369*SQRT(AR173)</f>
        <v>295.14145760973668</v>
      </c>
      <c r="HH369" s="15">
        <v>3779</v>
      </c>
      <c r="HI369" s="15">
        <f t="shared" si="346"/>
        <v>188.95000000000002</v>
      </c>
      <c r="HJ369" s="15">
        <f>HI369*SQRT(AR369)</f>
        <v>377.90000000000003</v>
      </c>
      <c r="HK369" s="15">
        <f t="shared" si="339"/>
        <v>1.1088615023474178</v>
      </c>
      <c r="HL369" s="15">
        <f t="shared" si="340"/>
        <v>371</v>
      </c>
      <c r="HM369" s="15">
        <f t="shared" si="341"/>
        <v>0.10333381540028164</v>
      </c>
      <c r="HN369" s="15">
        <f>((HJ369*HJ369)/(AR369*HH369*HH369)+(HG369*HG369)/(AR369*HE369*HE369))</f>
        <v>4.3750000000000004E-3</v>
      </c>
      <c r="HP369" s="15" t="s">
        <v>766</v>
      </c>
      <c r="HV369" s="15">
        <f t="shared" si="342"/>
        <v>158.22506830571783</v>
      </c>
      <c r="HW369" s="15">
        <f t="shared" si="343"/>
        <v>0.10333381540028164</v>
      </c>
      <c r="HX369" s="15">
        <f>BB369</f>
        <v>1635</v>
      </c>
      <c r="HY369" s="15">
        <f>AZ369</f>
        <v>2725</v>
      </c>
      <c r="HZ369" s="15">
        <f>BA369</f>
        <v>0.93003412969283272</v>
      </c>
      <c r="IA369" s="15">
        <f>BB369</f>
        <v>1635</v>
      </c>
    </row>
    <row r="370" spans="1:235" s="15" customFormat="1" x14ac:dyDescent="0.25">
      <c r="A370" s="31">
        <v>368</v>
      </c>
      <c r="B370" s="1">
        <v>67</v>
      </c>
      <c r="C370" s="1">
        <v>71</v>
      </c>
      <c r="D370" s="15" t="s">
        <v>329</v>
      </c>
      <c r="E370" s="1">
        <v>1</v>
      </c>
      <c r="F370" s="15" t="s">
        <v>761</v>
      </c>
      <c r="G370" s="15" t="s">
        <v>1191</v>
      </c>
      <c r="H370" s="15" t="s">
        <v>1192</v>
      </c>
      <c r="I370" s="1">
        <v>2002</v>
      </c>
      <c r="J370" s="15" t="s">
        <v>1193</v>
      </c>
      <c r="K370" s="1">
        <v>2001</v>
      </c>
      <c r="L370" s="15" t="s">
        <v>1194</v>
      </c>
      <c r="M370" s="15" t="s">
        <v>480</v>
      </c>
      <c r="N370" s="15" t="s">
        <v>23</v>
      </c>
      <c r="O370" s="31">
        <v>2</v>
      </c>
      <c r="P370" s="15">
        <v>30.89</v>
      </c>
      <c r="Q370" s="15">
        <v>119.42</v>
      </c>
      <c r="U370" s="15" t="s">
        <v>549</v>
      </c>
      <c r="V370" s="31">
        <v>1</v>
      </c>
      <c r="W370" s="16" t="s">
        <v>1170</v>
      </c>
      <c r="X370" s="15" t="s">
        <v>731</v>
      </c>
      <c r="Y370" s="1">
        <v>12</v>
      </c>
      <c r="Z370" s="15">
        <v>4.0999999999999996</v>
      </c>
      <c r="AA370" s="15" t="s">
        <v>574</v>
      </c>
      <c r="AB370" s="15">
        <f t="shared" si="304"/>
        <v>4.0999999999999996</v>
      </c>
      <c r="AC370" s="1">
        <v>1</v>
      </c>
      <c r="AD370" s="15">
        <v>9.8000000000000007</v>
      </c>
      <c r="AM370" s="1"/>
      <c r="AP370" s="15" t="s">
        <v>682</v>
      </c>
      <c r="AQ370" s="1">
        <v>1</v>
      </c>
      <c r="AR370" s="1">
        <v>4</v>
      </c>
      <c r="AT370" s="15" t="s">
        <v>993</v>
      </c>
      <c r="AW370" s="15">
        <v>2500</v>
      </c>
      <c r="AX370" s="15">
        <f t="shared" si="344"/>
        <v>2725</v>
      </c>
      <c r="AY370" s="15" t="s">
        <v>766</v>
      </c>
      <c r="AZ370" s="15">
        <f t="shared" si="336"/>
        <v>2725</v>
      </c>
      <c r="BA370" s="15">
        <f t="shared" si="337"/>
        <v>0.93003412969283272</v>
      </c>
      <c r="BB370" s="15">
        <f t="shared" si="338"/>
        <v>1635</v>
      </c>
      <c r="BP370" s="16"/>
      <c r="BQ370" s="16"/>
      <c r="BR370" s="16"/>
      <c r="BU370" s="16"/>
      <c r="EZ370" s="16"/>
      <c r="FA370" s="16"/>
      <c r="FB370" s="16"/>
      <c r="FC370" s="16"/>
      <c r="FD370" s="16"/>
      <c r="FE370" s="16"/>
      <c r="FF370" s="16"/>
      <c r="FG370" s="16"/>
      <c r="FH370" s="16"/>
      <c r="FI370" s="16"/>
      <c r="FJ370" s="16"/>
      <c r="FK370" s="16"/>
      <c r="FL370" s="16"/>
      <c r="HE370" s="15">
        <v>3408</v>
      </c>
      <c r="HF370" s="15">
        <f t="shared" si="345"/>
        <v>170.4</v>
      </c>
      <c r="HG370" s="15">
        <f>HF370*SQRT(AR174)</f>
        <v>295.14145760973668</v>
      </c>
      <c r="HH370" s="15">
        <v>4135</v>
      </c>
      <c r="HI370" s="15">
        <f t="shared" si="346"/>
        <v>206.75</v>
      </c>
      <c r="HJ370" s="15">
        <f>HI370*SQRT(AR370)</f>
        <v>413.5</v>
      </c>
      <c r="HK370" s="15">
        <f t="shared" si="339"/>
        <v>1.2133215962441315</v>
      </c>
      <c r="HL370" s="15">
        <f t="shared" si="340"/>
        <v>727</v>
      </c>
      <c r="HM370" s="15">
        <f t="shared" si="341"/>
        <v>0.19336171950858549</v>
      </c>
      <c r="HN370" s="15">
        <f>((HJ370*HJ370)/(AR370*HH370*HH370)+(HG370*HG370)/(AR370*HE370*HE370))</f>
        <v>4.3750000000000004E-3</v>
      </c>
      <c r="HP370" s="15" t="s">
        <v>766</v>
      </c>
      <c r="HV370" s="15">
        <f t="shared" si="342"/>
        <v>84.556550497959563</v>
      </c>
      <c r="HW370" s="15">
        <f t="shared" si="343"/>
        <v>0.19336171950858549</v>
      </c>
      <c r="HX370" s="15">
        <f>BB370</f>
        <v>1635</v>
      </c>
      <c r="HY370" s="15">
        <f>AZ370</f>
        <v>2725</v>
      </c>
      <c r="HZ370" s="15">
        <f>BA370</f>
        <v>0.93003412969283272</v>
      </c>
      <c r="IA370" s="15">
        <f>BB370</f>
        <v>1635</v>
      </c>
    </row>
    <row r="371" spans="1:235" s="15" customFormat="1" x14ac:dyDescent="0.25">
      <c r="A371" s="31">
        <v>369</v>
      </c>
      <c r="B371" s="1">
        <v>67</v>
      </c>
      <c r="C371" s="1">
        <v>71</v>
      </c>
      <c r="D371" s="15" t="s">
        <v>330</v>
      </c>
      <c r="E371" s="1">
        <v>1</v>
      </c>
      <c r="F371" s="15" t="s">
        <v>761</v>
      </c>
      <c r="G371" s="15" t="s">
        <v>1191</v>
      </c>
      <c r="H371" s="15" t="s">
        <v>1192</v>
      </c>
      <c r="I371" s="1">
        <v>2002</v>
      </c>
      <c r="J371" s="15" t="s">
        <v>1193</v>
      </c>
      <c r="K371" s="1">
        <v>2001</v>
      </c>
      <c r="L371" s="15" t="s">
        <v>1194</v>
      </c>
      <c r="M371" s="15" t="s">
        <v>480</v>
      </c>
      <c r="N371" s="15" t="s">
        <v>23</v>
      </c>
      <c r="O371" s="31">
        <v>2</v>
      </c>
      <c r="P371" s="15">
        <v>30.89</v>
      </c>
      <c r="Q371" s="15">
        <v>119.42</v>
      </c>
      <c r="U371" s="15" t="s">
        <v>549</v>
      </c>
      <c r="V371" s="31">
        <v>1</v>
      </c>
      <c r="W371" s="16" t="s">
        <v>1170</v>
      </c>
      <c r="X371" s="15" t="s">
        <v>731</v>
      </c>
      <c r="Y371" s="1">
        <v>12</v>
      </c>
      <c r="Z371" s="15">
        <v>4.0999999999999996</v>
      </c>
      <c r="AA371" s="15" t="s">
        <v>574</v>
      </c>
      <c r="AB371" s="15">
        <f t="shared" si="304"/>
        <v>4.0999999999999996</v>
      </c>
      <c r="AC371" s="1">
        <v>1</v>
      </c>
      <c r="AD371" s="15">
        <v>9.8000000000000007</v>
      </c>
      <c r="AM371" s="1"/>
      <c r="AP371" s="15" t="s">
        <v>682</v>
      </c>
      <c r="AQ371" s="1">
        <v>1</v>
      </c>
      <c r="AR371" s="1">
        <v>4</v>
      </c>
      <c r="AT371" s="15" t="s">
        <v>993</v>
      </c>
      <c r="AW371" s="15">
        <v>2500</v>
      </c>
      <c r="AX371" s="15">
        <f t="shared" si="344"/>
        <v>2725</v>
      </c>
      <c r="AY371" s="15" t="s">
        <v>766</v>
      </c>
      <c r="AZ371" s="15">
        <f t="shared" si="336"/>
        <v>2725</v>
      </c>
      <c r="BA371" s="15">
        <f t="shared" si="337"/>
        <v>0.93003412969283272</v>
      </c>
      <c r="BB371" s="15">
        <f t="shared" si="338"/>
        <v>1635</v>
      </c>
      <c r="BP371" s="16"/>
      <c r="BQ371" s="16"/>
      <c r="BR371" s="16"/>
      <c r="BU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HE371" s="15">
        <v>3408</v>
      </c>
      <c r="HF371" s="15">
        <f t="shared" si="345"/>
        <v>170.4</v>
      </c>
      <c r="HG371" s="15">
        <f>HF371*SQRT(AR175)</f>
        <v>295.14145760973668</v>
      </c>
      <c r="HH371" s="15">
        <v>4928</v>
      </c>
      <c r="HI371" s="15">
        <f t="shared" si="346"/>
        <v>246.4</v>
      </c>
      <c r="HJ371" s="15">
        <f>HI371*SQRT(AR371)</f>
        <v>492.8</v>
      </c>
      <c r="HK371" s="15">
        <f t="shared" si="339"/>
        <v>1.4460093896713615</v>
      </c>
      <c r="HL371" s="15">
        <f t="shared" si="340"/>
        <v>1520</v>
      </c>
      <c r="HM371" s="15">
        <f t="shared" si="341"/>
        <v>0.36880761726414946</v>
      </c>
      <c r="HN371" s="15">
        <f>((HJ371*HJ371)/(AR371*HH371*HH371)+(HG371*HG371)/(AR371*HE371*HE371))</f>
        <v>4.3750000000000004E-3</v>
      </c>
      <c r="HP371" s="15" t="s">
        <v>766</v>
      </c>
      <c r="HV371" s="15">
        <f t="shared" si="342"/>
        <v>44.332056157857807</v>
      </c>
      <c r="HW371" s="15">
        <f t="shared" si="343"/>
        <v>0.36880761726414946</v>
      </c>
      <c r="HX371" s="15">
        <f>BB371</f>
        <v>1635</v>
      </c>
      <c r="HY371" s="15">
        <f>AZ371</f>
        <v>2725</v>
      </c>
      <c r="HZ371" s="15">
        <f>BA371</f>
        <v>0.93003412969283272</v>
      </c>
      <c r="IA371" s="15">
        <f>BB371</f>
        <v>1635</v>
      </c>
    </row>
    <row r="372" spans="1:235" s="15" customFormat="1" x14ac:dyDescent="0.25">
      <c r="A372" s="31">
        <v>370</v>
      </c>
      <c r="B372" s="1">
        <v>67</v>
      </c>
      <c r="C372" s="1">
        <v>71</v>
      </c>
      <c r="D372" s="15" t="s">
        <v>331</v>
      </c>
      <c r="E372" s="1">
        <v>1</v>
      </c>
      <c r="F372" s="15" t="s">
        <v>761</v>
      </c>
      <c r="G372" s="15" t="s">
        <v>1191</v>
      </c>
      <c r="H372" s="15" t="s">
        <v>1192</v>
      </c>
      <c r="I372" s="1">
        <v>2002</v>
      </c>
      <c r="J372" s="15" t="s">
        <v>1193</v>
      </c>
      <c r="K372" s="1">
        <v>2001</v>
      </c>
      <c r="L372" s="15" t="s">
        <v>1194</v>
      </c>
      <c r="M372" s="15" t="s">
        <v>480</v>
      </c>
      <c r="N372" s="15" t="s">
        <v>23</v>
      </c>
      <c r="O372" s="31">
        <v>2</v>
      </c>
      <c r="P372" s="15">
        <v>30.89</v>
      </c>
      <c r="Q372" s="15">
        <v>119.42</v>
      </c>
      <c r="U372" s="15" t="s">
        <v>549</v>
      </c>
      <c r="V372" s="31">
        <v>1</v>
      </c>
      <c r="W372" s="16" t="s">
        <v>1170</v>
      </c>
      <c r="X372" s="15" t="s">
        <v>731</v>
      </c>
      <c r="Y372" s="1">
        <v>12</v>
      </c>
      <c r="Z372" s="15">
        <v>4.0999999999999996</v>
      </c>
      <c r="AA372" s="15" t="s">
        <v>574</v>
      </c>
      <c r="AB372" s="15">
        <f t="shared" si="304"/>
        <v>4.0999999999999996</v>
      </c>
      <c r="AC372" s="1">
        <v>1</v>
      </c>
      <c r="AD372" s="15">
        <v>9.8000000000000007</v>
      </c>
      <c r="AM372" s="1"/>
      <c r="AP372" s="15" t="s">
        <v>682</v>
      </c>
      <c r="AQ372" s="1">
        <v>1</v>
      </c>
      <c r="AR372" s="1">
        <v>4</v>
      </c>
      <c r="AT372" s="15" t="s">
        <v>993</v>
      </c>
      <c r="AW372" s="15">
        <v>2500</v>
      </c>
      <c r="AX372" s="15">
        <f t="shared" si="344"/>
        <v>2725</v>
      </c>
      <c r="AY372" s="15" t="s">
        <v>766</v>
      </c>
      <c r="AZ372" s="15">
        <f t="shared" si="336"/>
        <v>2725</v>
      </c>
      <c r="BA372" s="15">
        <f t="shared" si="337"/>
        <v>0.93003412969283272</v>
      </c>
      <c r="BB372" s="15">
        <f t="shared" si="338"/>
        <v>1635</v>
      </c>
      <c r="BP372" s="16"/>
      <c r="BQ372" s="16"/>
      <c r="BR372" s="16"/>
      <c r="BU372" s="16"/>
      <c r="EZ372" s="16"/>
      <c r="FA372" s="16"/>
      <c r="FB372" s="16"/>
      <c r="FC372" s="16"/>
      <c r="FD372" s="16"/>
      <c r="FE372" s="16"/>
      <c r="FF372" s="16"/>
      <c r="FG372" s="16"/>
      <c r="FH372" s="16"/>
      <c r="FI372" s="16"/>
      <c r="FJ372" s="16"/>
      <c r="FK372" s="16"/>
      <c r="FL372" s="16"/>
      <c r="HE372" s="15">
        <v>3408</v>
      </c>
      <c r="HF372" s="15">
        <f t="shared" si="345"/>
        <v>170.4</v>
      </c>
      <c r="HG372" s="15">
        <f>HF372*SQRT(AR176)</f>
        <v>295.14145760973668</v>
      </c>
      <c r="HH372" s="15">
        <v>4001</v>
      </c>
      <c r="HI372" s="15">
        <f t="shared" si="346"/>
        <v>200.05</v>
      </c>
      <c r="HJ372" s="15">
        <f>HI372*SQRT(AR372)</f>
        <v>400.1</v>
      </c>
      <c r="HK372" s="15">
        <f t="shared" si="339"/>
        <v>1.1740023474178405</v>
      </c>
      <c r="HL372" s="15">
        <f t="shared" si="340"/>
        <v>593</v>
      </c>
      <c r="HM372" s="15">
        <f t="shared" si="341"/>
        <v>0.16041872090802833</v>
      </c>
      <c r="HN372" s="15">
        <f>((HJ372*HJ372)/(AR372*HH372*HH372)+(HG372*HG372)/(AR372*HE372*HE372))</f>
        <v>4.3750000000000004E-3</v>
      </c>
      <c r="HP372" s="15" t="s">
        <v>766</v>
      </c>
      <c r="HV372" s="15">
        <f t="shared" si="342"/>
        <v>101.92077275927055</v>
      </c>
      <c r="HW372" s="15">
        <f t="shared" si="343"/>
        <v>0.16041872090802833</v>
      </c>
      <c r="HX372" s="15">
        <f>BB372</f>
        <v>1635</v>
      </c>
      <c r="HY372" s="15">
        <f>AZ372</f>
        <v>2725</v>
      </c>
      <c r="HZ372" s="15">
        <f>BA372</f>
        <v>0.93003412969283272</v>
      </c>
      <c r="IA372" s="15">
        <f>BB372</f>
        <v>1635</v>
      </c>
    </row>
    <row r="373" spans="1:235" s="63" customFormat="1" x14ac:dyDescent="0.25">
      <c r="A373" s="31">
        <v>371</v>
      </c>
      <c r="B373" s="65">
        <v>68</v>
      </c>
      <c r="C373" s="65">
        <v>72</v>
      </c>
      <c r="D373" s="63" t="s">
        <v>332</v>
      </c>
      <c r="E373" s="1">
        <v>1</v>
      </c>
      <c r="F373" s="63" t="s">
        <v>761</v>
      </c>
      <c r="G373" s="63" t="s">
        <v>1196</v>
      </c>
      <c r="H373" s="63" t="s">
        <v>1198</v>
      </c>
      <c r="I373" s="65">
        <v>2010</v>
      </c>
      <c r="J373" s="63" t="s">
        <v>1017</v>
      </c>
      <c r="K373" s="65">
        <v>2008</v>
      </c>
      <c r="L373" s="63" t="s">
        <v>1200</v>
      </c>
      <c r="M373" s="63" t="s">
        <v>1199</v>
      </c>
      <c r="N373" s="63" t="s">
        <v>1201</v>
      </c>
      <c r="O373" s="31">
        <v>3</v>
      </c>
      <c r="P373" s="63">
        <v>-32.76</v>
      </c>
      <c r="Q373" s="63">
        <v>147.1</v>
      </c>
      <c r="U373" s="63" t="s">
        <v>807</v>
      </c>
      <c r="V373" s="66">
        <v>2</v>
      </c>
      <c r="W373" s="63" t="s">
        <v>1202</v>
      </c>
      <c r="X373" s="63" t="s">
        <v>729</v>
      </c>
      <c r="Y373" s="61">
        <v>11</v>
      </c>
      <c r="Z373" s="63">
        <v>4.22</v>
      </c>
      <c r="AA373" s="63" t="s">
        <v>663</v>
      </c>
      <c r="AB373" s="15">
        <f>Z373+0.77</f>
        <v>4.99</v>
      </c>
      <c r="AC373" s="1">
        <v>2</v>
      </c>
      <c r="AF373" s="63">
        <v>7.56</v>
      </c>
      <c r="AH373" s="63">
        <v>49.1</v>
      </c>
      <c r="AM373" s="65"/>
      <c r="AP373" s="63" t="s">
        <v>1203</v>
      </c>
      <c r="AQ373" s="1">
        <v>1</v>
      </c>
      <c r="AR373" s="65">
        <v>3</v>
      </c>
      <c r="AT373" s="63" t="s">
        <v>886</v>
      </c>
      <c r="AW373" s="63">
        <v>0.61</v>
      </c>
      <c r="AX373" s="63">
        <f t="shared" ref="AX373:AX381" si="347">AW373*2250</f>
        <v>1372.5</v>
      </c>
      <c r="AY373" s="15" t="s">
        <v>766</v>
      </c>
      <c r="AZ373" s="15">
        <f t="shared" si="336"/>
        <v>1372.5</v>
      </c>
      <c r="BA373" s="15">
        <f t="shared" si="337"/>
        <v>0.46843003412969281</v>
      </c>
      <c r="BB373" s="15">
        <f t="shared" si="338"/>
        <v>823.5</v>
      </c>
      <c r="FK373" s="16">
        <f>FM373+0.77</f>
        <v>4.99</v>
      </c>
      <c r="FL373" s="16">
        <f>FP373+0.77</f>
        <v>5.1300000000000008</v>
      </c>
      <c r="FM373" s="63">
        <v>4.22</v>
      </c>
      <c r="FN373" s="63">
        <v>0.21099999999999999</v>
      </c>
      <c r="FO373" s="15">
        <f>FN373*SQRT(AR373)</f>
        <v>0.36546272039703309</v>
      </c>
      <c r="FP373" s="63">
        <v>4.3600000000000003</v>
      </c>
      <c r="FQ373" s="63">
        <v>0.21800000000000003</v>
      </c>
      <c r="FR373" s="15">
        <f>FQ373*SQRT(AR373)</f>
        <v>0.37758707605001529</v>
      </c>
      <c r="FS373" s="63">
        <f t="shared" ref="FS373:FS417" si="348">FP373/FM373</f>
        <v>1.0331753554502372</v>
      </c>
      <c r="FT373" s="63">
        <f t="shared" ref="FT373:FT417" si="349">FP373-FM373</f>
        <v>0.14000000000000057</v>
      </c>
      <c r="FU373" s="15">
        <f t="shared" ref="FU373:FU417" si="350">LN(FP373)-LN(FM373)</f>
        <v>3.2636929313022645E-2</v>
      </c>
      <c r="FV373" s="15">
        <f>((FR373*FR373)/(AR373*FP373*FP373)+(FO373*FO373)/(AR373*FM373*FM373))</f>
        <v>5.0000000000000001E-3</v>
      </c>
      <c r="GI373" s="63">
        <v>7.56</v>
      </c>
      <c r="GJ373" s="63">
        <v>0.378</v>
      </c>
      <c r="GK373" s="15">
        <f>GJ373*SQRT(AR151)</f>
        <v>0.65471520526103555</v>
      </c>
      <c r="GL373" s="63">
        <v>8.1300000000000008</v>
      </c>
      <c r="GM373" s="63">
        <v>0.40650000000000008</v>
      </c>
      <c r="GN373" s="15">
        <f>GM373*SQRT(AR151)</f>
        <v>0.70407865327674868</v>
      </c>
      <c r="GO373" s="63">
        <f>GL373/GI373</f>
        <v>1.0753968253968256</v>
      </c>
      <c r="GP373" s="63">
        <f>GL373-GI373</f>
        <v>0.57000000000000117</v>
      </c>
      <c r="GQ373" s="15">
        <f>LN(GL373)-LN(GI373)</f>
        <v>7.2689733368277665E-2</v>
      </c>
      <c r="GR373" s="15">
        <f>((GN373*GN373)/(AR151*GL373*GL373)+(GK373*GK373)/(AR151*GI373*GI373))</f>
        <v>5.000000000000001E-3</v>
      </c>
      <c r="GT373" s="63">
        <v>49.1</v>
      </c>
      <c r="GU373" s="63">
        <v>2.4550000000000001</v>
      </c>
      <c r="GV373" s="15">
        <f>GU373*SQRT(AR141)</f>
        <v>4.2521847325815934</v>
      </c>
      <c r="GW373" s="63">
        <v>63.4</v>
      </c>
      <c r="GX373" s="63">
        <v>3.17</v>
      </c>
      <c r="GY373" s="15">
        <f>GX373*SQRT(AR141)</f>
        <v>5.4906010599933408</v>
      </c>
      <c r="GZ373" s="63">
        <f>GW373/GT373</f>
        <v>1.2912423625254581</v>
      </c>
      <c r="HA373" s="63">
        <f>GW373-GT373</f>
        <v>14.299999999999997</v>
      </c>
      <c r="HB373" s="15">
        <f>LN(GW373)-LN(GT373)</f>
        <v>0.2556048266427049</v>
      </c>
      <c r="HC373" s="15">
        <f>((GY373*GY373)/(AR141*GW373*GW373)+(GV373*GV373)/(AR141*GT373*GT373))</f>
        <v>4.9999999999999992E-3</v>
      </c>
      <c r="HY373" s="15">
        <f>AZ373</f>
        <v>1372.5</v>
      </c>
      <c r="HZ373" s="15">
        <f>BA373</f>
        <v>0.46843003412969281</v>
      </c>
      <c r="IA373" s="15">
        <f>BB373</f>
        <v>823.5</v>
      </c>
    </row>
    <row r="374" spans="1:235" s="63" customFormat="1" x14ac:dyDescent="0.25">
      <c r="A374" s="31">
        <v>372</v>
      </c>
      <c r="B374" s="65">
        <v>68</v>
      </c>
      <c r="C374" s="65">
        <v>72</v>
      </c>
      <c r="D374" s="63" t="s">
        <v>333</v>
      </c>
      <c r="E374" s="1">
        <v>1</v>
      </c>
      <c r="F374" s="63" t="s">
        <v>761</v>
      </c>
      <c r="G374" s="63" t="s">
        <v>1196</v>
      </c>
      <c r="H374" s="63" t="s">
        <v>1198</v>
      </c>
      <c r="I374" s="65">
        <v>2010</v>
      </c>
      <c r="J374" s="63" t="s">
        <v>1017</v>
      </c>
      <c r="K374" s="65">
        <v>2008</v>
      </c>
      <c r="L374" s="63" t="s">
        <v>1200</v>
      </c>
      <c r="M374" s="63" t="s">
        <v>1199</v>
      </c>
      <c r="N374" s="63" t="s">
        <v>1201</v>
      </c>
      <c r="O374" s="31">
        <v>3</v>
      </c>
      <c r="P374" s="63">
        <v>-32.76</v>
      </c>
      <c r="Q374" s="63">
        <v>147.1</v>
      </c>
      <c r="U374" s="63" t="s">
        <v>807</v>
      </c>
      <c r="V374" s="66">
        <v>2</v>
      </c>
      <c r="W374" s="63" t="s">
        <v>1202</v>
      </c>
      <c r="X374" s="63" t="s">
        <v>729</v>
      </c>
      <c r="Y374" s="61">
        <v>11</v>
      </c>
      <c r="Z374" s="63">
        <v>4.22</v>
      </c>
      <c r="AA374" s="63" t="s">
        <v>663</v>
      </c>
      <c r="AB374" s="15">
        <f>Z374+0.77</f>
        <v>4.99</v>
      </c>
      <c r="AC374" s="1">
        <v>2</v>
      </c>
      <c r="AF374" s="63">
        <v>7.56</v>
      </c>
      <c r="AH374" s="63">
        <v>49.1</v>
      </c>
      <c r="AM374" s="65"/>
      <c r="AP374" s="63" t="s">
        <v>1203</v>
      </c>
      <c r="AQ374" s="1">
        <v>1</v>
      </c>
      <c r="AR374" s="65">
        <v>3</v>
      </c>
      <c r="AT374" s="63" t="s">
        <v>886</v>
      </c>
      <c r="AW374" s="63">
        <v>1.32</v>
      </c>
      <c r="AX374" s="63">
        <f t="shared" si="347"/>
        <v>2970</v>
      </c>
      <c r="AY374" s="15" t="s">
        <v>766</v>
      </c>
      <c r="AZ374" s="15">
        <f t="shared" si="336"/>
        <v>2970</v>
      </c>
      <c r="BA374" s="15">
        <f t="shared" si="337"/>
        <v>1.0136518771331058</v>
      </c>
      <c r="BB374" s="15">
        <f t="shared" si="338"/>
        <v>1782</v>
      </c>
      <c r="FK374" s="16">
        <f>FM374+0.77</f>
        <v>4.99</v>
      </c>
      <c r="FL374" s="16">
        <f>FP374+0.77</f>
        <v>5.25</v>
      </c>
      <c r="FM374" s="63">
        <v>4.22</v>
      </c>
      <c r="FN374" s="63">
        <v>0.21099999999999999</v>
      </c>
      <c r="FO374" s="15">
        <f>FN374*SQRT(AR374)</f>
        <v>0.36546272039703309</v>
      </c>
      <c r="FP374" s="63">
        <v>4.4800000000000004</v>
      </c>
      <c r="FQ374" s="63">
        <v>0.22400000000000003</v>
      </c>
      <c r="FR374" s="15">
        <f>FQ374*SQRT(AR374)</f>
        <v>0.38797938089542855</v>
      </c>
      <c r="FS374" s="63">
        <f t="shared" si="348"/>
        <v>1.061611374407583</v>
      </c>
      <c r="FT374" s="63">
        <f t="shared" si="349"/>
        <v>0.26000000000000068</v>
      </c>
      <c r="FU374" s="15">
        <f t="shared" si="350"/>
        <v>5.9787918378973348E-2</v>
      </c>
      <c r="FV374" s="15">
        <f>((FR374*FR374)/(AR374*FP374*FP374)+(FO374*FO374)/(AR374*FM374*FM374))</f>
        <v>5.0000000000000001E-3</v>
      </c>
      <c r="GI374" s="63">
        <v>7.56</v>
      </c>
      <c r="GJ374" s="63">
        <v>0.378</v>
      </c>
      <c r="GK374" s="15">
        <f>GJ374*SQRT(AR152)</f>
        <v>0.65471520526103555</v>
      </c>
      <c r="GL374" s="63">
        <v>8.0399999999999991</v>
      </c>
      <c r="GM374" s="63">
        <v>0.40199999999999997</v>
      </c>
      <c r="GN374" s="15">
        <f>GM374*SQRT(AR152)</f>
        <v>0.69628442464268858</v>
      </c>
      <c r="GO374" s="63">
        <f>GL374/GI374</f>
        <v>1.0634920634920635</v>
      </c>
      <c r="GP374" s="63">
        <f>GL374-GI374</f>
        <v>0.47999999999999954</v>
      </c>
      <c r="GQ374" s="15">
        <f>LN(GL374)-LN(GI374)</f>
        <v>6.155789299943315E-2</v>
      </c>
      <c r="GR374" s="15">
        <f>((GN374*GN374)/(AR152*GL374*GL374)+(GK374*GK374)/(AR152*GI374*GI374))</f>
        <v>5.0000000000000001E-3</v>
      </c>
      <c r="GT374" s="63">
        <v>49.1</v>
      </c>
      <c r="GU374" s="63">
        <v>2.4550000000000001</v>
      </c>
      <c r="GV374" s="15">
        <f>GU374*SQRT(AR142)</f>
        <v>4.2521847325815934</v>
      </c>
      <c r="GW374" s="63">
        <v>69.400000000000006</v>
      </c>
      <c r="GX374" s="63">
        <v>3.4700000000000006</v>
      </c>
      <c r="GY374" s="15">
        <f>GX374*SQRT(AR142)</f>
        <v>6.0102163022640047</v>
      </c>
      <c r="GZ374" s="63">
        <f>GW374/GT374</f>
        <v>1.4134419551934827</v>
      </c>
      <c r="HA374" s="63">
        <f>GW374-GT374</f>
        <v>20.300000000000004</v>
      </c>
      <c r="HB374" s="15">
        <f>LN(GW374)-LN(GT374)</f>
        <v>0.34602783271228388</v>
      </c>
      <c r="HC374" s="15">
        <f>((GY374*GY374)/(AR142*GW374*GW374)+(GV374*GV374)/(AR142*GT374*GT374))</f>
        <v>4.9999999999999992E-3</v>
      </c>
      <c r="HY374" s="15">
        <f>AZ374</f>
        <v>2970</v>
      </c>
      <c r="HZ374" s="15">
        <f>BA374</f>
        <v>1.0136518771331058</v>
      </c>
      <c r="IA374" s="15">
        <f>BB374</f>
        <v>1782</v>
      </c>
    </row>
    <row r="375" spans="1:235" s="63" customFormat="1" x14ac:dyDescent="0.25">
      <c r="A375" s="31">
        <v>373</v>
      </c>
      <c r="B375" s="65">
        <v>68</v>
      </c>
      <c r="C375" s="65">
        <v>72</v>
      </c>
      <c r="D375" s="63" t="s">
        <v>334</v>
      </c>
      <c r="E375" s="1">
        <v>1</v>
      </c>
      <c r="F375" s="63" t="s">
        <v>761</v>
      </c>
      <c r="G375" s="63" t="s">
        <v>1196</v>
      </c>
      <c r="H375" s="63" t="s">
        <v>1198</v>
      </c>
      <c r="I375" s="65">
        <v>2010</v>
      </c>
      <c r="J375" s="63" t="s">
        <v>1017</v>
      </c>
      <c r="K375" s="65">
        <v>2008</v>
      </c>
      <c r="L375" s="63" t="s">
        <v>1200</v>
      </c>
      <c r="M375" s="63" t="s">
        <v>1199</v>
      </c>
      <c r="N375" s="63" t="s">
        <v>1201</v>
      </c>
      <c r="O375" s="31">
        <v>3</v>
      </c>
      <c r="P375" s="63">
        <v>-32.76</v>
      </c>
      <c r="Q375" s="63">
        <v>147.1</v>
      </c>
      <c r="U375" s="63" t="s">
        <v>807</v>
      </c>
      <c r="V375" s="66">
        <v>2</v>
      </c>
      <c r="W375" s="63" t="s">
        <v>1202</v>
      </c>
      <c r="X375" s="63" t="s">
        <v>729</v>
      </c>
      <c r="Y375" s="61">
        <v>11</v>
      </c>
      <c r="Z375" s="63">
        <v>4.22</v>
      </c>
      <c r="AA375" s="63" t="s">
        <v>663</v>
      </c>
      <c r="AB375" s="15">
        <f>Z375+0.77</f>
        <v>4.99</v>
      </c>
      <c r="AC375" s="1">
        <v>2</v>
      </c>
      <c r="AF375" s="63">
        <v>7.56</v>
      </c>
      <c r="AH375" s="63">
        <v>49.1</v>
      </c>
      <c r="AM375" s="65"/>
      <c r="AP375" s="63" t="s">
        <v>1203</v>
      </c>
      <c r="AQ375" s="1">
        <v>1</v>
      </c>
      <c r="AR375" s="65">
        <v>3</v>
      </c>
      <c r="AT375" s="63" t="s">
        <v>886</v>
      </c>
      <c r="AW375" s="63">
        <v>2.15</v>
      </c>
      <c r="AX375" s="63">
        <f t="shared" si="347"/>
        <v>4837.5</v>
      </c>
      <c r="AY375" s="15" t="s">
        <v>766</v>
      </c>
      <c r="AZ375" s="15">
        <f t="shared" si="336"/>
        <v>4837.5</v>
      </c>
      <c r="BA375" s="15">
        <f t="shared" si="337"/>
        <v>1.6510238907849828</v>
      </c>
      <c r="BB375" s="15">
        <f t="shared" si="338"/>
        <v>2902.5</v>
      </c>
      <c r="FK375" s="16">
        <f>FM375+0.77</f>
        <v>4.99</v>
      </c>
      <c r="FL375" s="16">
        <f>FP375+0.77</f>
        <v>5.42</v>
      </c>
      <c r="FM375" s="63">
        <v>4.22</v>
      </c>
      <c r="FN375" s="63">
        <v>0.21099999999999999</v>
      </c>
      <c r="FO375" s="15">
        <f>FN375*SQRT(AR375)</f>
        <v>0.36546272039703309</v>
      </c>
      <c r="FP375" s="63">
        <v>4.6500000000000004</v>
      </c>
      <c r="FQ375" s="63">
        <v>0.23250000000000004</v>
      </c>
      <c r="FR375" s="15">
        <f>FQ375*SQRT(AR375)</f>
        <v>0.40270181275976402</v>
      </c>
      <c r="FS375" s="63">
        <f t="shared" si="348"/>
        <v>1.1018957345971565</v>
      </c>
      <c r="FT375" s="63">
        <f t="shared" si="349"/>
        <v>0.4300000000000006</v>
      </c>
      <c r="FU375" s="15">
        <f t="shared" si="350"/>
        <v>9.7032091551344513E-2</v>
      </c>
      <c r="FV375" s="15">
        <f>((FR375*FR375)/(AR375*FP375*FP375)+(FO375*FO375)/(AR375*FM375*FM375))</f>
        <v>5.0000000000000001E-3</v>
      </c>
      <c r="GI375" s="63">
        <v>7.56</v>
      </c>
      <c r="GJ375" s="63">
        <v>0.378</v>
      </c>
      <c r="GK375" s="15">
        <f>GJ375*SQRT(AR153)</f>
        <v>0.65471520526103555</v>
      </c>
      <c r="GL375" s="63">
        <v>8.5299999999999994</v>
      </c>
      <c r="GM375" s="63">
        <v>0.42649999999999999</v>
      </c>
      <c r="GN375" s="15">
        <f>GM375*SQRT(AR153)</f>
        <v>0.73871966942812606</v>
      </c>
      <c r="GO375" s="63">
        <f>GL375/GI375</f>
        <v>1.1283068783068784</v>
      </c>
      <c r="GP375" s="63">
        <f>GL375-GI375</f>
        <v>0.96999999999999975</v>
      </c>
      <c r="GQ375" s="15">
        <f>LN(GL375)-LN(GI375)</f>
        <v>0.12071817131214591</v>
      </c>
      <c r="GR375" s="15">
        <f>((GN375*GN375)/(AR153*GL375*GL375)+(GK375*GK375)/(AR153*GI375*GI375))</f>
        <v>4.9999999999999992E-3</v>
      </c>
      <c r="GT375" s="63">
        <v>49.1</v>
      </c>
      <c r="GU375" s="63">
        <v>2.4550000000000001</v>
      </c>
      <c r="GV375" s="15">
        <f>GU375*SQRT(AR143)</f>
        <v>4.2521847325815934</v>
      </c>
      <c r="GW375" s="63">
        <v>82.3</v>
      </c>
      <c r="GX375" s="63">
        <v>4.1150000000000002</v>
      </c>
      <c r="GY375" s="15">
        <f>GX375*SQRT(AR143)</f>
        <v>7.1273890731459302</v>
      </c>
      <c r="GZ375" s="63">
        <f>GW375/GT375</f>
        <v>1.6761710794297351</v>
      </c>
      <c r="HA375" s="63">
        <f>GW375-GT375</f>
        <v>33.199999999999996</v>
      </c>
      <c r="HB375" s="15">
        <f>LN(GW375)-LN(GT375)</f>
        <v>0.51651207288254897</v>
      </c>
      <c r="HC375" s="15">
        <f>((GY375*GY375)/(AR143*GW375*GW375)+(GV375*GV375)/(AR143*GT375*GT375))</f>
        <v>4.9999999999999992E-3</v>
      </c>
      <c r="HY375" s="15">
        <f>AZ375</f>
        <v>4837.5</v>
      </c>
      <c r="HZ375" s="15">
        <f>BA375</f>
        <v>1.6510238907849828</v>
      </c>
      <c r="IA375" s="15">
        <f>BB375</f>
        <v>2902.5</v>
      </c>
    </row>
    <row r="376" spans="1:235" s="63" customFormat="1" x14ac:dyDescent="0.25">
      <c r="A376" s="31">
        <v>374</v>
      </c>
      <c r="B376" s="65">
        <v>68</v>
      </c>
      <c r="C376" s="65">
        <v>72</v>
      </c>
      <c r="D376" s="63" t="s">
        <v>335</v>
      </c>
      <c r="E376" s="1">
        <v>1</v>
      </c>
      <c r="F376" s="63" t="s">
        <v>761</v>
      </c>
      <c r="G376" s="63" t="s">
        <v>1196</v>
      </c>
      <c r="H376" s="63" t="s">
        <v>1198</v>
      </c>
      <c r="I376" s="65">
        <v>2010</v>
      </c>
      <c r="J376" s="63" t="s">
        <v>1017</v>
      </c>
      <c r="K376" s="65">
        <v>2008</v>
      </c>
      <c r="L376" s="63" t="s">
        <v>1200</v>
      </c>
      <c r="M376" s="63" t="s">
        <v>1199</v>
      </c>
      <c r="N376" s="63" t="s">
        <v>1201</v>
      </c>
      <c r="O376" s="31">
        <v>3</v>
      </c>
      <c r="P376" s="63">
        <v>-32.76</v>
      </c>
      <c r="Q376" s="63">
        <v>147.1</v>
      </c>
      <c r="U376" s="63" t="s">
        <v>807</v>
      </c>
      <c r="V376" s="66">
        <v>2</v>
      </c>
      <c r="W376" s="63" t="s">
        <v>1202</v>
      </c>
      <c r="X376" s="63" t="s">
        <v>729</v>
      </c>
      <c r="Y376" s="61">
        <v>11</v>
      </c>
      <c r="Z376" s="63">
        <v>4.22</v>
      </c>
      <c r="AA376" s="63" t="s">
        <v>663</v>
      </c>
      <c r="AB376" s="15">
        <f>Z376+0.77</f>
        <v>4.99</v>
      </c>
      <c r="AC376" s="1">
        <v>2</v>
      </c>
      <c r="AF376" s="63">
        <v>7.56</v>
      </c>
      <c r="AH376" s="63">
        <v>49.1</v>
      </c>
      <c r="AM376" s="65"/>
      <c r="AP376" s="63" t="s">
        <v>1203</v>
      </c>
      <c r="AQ376" s="1">
        <v>1</v>
      </c>
      <c r="AR376" s="65">
        <v>3</v>
      </c>
      <c r="AT376" s="63" t="s">
        <v>886</v>
      </c>
      <c r="AW376" s="63">
        <v>3.25</v>
      </c>
      <c r="AX376" s="63">
        <f t="shared" si="347"/>
        <v>7312.5</v>
      </c>
      <c r="AY376" s="15" t="s">
        <v>766</v>
      </c>
      <c r="AZ376" s="15">
        <f t="shared" si="336"/>
        <v>7312.5</v>
      </c>
      <c r="BA376" s="15">
        <f t="shared" si="337"/>
        <v>2.4957337883959045</v>
      </c>
      <c r="BB376" s="15">
        <f t="shared" si="338"/>
        <v>4387.5</v>
      </c>
      <c r="FK376" s="16">
        <f>FM376+0.77</f>
        <v>4.99</v>
      </c>
      <c r="FL376" s="16">
        <f>FP376+0.77</f>
        <v>5.6199999999999992</v>
      </c>
      <c r="FM376" s="63">
        <v>4.22</v>
      </c>
      <c r="FN376" s="63">
        <v>0.21099999999999999</v>
      </c>
      <c r="FO376" s="15">
        <f>FN376*SQRT(AR376)</f>
        <v>0.36546272039703309</v>
      </c>
      <c r="FP376" s="63">
        <v>4.8499999999999996</v>
      </c>
      <c r="FQ376" s="63">
        <v>0.24249999999999999</v>
      </c>
      <c r="FR376" s="15">
        <f>FQ376*SQRT(AR376)</f>
        <v>0.42002232083545271</v>
      </c>
      <c r="FS376" s="63">
        <f t="shared" si="348"/>
        <v>1.1492890995260663</v>
      </c>
      <c r="FT376" s="63">
        <f t="shared" si="349"/>
        <v>0.62999999999999989</v>
      </c>
      <c r="FU376" s="15">
        <f t="shared" si="350"/>
        <v>0.13914357690147128</v>
      </c>
      <c r="FV376" s="15">
        <f>((FR376*FR376)/(AR376*FP376*FP376)+(FO376*FO376)/(AR376*FM376*FM376))</f>
        <v>5.0000000000000001E-3</v>
      </c>
      <c r="GI376" s="63">
        <v>7.56</v>
      </c>
      <c r="GJ376" s="63">
        <v>0.378</v>
      </c>
      <c r="GK376" s="15">
        <f>GJ376*SQRT(AR154)</f>
        <v>0.65471520526103555</v>
      </c>
      <c r="GL376" s="63">
        <v>9.31</v>
      </c>
      <c r="GM376" s="63">
        <v>0.46550000000000002</v>
      </c>
      <c r="GN376" s="15">
        <f>GM376*SQRT(AR154)</f>
        <v>0.80626965092331238</v>
      </c>
      <c r="GO376" s="63">
        <f>GL376/GI376</f>
        <v>1.2314814814814816</v>
      </c>
      <c r="GP376" s="63">
        <f>GL376-GI376</f>
        <v>1.7500000000000009</v>
      </c>
      <c r="GQ376" s="15">
        <f>LN(GL376)-LN(GI376)</f>
        <v>0.20821790109753424</v>
      </c>
      <c r="GR376" s="15">
        <f>((GN376*GN376)/(AR154*GL376*GL376)+(GK376*GK376)/(AR154*GI376*GI376))</f>
        <v>5.0000000000000001E-3</v>
      </c>
      <c r="GT376" s="63">
        <v>49.1</v>
      </c>
      <c r="GU376" s="63">
        <v>2.4550000000000001</v>
      </c>
      <c r="GV376" s="15">
        <f>GU376*SQRT(AR144)</f>
        <v>4.2521847325815934</v>
      </c>
      <c r="GW376" s="63">
        <v>92.3</v>
      </c>
      <c r="GX376" s="63">
        <v>4.6150000000000002</v>
      </c>
      <c r="GY376" s="15">
        <f>GX376*SQRT(AR144)</f>
        <v>7.9934144769303686</v>
      </c>
      <c r="GZ376" s="63">
        <f>GW376/GT376</f>
        <v>1.8798370672097759</v>
      </c>
      <c r="HA376" s="63">
        <f>GW376-GT376</f>
        <v>43.199999999999996</v>
      </c>
      <c r="HB376" s="15">
        <f>LN(GW376)-LN(GT376)</f>
        <v>0.63118510670833183</v>
      </c>
      <c r="HC376" s="15">
        <f>((GY376*GY376)/(AR144*GW376*GW376)+(GV376*GV376)/(AR144*GT376*GT376))</f>
        <v>4.9999999999999992E-3</v>
      </c>
      <c r="HY376" s="15">
        <f>AZ376</f>
        <v>7312.5</v>
      </c>
      <c r="HZ376" s="15">
        <f>BA376</f>
        <v>2.4957337883959045</v>
      </c>
      <c r="IA376" s="15">
        <f>BB376</f>
        <v>4387.5</v>
      </c>
    </row>
    <row r="377" spans="1:235" s="63" customFormat="1" x14ac:dyDescent="0.25">
      <c r="A377" s="31">
        <v>375</v>
      </c>
      <c r="B377" s="65">
        <v>68</v>
      </c>
      <c r="C377" s="65">
        <v>72</v>
      </c>
      <c r="D377" s="63" t="s">
        <v>336</v>
      </c>
      <c r="E377" s="1">
        <v>1</v>
      </c>
      <c r="F377" s="63" t="s">
        <v>761</v>
      </c>
      <c r="G377" s="63" t="s">
        <v>1196</v>
      </c>
      <c r="H377" s="63" t="s">
        <v>1198</v>
      </c>
      <c r="I377" s="65">
        <v>2010</v>
      </c>
      <c r="J377" s="63" t="s">
        <v>1017</v>
      </c>
      <c r="K377" s="65">
        <v>2008</v>
      </c>
      <c r="L377" s="63" t="s">
        <v>1200</v>
      </c>
      <c r="M377" s="63" t="s">
        <v>1199</v>
      </c>
      <c r="N377" s="63" t="s">
        <v>1201</v>
      </c>
      <c r="O377" s="31">
        <v>3</v>
      </c>
      <c r="P377" s="63">
        <v>-32.76</v>
      </c>
      <c r="Q377" s="63">
        <v>147.1</v>
      </c>
      <c r="U377" s="63" t="s">
        <v>807</v>
      </c>
      <c r="V377" s="66">
        <v>2</v>
      </c>
      <c r="W377" s="63" t="s">
        <v>1202</v>
      </c>
      <c r="X377" s="63" t="s">
        <v>729</v>
      </c>
      <c r="Y377" s="61">
        <v>11</v>
      </c>
      <c r="Z377" s="63">
        <v>4.22</v>
      </c>
      <c r="AA377" s="63" t="s">
        <v>663</v>
      </c>
      <c r="AB377" s="15">
        <f>Z377+0.77</f>
        <v>4.99</v>
      </c>
      <c r="AC377" s="1">
        <v>2</v>
      </c>
      <c r="AF377" s="63">
        <v>7.56</v>
      </c>
      <c r="AH377" s="63">
        <v>49.1</v>
      </c>
      <c r="AM377" s="65"/>
      <c r="AP377" s="63" t="s">
        <v>1203</v>
      </c>
      <c r="AQ377" s="1">
        <v>1</v>
      </c>
      <c r="AR377" s="65">
        <v>3</v>
      </c>
      <c r="AT377" s="63" t="s">
        <v>886</v>
      </c>
      <c r="AW377" s="63">
        <v>6</v>
      </c>
      <c r="AX377" s="63">
        <f t="shared" si="347"/>
        <v>13500</v>
      </c>
      <c r="AY377" s="15" t="s">
        <v>766</v>
      </c>
      <c r="AZ377" s="15">
        <f t="shared" si="336"/>
        <v>13500</v>
      </c>
      <c r="BA377" s="15">
        <f t="shared" si="337"/>
        <v>4.6075085324232079</v>
      </c>
      <c r="BB377" s="15">
        <f t="shared" si="338"/>
        <v>8100</v>
      </c>
      <c r="FK377" s="16">
        <f>FM377+0.77</f>
        <v>4.99</v>
      </c>
      <c r="FL377" s="16">
        <f>FP377+0.77</f>
        <v>6.1199999999999992</v>
      </c>
      <c r="FM377" s="63">
        <v>4.22</v>
      </c>
      <c r="FN377" s="63">
        <v>0.21099999999999999</v>
      </c>
      <c r="FO377" s="15">
        <f>FN377*SQRT(AR377)</f>
        <v>0.36546272039703309</v>
      </c>
      <c r="FP377" s="63">
        <v>5.35</v>
      </c>
      <c r="FQ377" s="63">
        <v>0.26750000000000002</v>
      </c>
      <c r="FR377" s="15">
        <f>FQ377*SQRT(AR377)</f>
        <v>0.46332359102467469</v>
      </c>
      <c r="FS377" s="63">
        <f t="shared" si="348"/>
        <v>1.2677725118483412</v>
      </c>
      <c r="FT377" s="63">
        <f t="shared" si="349"/>
        <v>1.1299999999999999</v>
      </c>
      <c r="FU377" s="15">
        <f t="shared" si="350"/>
        <v>0.23726143285999468</v>
      </c>
      <c r="FV377" s="15">
        <f>((FR377*FR377)/(AR377*FP377*FP377)+(FO377*FO377)/(AR377*FM377*FM377))</f>
        <v>5.000000000000001E-3</v>
      </c>
      <c r="GI377" s="63">
        <v>7.56</v>
      </c>
      <c r="GJ377" s="63">
        <v>0.378</v>
      </c>
      <c r="GK377" s="15">
        <f>GJ377*SQRT(AR155)</f>
        <v>0.65471520526103555</v>
      </c>
      <c r="GL377" s="63">
        <v>13.22</v>
      </c>
      <c r="GM377" s="63">
        <v>0.66100000000000003</v>
      </c>
      <c r="GN377" s="15">
        <f>GM377*SQRT(AR155)</f>
        <v>1.1448855838030279</v>
      </c>
      <c r="GO377" s="63">
        <f>GL377/GI377</f>
        <v>1.7486772486772488</v>
      </c>
      <c r="GP377" s="63">
        <f>GL377-GI377</f>
        <v>5.660000000000001</v>
      </c>
      <c r="GQ377" s="15">
        <f>LN(GL377)-LN(GI377)</f>
        <v>0.55885964423209877</v>
      </c>
      <c r="GR377" s="15">
        <f>((GN377*GN377)/(AR155*GL377*GL377)+(GK377*GK377)/(AR155*GI377*GI377))</f>
        <v>4.9999999999999992E-3</v>
      </c>
      <c r="GT377" s="63">
        <v>49.1</v>
      </c>
      <c r="GU377" s="63">
        <v>2.4550000000000001</v>
      </c>
      <c r="GV377" s="15">
        <f>GU377*SQRT(AR145)</f>
        <v>4.2521847325815934</v>
      </c>
      <c r="GW377" s="63">
        <v>99.6</v>
      </c>
      <c r="GX377" s="63">
        <v>4.9800000000000004</v>
      </c>
      <c r="GY377" s="15">
        <f>GX377*SQRT(AR145)</f>
        <v>8.6256130216930096</v>
      </c>
      <c r="GZ377" s="63">
        <f>GW377/GT377</f>
        <v>2.0285132382892055</v>
      </c>
      <c r="HA377" s="63">
        <f>GW377-GT377</f>
        <v>50.499999999999993</v>
      </c>
      <c r="HB377" s="15">
        <f>LN(GW377)-LN(GT377)</f>
        <v>0.70730312979007737</v>
      </c>
      <c r="HC377" s="15">
        <f>((GY377*GY377)/(AR145*GW377*GW377)+(GV377*GV377)/(AR145*GT377*GT377))</f>
        <v>5.0000000000000001E-3</v>
      </c>
      <c r="HY377" s="15">
        <f>AZ377</f>
        <v>13500</v>
      </c>
      <c r="HZ377" s="15">
        <f>BA377</f>
        <v>4.6075085324232079</v>
      </c>
      <c r="IA377" s="15">
        <f>BB377</f>
        <v>8100</v>
      </c>
    </row>
    <row r="378" spans="1:235" s="15" customFormat="1" x14ac:dyDescent="0.25">
      <c r="A378" s="31">
        <v>376</v>
      </c>
      <c r="B378" s="1">
        <v>69</v>
      </c>
      <c r="C378" s="1">
        <v>73</v>
      </c>
      <c r="D378" s="63" t="s">
        <v>337</v>
      </c>
      <c r="E378" s="1">
        <v>1</v>
      </c>
      <c r="F378" s="63" t="s">
        <v>761</v>
      </c>
      <c r="G378" s="15" t="s">
        <v>1204</v>
      </c>
      <c r="H378" s="15" t="s">
        <v>1205</v>
      </c>
      <c r="I378" s="1">
        <v>2012</v>
      </c>
      <c r="J378" s="15" t="s">
        <v>686</v>
      </c>
      <c r="K378" s="1">
        <v>2012</v>
      </c>
      <c r="L378" s="15" t="s">
        <v>1207</v>
      </c>
      <c r="M378" s="63" t="s">
        <v>1199</v>
      </c>
      <c r="N378" s="63" t="s">
        <v>1201</v>
      </c>
      <c r="O378" s="31">
        <v>2</v>
      </c>
      <c r="P378" s="15">
        <v>-27.5</v>
      </c>
      <c r="Q378" s="15">
        <v>153.01</v>
      </c>
      <c r="U378" s="63" t="s">
        <v>807</v>
      </c>
      <c r="V378" s="66">
        <v>2</v>
      </c>
      <c r="W378" s="16" t="s">
        <v>1212</v>
      </c>
      <c r="Y378" s="1"/>
      <c r="Z378" s="15">
        <v>4.3600000000000003</v>
      </c>
      <c r="AA378" s="15" t="s">
        <v>574</v>
      </c>
      <c r="AB378" s="15">
        <f t="shared" ref="AB378:AB441" si="351">Z378</f>
        <v>4.3600000000000003</v>
      </c>
      <c r="AC378" s="1">
        <v>1</v>
      </c>
      <c r="AM378" s="1"/>
      <c r="AN378" s="15">
        <v>1.33</v>
      </c>
      <c r="AP378" s="15" t="s">
        <v>1206</v>
      </c>
      <c r="AQ378" s="1">
        <v>4</v>
      </c>
      <c r="AR378" s="1">
        <v>3</v>
      </c>
      <c r="AT378" s="63" t="s">
        <v>886</v>
      </c>
      <c r="AW378" s="15">
        <v>2</v>
      </c>
      <c r="AX378" s="63">
        <f t="shared" si="347"/>
        <v>4500</v>
      </c>
      <c r="AY378" s="15" t="s">
        <v>766</v>
      </c>
      <c r="AZ378" s="15">
        <f t="shared" si="336"/>
        <v>4500</v>
      </c>
      <c r="BA378" s="15">
        <f t="shared" si="337"/>
        <v>1.5358361774744025</v>
      </c>
      <c r="BB378" s="15">
        <f t="shared" si="338"/>
        <v>2700</v>
      </c>
      <c r="BP378" s="16"/>
      <c r="BQ378" s="16"/>
      <c r="BR378" s="16"/>
      <c r="BU378" s="16"/>
      <c r="EZ378" s="16"/>
      <c r="FA378" s="16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>
        <f t="shared" ref="FK378:FK417" si="352">FM378</f>
        <v>4.3600000000000003</v>
      </c>
      <c r="FL378" s="16">
        <f t="shared" ref="FL378:FL417" si="353">FP378</f>
        <v>4.93</v>
      </c>
      <c r="FM378" s="15">
        <v>4.3600000000000003</v>
      </c>
      <c r="FN378" s="15">
        <v>0.21800000000000003</v>
      </c>
      <c r="FO378" s="15">
        <f>FN378*SQRT(AR378)</f>
        <v>0.37758707605001529</v>
      </c>
      <c r="FP378" s="15">
        <v>4.93</v>
      </c>
      <c r="FQ378" s="15">
        <v>0.2465</v>
      </c>
      <c r="FR378" s="15">
        <f>FQ378*SQRT(AR378)</f>
        <v>0.4269505240657282</v>
      </c>
      <c r="FS378" s="15">
        <f t="shared" si="348"/>
        <v>1.1307339449541283</v>
      </c>
      <c r="FT378" s="15">
        <f t="shared" si="349"/>
        <v>0.5699999999999994</v>
      </c>
      <c r="FU378" s="15">
        <f t="shared" si="350"/>
        <v>0.12286693069365562</v>
      </c>
      <c r="FV378" s="15">
        <f>((FR378*FR378)/(AR378*FP378*FP378)+(FO378*FO378)/(AR378*FM378*FM378))</f>
        <v>4.9999999999999992E-3</v>
      </c>
      <c r="GV378" s="15">
        <f>GU378*SQRT(AR146)</f>
        <v>0</v>
      </c>
      <c r="GY378" s="15">
        <f>GX378*SQRT(AR146)</f>
        <v>0</v>
      </c>
      <c r="HY378" s="15">
        <f>AZ378</f>
        <v>4500</v>
      </c>
      <c r="HZ378" s="15">
        <f>BA378</f>
        <v>1.5358361774744025</v>
      </c>
      <c r="IA378" s="15">
        <f>BB378</f>
        <v>2700</v>
      </c>
    </row>
    <row r="379" spans="1:235" s="15" customFormat="1" x14ac:dyDescent="0.25">
      <c r="A379" s="31">
        <v>377</v>
      </c>
      <c r="B379" s="1">
        <v>70</v>
      </c>
      <c r="C379" s="1">
        <v>74</v>
      </c>
      <c r="D379" s="63" t="s">
        <v>338</v>
      </c>
      <c r="E379" s="1">
        <v>1</v>
      </c>
      <c r="F379" s="15" t="s">
        <v>761</v>
      </c>
      <c r="G379" s="15" t="s">
        <v>1210</v>
      </c>
      <c r="H379" s="15" t="s">
        <v>1211</v>
      </c>
      <c r="I379" s="1">
        <v>2000</v>
      </c>
      <c r="J379" s="15" t="s">
        <v>1209</v>
      </c>
      <c r="K379" s="1">
        <v>1999</v>
      </c>
      <c r="L379" s="15" t="s">
        <v>1208</v>
      </c>
      <c r="M379" s="63" t="s">
        <v>1199</v>
      </c>
      <c r="N379" s="63" t="s">
        <v>1201</v>
      </c>
      <c r="O379" s="31">
        <v>2</v>
      </c>
      <c r="P379" s="15">
        <v>-27.48</v>
      </c>
      <c r="Q379" s="15">
        <v>153.02000000000001</v>
      </c>
      <c r="U379" s="63" t="s">
        <v>807</v>
      </c>
      <c r="V379" s="66">
        <v>2</v>
      </c>
      <c r="W379" s="16" t="s">
        <v>1212</v>
      </c>
      <c r="X379" s="15" t="s">
        <v>1213</v>
      </c>
      <c r="Y379" s="1">
        <v>4</v>
      </c>
      <c r="Z379" s="15">
        <v>3.7</v>
      </c>
      <c r="AA379" s="15" t="s">
        <v>574</v>
      </c>
      <c r="AB379" s="15">
        <f t="shared" si="351"/>
        <v>3.7</v>
      </c>
      <c r="AC379" s="1">
        <v>1</v>
      </c>
      <c r="AD379" s="15">
        <f>5*17.4</f>
        <v>87</v>
      </c>
      <c r="AF379" s="15">
        <v>12.14</v>
      </c>
      <c r="AH379" s="15">
        <v>24.9</v>
      </c>
      <c r="AP379" s="15" t="s">
        <v>1214</v>
      </c>
      <c r="AQ379" s="57">
        <v>8</v>
      </c>
      <c r="AR379" s="1">
        <v>4</v>
      </c>
      <c r="AT379" s="63" t="s">
        <v>886</v>
      </c>
      <c r="AW379" s="15">
        <v>1.5</v>
      </c>
      <c r="AX379" s="63">
        <f t="shared" si="347"/>
        <v>3375</v>
      </c>
      <c r="AY379" s="15" t="s">
        <v>766</v>
      </c>
      <c r="AZ379" s="15">
        <f t="shared" si="336"/>
        <v>3375</v>
      </c>
      <c r="BA379" s="15">
        <f t="shared" si="337"/>
        <v>1.151877133105802</v>
      </c>
      <c r="BB379" s="15">
        <f t="shared" si="338"/>
        <v>2025</v>
      </c>
      <c r="BP379" s="16"/>
      <c r="BQ379" s="16"/>
      <c r="BR379" s="16"/>
      <c r="BU379" s="16"/>
      <c r="EZ379" s="16"/>
      <c r="FA379" s="16"/>
      <c r="FB379" s="16"/>
      <c r="FC379" s="16"/>
      <c r="FD379" s="16"/>
      <c r="FE379" s="16"/>
      <c r="FF379" s="16"/>
      <c r="FG379" s="16"/>
      <c r="FH379" s="16"/>
      <c r="FI379" s="16"/>
      <c r="FJ379" s="16"/>
      <c r="FK379" s="16">
        <f t="shared" si="352"/>
        <v>3.87</v>
      </c>
      <c r="FL379" s="16">
        <f t="shared" si="353"/>
        <v>4.18</v>
      </c>
      <c r="FM379" s="15">
        <v>3.87</v>
      </c>
      <c r="FN379" s="15">
        <f t="shared" ref="FN379:FN388" si="354">FM379*0.01</f>
        <v>3.8700000000000005E-2</v>
      </c>
      <c r="FO379" s="15">
        <f>FN379*SQRT(AR379)</f>
        <v>7.740000000000001E-2</v>
      </c>
      <c r="FP379" s="15">
        <v>4.18</v>
      </c>
      <c r="FQ379" s="15">
        <f t="shared" ref="FQ379:FQ388" si="355">FP379*0.01</f>
        <v>4.1799999999999997E-2</v>
      </c>
      <c r="FR379" s="15">
        <f>FQ379*SQRT(AR379)</f>
        <v>8.3599999999999994E-2</v>
      </c>
      <c r="FS379" s="15">
        <f t="shared" si="348"/>
        <v>1.0801033591731266</v>
      </c>
      <c r="FT379" s="15">
        <f t="shared" si="349"/>
        <v>0.30999999999999961</v>
      </c>
      <c r="FU379" s="15">
        <f t="shared" si="350"/>
        <v>7.7056739494974602E-2</v>
      </c>
      <c r="FV379" s="15">
        <f>((FR379*FR379)/(AR379*FP379*FP379)+(FO379*FO379)/(AR379*FM379*FM379))</f>
        <v>2.0000000000000004E-4</v>
      </c>
      <c r="GI379" s="15">
        <f>1.14+0.82+2.21+2.53+9.39</f>
        <v>16.09</v>
      </c>
      <c r="GJ379" s="15">
        <f t="shared" ref="GJ379:GJ388" si="356">GI379*0.01</f>
        <v>0.16090000000000002</v>
      </c>
      <c r="GK379" s="15">
        <f>GJ379*SQRT(AR157)</f>
        <v>0.27868697493783234</v>
      </c>
      <c r="GL379" s="15">
        <f>4.85+0.68+1.9+2.1+7.1</f>
        <v>16.63</v>
      </c>
      <c r="GM379" s="15">
        <f t="shared" ref="GM379:GM388" si="357">GL379*0.01</f>
        <v>0.1663</v>
      </c>
      <c r="GN379" s="15">
        <f>GM379*SQRT(AR157)</f>
        <v>0.2880400492987043</v>
      </c>
      <c r="GO379" s="63">
        <f t="shared" ref="GO379:GO388" si="358">GL379/GI379</f>
        <v>1.0335612181479179</v>
      </c>
      <c r="GP379" s="63">
        <f t="shared" ref="GP379:GP388" si="359">GL379-GI379</f>
        <v>0.53999999999999915</v>
      </c>
      <c r="GQ379" s="15">
        <f t="shared" ref="GQ379:GQ388" si="360">LN(GL379)-LN(GI379)</f>
        <v>3.301033220054439E-2</v>
      </c>
      <c r="GR379" s="15">
        <f>((GN379*GN379)/(AR157*GL379*GL379)+(GK379*GK379)/(AR157*GI379*GI379))</f>
        <v>2.0000000000000001E-4</v>
      </c>
      <c r="GT379" s="15">
        <v>42</v>
      </c>
      <c r="GU379" s="15">
        <f t="shared" ref="GU379:GU388" si="361">GT379*0.01</f>
        <v>0.42</v>
      </c>
      <c r="GV379" s="15">
        <f>GU379*SQRT(AR147)</f>
        <v>0.72746133917892841</v>
      </c>
      <c r="GW379" s="15">
        <v>57</v>
      </c>
      <c r="GX379" s="15">
        <f t="shared" ref="GX379:GX388" si="362">GW379*0.01</f>
        <v>0.57000000000000006</v>
      </c>
      <c r="GY379" s="15">
        <f>GX379*SQRT(AR147)</f>
        <v>0.98726896031426015</v>
      </c>
      <c r="GZ379" s="63">
        <f t="shared" ref="GZ379:GZ388" si="363">GW379/GT379</f>
        <v>1.3571428571428572</v>
      </c>
      <c r="HA379" s="63">
        <f t="shared" ref="HA379:HA388" si="364">GW379-GT379</f>
        <v>15</v>
      </c>
      <c r="HB379" s="15">
        <f t="shared" ref="HB379:HB388" si="365">LN(GW379)-LN(GT379)</f>
        <v>0.30538164955118186</v>
      </c>
      <c r="HC379" s="15">
        <f>((GY379*GY379)/(AR147*GW379*GW379)+(GV379*GV379)/(AR147*GT379*GT379))</f>
        <v>1.9999999999999998E-4</v>
      </c>
      <c r="HE379" s="15">
        <v>0.93</v>
      </c>
      <c r="HF379" s="15">
        <f t="shared" ref="HF379:HF388" si="366">HE379*0.01</f>
        <v>9.300000000000001E-3</v>
      </c>
      <c r="HG379" s="15">
        <f>HF379*SQRT(AR166)</f>
        <v>1.6108072510390561E-2</v>
      </c>
      <c r="HH379" s="15">
        <v>2.7</v>
      </c>
      <c r="HI379" s="15">
        <f t="shared" ref="HI379:HI388" si="367">HH379*0.01</f>
        <v>2.7000000000000003E-2</v>
      </c>
      <c r="HJ379" s="15">
        <f>HI379*SQRT(AR166)</f>
        <v>4.676537180435969E-2</v>
      </c>
      <c r="HK379" s="15">
        <f t="shared" ref="HK379:HK404" si="368">HH379/HE379</f>
        <v>2.903225806451613</v>
      </c>
      <c r="HL379" s="15">
        <f t="shared" ref="HL379:HL404" si="369">HH379-HE379</f>
        <v>1.77</v>
      </c>
      <c r="HM379" s="15">
        <f t="shared" ref="HM379:HM404" si="370">LN(HH379)-LN(HE379)</f>
        <v>1.0658224658451187</v>
      </c>
      <c r="HN379" s="15">
        <f>((HJ379*HJ379)/(AR166*HH379*HH379)+(HG379*HG379)/(AR166*HE379*HE379))</f>
        <v>2.0000000000000001E-4</v>
      </c>
      <c r="HP379" s="15" t="s">
        <v>1186</v>
      </c>
      <c r="HV379" s="15">
        <f t="shared" ref="HV379:HV404" si="371">HX379/HW379/100</f>
        <v>18.999411861658629</v>
      </c>
      <c r="HW379" s="15">
        <f t="shared" ref="HW379:HW404" si="372">HM379</f>
        <v>1.0658224658451187</v>
      </c>
      <c r="HX379" s="15">
        <f>BB379</f>
        <v>2025</v>
      </c>
      <c r="HY379" s="15">
        <f>AZ379</f>
        <v>3375</v>
      </c>
      <c r="HZ379" s="15">
        <f>BA379</f>
        <v>1.151877133105802</v>
      </c>
      <c r="IA379" s="15">
        <f>BB379</f>
        <v>2025</v>
      </c>
    </row>
    <row r="380" spans="1:235" s="15" customFormat="1" x14ac:dyDescent="0.25">
      <c r="A380" s="31">
        <v>378</v>
      </c>
      <c r="B380" s="1">
        <v>70</v>
      </c>
      <c r="C380" s="1">
        <v>74</v>
      </c>
      <c r="D380" s="63" t="s">
        <v>339</v>
      </c>
      <c r="E380" s="1">
        <v>1</v>
      </c>
      <c r="F380" s="15" t="s">
        <v>761</v>
      </c>
      <c r="G380" s="15" t="s">
        <v>1210</v>
      </c>
      <c r="H380" s="15" t="s">
        <v>1211</v>
      </c>
      <c r="I380" s="1">
        <v>2000</v>
      </c>
      <c r="J380" s="15" t="s">
        <v>1209</v>
      </c>
      <c r="K380" s="1">
        <v>1999</v>
      </c>
      <c r="L380" s="15" t="s">
        <v>1208</v>
      </c>
      <c r="M380" s="63" t="s">
        <v>1199</v>
      </c>
      <c r="N380" s="63" t="s">
        <v>1201</v>
      </c>
      <c r="O380" s="31">
        <v>2</v>
      </c>
      <c r="P380" s="15">
        <v>-27.48</v>
      </c>
      <c r="Q380" s="15">
        <v>153.02000000000001</v>
      </c>
      <c r="U380" s="63" t="s">
        <v>807</v>
      </c>
      <c r="V380" s="66">
        <v>2</v>
      </c>
      <c r="W380" s="16" t="s">
        <v>1212</v>
      </c>
      <c r="X380" s="15" t="s">
        <v>1213</v>
      </c>
      <c r="Y380" s="1">
        <v>4</v>
      </c>
      <c r="Z380" s="15">
        <v>3.7</v>
      </c>
      <c r="AA380" s="15" t="s">
        <v>574</v>
      </c>
      <c r="AB380" s="15">
        <f t="shared" si="351"/>
        <v>3.7</v>
      </c>
      <c r="AC380" s="1">
        <v>1</v>
      </c>
      <c r="AD380" s="15">
        <f>5*17.4</f>
        <v>87</v>
      </c>
      <c r="AF380" s="15">
        <v>12.14</v>
      </c>
      <c r="AH380" s="15">
        <v>24.9</v>
      </c>
      <c r="AP380" s="15" t="s">
        <v>1214</v>
      </c>
      <c r="AQ380" s="57">
        <v>8</v>
      </c>
      <c r="AR380" s="1">
        <v>4</v>
      </c>
      <c r="AT380" s="63" t="s">
        <v>886</v>
      </c>
      <c r="AW380" s="15">
        <v>3</v>
      </c>
      <c r="AX380" s="63">
        <f t="shared" si="347"/>
        <v>6750</v>
      </c>
      <c r="AY380" s="15" t="s">
        <v>766</v>
      </c>
      <c r="AZ380" s="15">
        <f t="shared" si="336"/>
        <v>6750</v>
      </c>
      <c r="BA380" s="15">
        <f t="shared" si="337"/>
        <v>2.303754266211604</v>
      </c>
      <c r="BB380" s="15">
        <f t="shared" si="338"/>
        <v>4050</v>
      </c>
      <c r="BP380" s="16"/>
      <c r="BQ380" s="16"/>
      <c r="BR380" s="16"/>
      <c r="BU380" s="16"/>
      <c r="EZ380" s="16"/>
      <c r="FA380" s="16"/>
      <c r="FB380" s="16"/>
      <c r="FC380" s="16"/>
      <c r="FD380" s="16"/>
      <c r="FE380" s="16"/>
      <c r="FF380" s="16"/>
      <c r="FG380" s="16"/>
      <c r="FH380" s="16"/>
      <c r="FI380" s="16"/>
      <c r="FJ380" s="16"/>
      <c r="FK380" s="16">
        <f t="shared" si="352"/>
        <v>3.87</v>
      </c>
      <c r="FL380" s="16">
        <f t="shared" si="353"/>
        <v>4.6100000000000003</v>
      </c>
      <c r="FM380" s="15">
        <v>3.87</v>
      </c>
      <c r="FN380" s="15">
        <f t="shared" si="354"/>
        <v>3.8700000000000005E-2</v>
      </c>
      <c r="FO380" s="15">
        <f>FN380*SQRT(AR380)</f>
        <v>7.740000000000001E-2</v>
      </c>
      <c r="FP380" s="15">
        <v>4.6100000000000003</v>
      </c>
      <c r="FQ380" s="15">
        <f t="shared" si="355"/>
        <v>4.6100000000000002E-2</v>
      </c>
      <c r="FR380" s="15">
        <f>FQ380*SQRT(AR380)</f>
        <v>9.2200000000000004E-2</v>
      </c>
      <c r="FS380" s="15">
        <f t="shared" si="348"/>
        <v>1.1912144702842378</v>
      </c>
      <c r="FT380" s="15">
        <f t="shared" si="349"/>
        <v>0.74000000000000021</v>
      </c>
      <c r="FU380" s="15">
        <f t="shared" si="350"/>
        <v>0.17497334996686686</v>
      </c>
      <c r="FV380" s="15">
        <f>((FR380*FR380)/(AR380*FP380*FP380)+(FO380*FO380)/(AR380*FM380*FM380))</f>
        <v>2.0000000000000004E-4</v>
      </c>
      <c r="GI380" s="15">
        <f>1.14+0.82+2.21+2.53+9.39</f>
        <v>16.09</v>
      </c>
      <c r="GJ380" s="15">
        <f t="shared" si="356"/>
        <v>0.16090000000000002</v>
      </c>
      <c r="GK380" s="15">
        <f>GJ380*SQRT(AR158)</f>
        <v>0.27868697493783234</v>
      </c>
      <c r="GL380" s="15">
        <f>8.69+0.63+2.08+2.31+3.8</f>
        <v>17.510000000000002</v>
      </c>
      <c r="GM380" s="15">
        <f t="shared" si="357"/>
        <v>0.17510000000000001</v>
      </c>
      <c r="GN380" s="15">
        <f>GM380*SQRT(AR158)</f>
        <v>0.3032820964053104</v>
      </c>
      <c r="GO380" s="63">
        <f t="shared" si="358"/>
        <v>1.0882535736482288</v>
      </c>
      <c r="GP380" s="63">
        <f t="shared" si="359"/>
        <v>1.4200000000000017</v>
      </c>
      <c r="GQ380" s="15">
        <f t="shared" si="360"/>
        <v>8.457418529346894E-2</v>
      </c>
      <c r="GR380" s="15">
        <f>((GN380*GN380)/(AR158*GL380*GL380)+(GK380*GK380)/(AR158*GI380*GI380))</f>
        <v>1.9999999999999998E-4</v>
      </c>
      <c r="GT380" s="15">
        <v>42</v>
      </c>
      <c r="GU380" s="15">
        <f t="shared" si="361"/>
        <v>0.42</v>
      </c>
      <c r="GV380" s="15">
        <f>GU380*SQRT(AR148)</f>
        <v>0.72746133917892841</v>
      </c>
      <c r="GW380" s="15">
        <v>78</v>
      </c>
      <c r="GX380" s="15">
        <f t="shared" si="362"/>
        <v>0.78</v>
      </c>
      <c r="GY380" s="15">
        <f>GX380*SQRT(AR148)</f>
        <v>1.3509996299037244</v>
      </c>
      <c r="GZ380" s="63">
        <f t="shared" si="363"/>
        <v>1.8571428571428572</v>
      </c>
      <c r="HA380" s="63">
        <f t="shared" si="364"/>
        <v>36</v>
      </c>
      <c r="HB380" s="15">
        <f t="shared" si="365"/>
        <v>0.61903920840622328</v>
      </c>
      <c r="HC380" s="15">
        <f>((GY380*GY380)/(AR148*GW380*GW380)+(GV380*GV380)/(AR148*GT380*GT380))</f>
        <v>1.9999999999999998E-4</v>
      </c>
      <c r="HE380" s="15">
        <v>0.93</v>
      </c>
      <c r="HF380" s="15">
        <f t="shared" si="366"/>
        <v>9.300000000000001E-3</v>
      </c>
      <c r="HG380" s="15">
        <f>HF380*SQRT(AR167)</f>
        <v>1.6108072510390561E-2</v>
      </c>
      <c r="HH380" s="15">
        <v>3.84</v>
      </c>
      <c r="HI380" s="15">
        <f t="shared" si="367"/>
        <v>3.8399999999999997E-2</v>
      </c>
      <c r="HJ380" s="15">
        <f>HI380*SQRT(AR167)</f>
        <v>6.6510751010644881E-2</v>
      </c>
      <c r="HK380" s="15">
        <f t="shared" si="368"/>
        <v>4.129032258064516</v>
      </c>
      <c r="HL380" s="15">
        <f t="shared" si="369"/>
        <v>2.9099999999999997</v>
      </c>
      <c r="HM380" s="15">
        <f t="shared" si="370"/>
        <v>1.4180430594344708</v>
      </c>
      <c r="HN380" s="15">
        <f>((HJ380*HJ380)/(AR167*HH380*HH380)+(HG380*HG380)/(AR167*HE380*HE380))</f>
        <v>2.0000000000000001E-4</v>
      </c>
      <c r="HP380" s="15" t="s">
        <v>1186</v>
      </c>
      <c r="HV380" s="15">
        <f t="shared" si="371"/>
        <v>28.56048674301314</v>
      </c>
      <c r="HW380" s="15">
        <f t="shared" si="372"/>
        <v>1.4180430594344708</v>
      </c>
      <c r="HX380" s="15">
        <f>BB380</f>
        <v>4050</v>
      </c>
      <c r="HY380" s="15">
        <f>AZ380</f>
        <v>6750</v>
      </c>
      <c r="HZ380" s="15">
        <f>BA380</f>
        <v>2.303754266211604</v>
      </c>
      <c r="IA380" s="15">
        <f>BB380</f>
        <v>4050</v>
      </c>
    </row>
    <row r="381" spans="1:235" s="15" customFormat="1" x14ac:dyDescent="0.25">
      <c r="A381" s="31">
        <v>379</v>
      </c>
      <c r="B381" s="1">
        <v>70</v>
      </c>
      <c r="C381" s="1">
        <v>74</v>
      </c>
      <c r="D381" s="63" t="s">
        <v>340</v>
      </c>
      <c r="E381" s="1">
        <v>1</v>
      </c>
      <c r="F381" s="15" t="s">
        <v>761</v>
      </c>
      <c r="G381" s="15" t="s">
        <v>1210</v>
      </c>
      <c r="H381" s="15" t="s">
        <v>1211</v>
      </c>
      <c r="I381" s="1">
        <v>2000</v>
      </c>
      <c r="J381" s="15" t="s">
        <v>1209</v>
      </c>
      <c r="K381" s="1">
        <v>1999</v>
      </c>
      <c r="L381" s="15" t="s">
        <v>1208</v>
      </c>
      <c r="M381" s="63" t="s">
        <v>1199</v>
      </c>
      <c r="N381" s="63" t="s">
        <v>1201</v>
      </c>
      <c r="O381" s="31">
        <v>2</v>
      </c>
      <c r="P381" s="15">
        <v>-27.48</v>
      </c>
      <c r="Q381" s="15">
        <v>153.02000000000001</v>
      </c>
      <c r="U381" s="63" t="s">
        <v>807</v>
      </c>
      <c r="V381" s="66">
        <v>2</v>
      </c>
      <c r="W381" s="16" t="s">
        <v>1212</v>
      </c>
      <c r="X381" s="15" t="s">
        <v>1213</v>
      </c>
      <c r="Y381" s="1">
        <v>4</v>
      </c>
      <c r="Z381" s="15">
        <v>3.7</v>
      </c>
      <c r="AA381" s="15" t="s">
        <v>574</v>
      </c>
      <c r="AB381" s="15">
        <f t="shared" si="351"/>
        <v>3.7</v>
      </c>
      <c r="AC381" s="1">
        <v>1</v>
      </c>
      <c r="AD381" s="15">
        <f>5*17.4</f>
        <v>87</v>
      </c>
      <c r="AF381" s="15">
        <v>12.14</v>
      </c>
      <c r="AH381" s="15">
        <v>24.9</v>
      </c>
      <c r="AP381" s="15" t="s">
        <v>1214</v>
      </c>
      <c r="AQ381" s="57">
        <v>8</v>
      </c>
      <c r="AR381" s="1">
        <v>4</v>
      </c>
      <c r="AT381" s="63" t="s">
        <v>886</v>
      </c>
      <c r="AW381" s="15">
        <v>6.1</v>
      </c>
      <c r="AX381" s="63">
        <f t="shared" si="347"/>
        <v>13725</v>
      </c>
      <c r="AY381" s="15" t="s">
        <v>766</v>
      </c>
      <c r="AZ381" s="15">
        <f t="shared" si="336"/>
        <v>13725</v>
      </c>
      <c r="BA381" s="15">
        <f t="shared" si="337"/>
        <v>4.684300341296928</v>
      </c>
      <c r="BB381" s="15">
        <f t="shared" si="338"/>
        <v>8235</v>
      </c>
      <c r="BP381" s="16"/>
      <c r="BQ381" s="16"/>
      <c r="BR381" s="16"/>
      <c r="BU381" s="16"/>
      <c r="EZ381" s="16"/>
      <c r="FA381" s="16"/>
      <c r="FB381" s="16"/>
      <c r="FC381" s="16"/>
      <c r="FD381" s="16"/>
      <c r="FE381" s="16"/>
      <c r="FF381" s="16"/>
      <c r="FG381" s="16"/>
      <c r="FH381" s="16"/>
      <c r="FI381" s="16"/>
      <c r="FJ381" s="16"/>
      <c r="FK381" s="16">
        <f t="shared" si="352"/>
        <v>3.87</v>
      </c>
      <c r="FL381" s="16">
        <f t="shared" si="353"/>
        <v>5.33</v>
      </c>
      <c r="FM381" s="15">
        <v>3.87</v>
      </c>
      <c r="FN381" s="15">
        <f t="shared" si="354"/>
        <v>3.8700000000000005E-2</v>
      </c>
      <c r="FO381" s="15">
        <f>FN381*SQRT(AR381)</f>
        <v>7.740000000000001E-2</v>
      </c>
      <c r="FP381" s="15">
        <v>5.33</v>
      </c>
      <c r="FQ381" s="15">
        <f t="shared" si="355"/>
        <v>5.33E-2</v>
      </c>
      <c r="FR381" s="15">
        <f>FQ381*SQRT(AR381)</f>
        <v>0.1066</v>
      </c>
      <c r="FS381" s="15">
        <f t="shared" si="348"/>
        <v>1.3772609819121446</v>
      </c>
      <c r="FT381" s="15">
        <f t="shared" si="349"/>
        <v>1.46</v>
      </c>
      <c r="FU381" s="15">
        <f t="shared" si="350"/>
        <v>0.32009673113606274</v>
      </c>
      <c r="FV381" s="15">
        <f>((FR381*FR381)/(AR381*FP381*FP381)+(FO381*FO381)/(AR381*FM381*FM381))</f>
        <v>2.0000000000000004E-4</v>
      </c>
      <c r="GI381" s="15">
        <f>1.14+0.82+2.21+2.53+9.39</f>
        <v>16.09</v>
      </c>
      <c r="GJ381" s="15">
        <f t="shared" si="356"/>
        <v>0.16090000000000002</v>
      </c>
      <c r="GK381" s="15">
        <f>GJ381*SQRT(AR159)</f>
        <v>0.27868697493783234</v>
      </c>
      <c r="GL381" s="15">
        <f>15.7+0.56+1.94+2.19+0.12</f>
        <v>20.51</v>
      </c>
      <c r="GM381" s="15">
        <f t="shared" si="357"/>
        <v>0.20510000000000003</v>
      </c>
      <c r="GN381" s="15">
        <f>GM381*SQRT(AR159)</f>
        <v>0.35524362063237674</v>
      </c>
      <c r="GO381" s="63">
        <f t="shared" si="358"/>
        <v>1.2747047855811064</v>
      </c>
      <c r="GP381" s="63">
        <f t="shared" si="359"/>
        <v>4.4200000000000017</v>
      </c>
      <c r="GQ381" s="15">
        <f t="shared" si="360"/>
        <v>0.24271461107999759</v>
      </c>
      <c r="GR381" s="15">
        <f>((GN381*GN381)/(AR159*GL381*GL381)+(GK381*GK381)/(AR159*GI381*GI381))</f>
        <v>2.0000000000000001E-4</v>
      </c>
      <c r="GT381" s="15">
        <v>42</v>
      </c>
      <c r="GU381" s="15">
        <f t="shared" si="361"/>
        <v>0.42</v>
      </c>
      <c r="GV381" s="15">
        <f>GU381*SQRT(AR149)</f>
        <v>0.72746133917892841</v>
      </c>
      <c r="GW381" s="15">
        <v>99.4</v>
      </c>
      <c r="GX381" s="15">
        <f t="shared" si="362"/>
        <v>0.99400000000000011</v>
      </c>
      <c r="GY381" s="15">
        <f>GX381*SQRT(AR149)</f>
        <v>1.7216585027234641</v>
      </c>
      <c r="GZ381" s="63">
        <f t="shared" si="363"/>
        <v>2.3666666666666667</v>
      </c>
      <c r="HA381" s="63">
        <f t="shared" si="364"/>
        <v>57.400000000000006</v>
      </c>
      <c r="HB381" s="15">
        <f t="shared" si="365"/>
        <v>0.86148249537916</v>
      </c>
      <c r="HC381" s="15">
        <f>((GY381*GY381)/(AR149*GW381*GW381)+(GV381*GV381)/(AR149*GT381*GT381))</f>
        <v>1.9999999999999998E-4</v>
      </c>
      <c r="HE381" s="15">
        <v>0.93</v>
      </c>
      <c r="HF381" s="15">
        <f t="shared" si="366"/>
        <v>9.300000000000001E-3</v>
      </c>
      <c r="HG381" s="15">
        <f>HF381*SQRT(AR168)</f>
        <v>1.6108072510390561E-2</v>
      </c>
      <c r="HH381" s="15">
        <v>3.83</v>
      </c>
      <c r="HI381" s="15">
        <f t="shared" si="367"/>
        <v>3.8300000000000001E-2</v>
      </c>
      <c r="HJ381" s="15">
        <f>HI381*SQRT(AR168)</f>
        <v>6.6337545929887998E-2</v>
      </c>
      <c r="HK381" s="15">
        <f t="shared" si="368"/>
        <v>4.118279569892473</v>
      </c>
      <c r="HL381" s="15">
        <f t="shared" si="369"/>
        <v>2.9</v>
      </c>
      <c r="HM381" s="15">
        <f t="shared" si="370"/>
        <v>1.41543549602739</v>
      </c>
      <c r="HN381" s="15">
        <f>((HJ381*HJ381)/(AR168*HH381*HH381)+(HG381*HG381)/(AR168*HE381*HE381))</f>
        <v>2.0000000000000001E-4</v>
      </c>
      <c r="HP381" s="15" t="s">
        <v>1186</v>
      </c>
      <c r="HV381" s="15">
        <f t="shared" si="371"/>
        <v>58.17997374739177</v>
      </c>
      <c r="HW381" s="15">
        <f t="shared" si="372"/>
        <v>1.41543549602739</v>
      </c>
      <c r="HX381" s="15">
        <f>BB381</f>
        <v>8235</v>
      </c>
      <c r="HY381" s="15">
        <f>AZ381</f>
        <v>13725</v>
      </c>
      <c r="HZ381" s="15">
        <f>BA381</f>
        <v>4.684300341296928</v>
      </c>
      <c r="IA381" s="15">
        <f>BB381</f>
        <v>8235</v>
      </c>
    </row>
    <row r="382" spans="1:235" s="15" customFormat="1" x14ac:dyDescent="0.25">
      <c r="A382" s="31">
        <v>380</v>
      </c>
      <c r="B382" s="1">
        <v>70</v>
      </c>
      <c r="C382" s="1">
        <v>74</v>
      </c>
      <c r="D382" s="63" t="s">
        <v>341</v>
      </c>
      <c r="E382" s="1">
        <v>1</v>
      </c>
      <c r="F382" s="15" t="s">
        <v>761</v>
      </c>
      <c r="G382" s="15" t="s">
        <v>1210</v>
      </c>
      <c r="H382" s="15" t="s">
        <v>1211</v>
      </c>
      <c r="I382" s="1">
        <v>2000</v>
      </c>
      <c r="J382" s="15" t="s">
        <v>1209</v>
      </c>
      <c r="K382" s="1">
        <v>1999</v>
      </c>
      <c r="L382" s="15" t="s">
        <v>1208</v>
      </c>
      <c r="M382" s="63" t="s">
        <v>1199</v>
      </c>
      <c r="N382" s="63" t="s">
        <v>1201</v>
      </c>
      <c r="O382" s="31">
        <v>2</v>
      </c>
      <c r="P382" s="15">
        <v>-27.48</v>
      </c>
      <c r="Q382" s="15">
        <v>153.02000000000001</v>
      </c>
      <c r="U382" s="63" t="s">
        <v>807</v>
      </c>
      <c r="V382" s="66">
        <v>2</v>
      </c>
      <c r="W382" s="16" t="s">
        <v>1212</v>
      </c>
      <c r="X382" s="15" t="s">
        <v>1213</v>
      </c>
      <c r="Y382" s="1">
        <v>4</v>
      </c>
      <c r="Z382" s="15">
        <v>3.7</v>
      </c>
      <c r="AA382" s="15" t="s">
        <v>574</v>
      </c>
      <c r="AB382" s="15">
        <f t="shared" si="351"/>
        <v>3.7</v>
      </c>
      <c r="AC382" s="1">
        <v>1</v>
      </c>
      <c r="AD382" s="15">
        <f>5*17.4</f>
        <v>87</v>
      </c>
      <c r="AF382" s="15">
        <v>12.14</v>
      </c>
      <c r="AH382" s="15">
        <v>24.9</v>
      </c>
      <c r="AP382" s="15" t="s">
        <v>1214</v>
      </c>
      <c r="AQ382" s="57">
        <v>8</v>
      </c>
      <c r="AR382" s="1">
        <v>4</v>
      </c>
      <c r="AT382" s="15" t="s">
        <v>1216</v>
      </c>
      <c r="AW382" s="15">
        <v>2.1</v>
      </c>
      <c r="AX382" s="15">
        <f>AW382*4*1000/1.8</f>
        <v>4666.666666666667</v>
      </c>
      <c r="AY382" s="15" t="s">
        <v>766</v>
      </c>
      <c r="AZ382" s="15">
        <f t="shared" si="336"/>
        <v>4666.666666666667</v>
      </c>
      <c r="BA382" s="15">
        <f t="shared" si="337"/>
        <v>1.5927189988623436</v>
      </c>
      <c r="BB382" s="15">
        <f t="shared" si="338"/>
        <v>2800</v>
      </c>
      <c r="BP382" s="16"/>
      <c r="BQ382" s="16"/>
      <c r="BR382" s="16"/>
      <c r="BU382" s="16"/>
      <c r="EZ382" s="16"/>
      <c r="FA382" s="16"/>
      <c r="FB382" s="16"/>
      <c r="FC382" s="16"/>
      <c r="FD382" s="16"/>
      <c r="FE382" s="16"/>
      <c r="FF382" s="16"/>
      <c r="FG382" s="16"/>
      <c r="FH382" s="16"/>
      <c r="FI382" s="16"/>
      <c r="FJ382" s="16"/>
      <c r="FK382" s="16">
        <f t="shared" si="352"/>
        <v>3.87</v>
      </c>
      <c r="FL382" s="16">
        <f t="shared" si="353"/>
        <v>3.76</v>
      </c>
      <c r="FM382" s="15">
        <v>3.87</v>
      </c>
      <c r="FN382" s="15">
        <f t="shared" si="354"/>
        <v>3.8700000000000005E-2</v>
      </c>
      <c r="FO382" s="15">
        <f>FN382*SQRT(AR382)</f>
        <v>7.740000000000001E-2</v>
      </c>
      <c r="FP382" s="15">
        <v>3.76</v>
      </c>
      <c r="FQ382" s="15">
        <f t="shared" si="355"/>
        <v>3.7600000000000001E-2</v>
      </c>
      <c r="FR382" s="15">
        <f>FQ382*SQRT(AR382)</f>
        <v>7.5200000000000003E-2</v>
      </c>
      <c r="FS382" s="15">
        <f t="shared" si="348"/>
        <v>0.97157622739018079</v>
      </c>
      <c r="FT382" s="15">
        <f t="shared" si="349"/>
        <v>-0.11000000000000032</v>
      </c>
      <c r="FU382" s="15">
        <f t="shared" si="350"/>
        <v>-2.8835549639887326E-2</v>
      </c>
      <c r="FV382" s="15">
        <f>((FR382*FR382)/(AR382*FP382*FP382)+(FO382*FO382)/(AR382*FM382*FM382))</f>
        <v>2.0000000000000004E-4</v>
      </c>
      <c r="GI382" s="15">
        <f>1.14+0.82+2.21+2.53+9.39</f>
        <v>16.09</v>
      </c>
      <c r="GJ382" s="15">
        <f t="shared" si="356"/>
        <v>0.16090000000000002</v>
      </c>
      <c r="GK382" s="15">
        <f>GJ382*SQRT(AR160)</f>
        <v>0.27868697493783234</v>
      </c>
      <c r="GL382" s="15">
        <f>3.64+0.8+2.29+2.57+9.79</f>
        <v>19.09</v>
      </c>
      <c r="GM382" s="15">
        <f t="shared" si="357"/>
        <v>0.19090000000000001</v>
      </c>
      <c r="GN382" s="15">
        <f>GM382*SQRT(AR160)</f>
        <v>0.33064849916489869</v>
      </c>
      <c r="GO382" s="63">
        <f t="shared" si="358"/>
        <v>1.1864512119328776</v>
      </c>
      <c r="GP382" s="63">
        <f t="shared" si="359"/>
        <v>3</v>
      </c>
      <c r="GQ382" s="15">
        <f t="shared" si="360"/>
        <v>0.17096667673336441</v>
      </c>
      <c r="GR382" s="15">
        <f>((GN382*GN382)/(AR160*GL382*GL382)+(GK382*GK382)/(AR160*GI382*GI382))</f>
        <v>2.0000000000000004E-4</v>
      </c>
      <c r="GT382" s="15">
        <v>42</v>
      </c>
      <c r="GU382" s="15">
        <f t="shared" si="361"/>
        <v>0.42</v>
      </c>
      <c r="GV382" s="15">
        <f>GU382*SQRT(AR150)</f>
        <v>0.72746133917892841</v>
      </c>
      <c r="GW382" s="15">
        <v>49</v>
      </c>
      <c r="GX382" s="15">
        <f t="shared" si="362"/>
        <v>0.49</v>
      </c>
      <c r="GY382" s="15">
        <f>GX382*SQRT(AR150)</f>
        <v>0.84870489570874985</v>
      </c>
      <c r="GZ382" s="63">
        <f t="shared" si="363"/>
        <v>1.1666666666666667</v>
      </c>
      <c r="HA382" s="63">
        <f t="shared" si="364"/>
        <v>7</v>
      </c>
      <c r="HB382" s="15">
        <f t="shared" si="365"/>
        <v>0.15415067982725805</v>
      </c>
      <c r="HC382" s="15">
        <f>((GY382*GY382)/(AR150*GW382*GW382)+(GV382*GV382)/(AR150*GT382*GT382))</f>
        <v>1.9999999999999998E-4</v>
      </c>
      <c r="HE382" s="15">
        <v>0.93</v>
      </c>
      <c r="HF382" s="15">
        <f t="shared" si="366"/>
        <v>9.300000000000001E-3</v>
      </c>
      <c r="HG382" s="15">
        <f>HF382*SQRT(AR169)</f>
        <v>1.6108072510390561E-2</v>
      </c>
      <c r="HH382" s="15">
        <v>0.91</v>
      </c>
      <c r="HI382" s="15">
        <f t="shared" si="367"/>
        <v>9.1000000000000004E-3</v>
      </c>
      <c r="HJ382" s="15">
        <f>HI382*SQRT(AR169)</f>
        <v>1.5761662348876784E-2</v>
      </c>
      <c r="HK382" s="15">
        <f t="shared" si="368"/>
        <v>0.978494623655914</v>
      </c>
      <c r="HL382" s="15">
        <f t="shared" si="369"/>
        <v>-2.0000000000000018E-2</v>
      </c>
      <c r="HM382" s="15">
        <f t="shared" si="370"/>
        <v>-2.1739986636405917E-2</v>
      </c>
      <c r="HN382" s="15">
        <f>((HJ382*HJ382)/(AR169*HH382*HH382)+(HG382*HG382)/(AR169*HE382*HE382))</f>
        <v>2.0000000000000001E-4</v>
      </c>
      <c r="HP382" s="15" t="s">
        <v>1186</v>
      </c>
      <c r="HV382" s="15">
        <f t="shared" si="371"/>
        <v>-1287.949273764089</v>
      </c>
      <c r="HW382" s="15">
        <f t="shared" si="372"/>
        <v>-2.1739986636405917E-2</v>
      </c>
      <c r="HX382" s="15">
        <f>BB382</f>
        <v>2800</v>
      </c>
      <c r="HY382" s="15">
        <f>AZ382</f>
        <v>4666.666666666667</v>
      </c>
      <c r="HZ382" s="15">
        <f>BA382</f>
        <v>1.5927189988623436</v>
      </c>
      <c r="IA382" s="15">
        <f>BB382</f>
        <v>2800</v>
      </c>
    </row>
    <row r="383" spans="1:235" s="15" customFormat="1" x14ac:dyDescent="0.25">
      <c r="A383" s="31">
        <v>381</v>
      </c>
      <c r="B383" s="1">
        <v>70</v>
      </c>
      <c r="C383" s="1">
        <v>74</v>
      </c>
      <c r="D383" s="63" t="s">
        <v>342</v>
      </c>
      <c r="E383" s="1">
        <v>1</v>
      </c>
      <c r="F383" s="15" t="s">
        <v>761</v>
      </c>
      <c r="G383" s="15" t="s">
        <v>1210</v>
      </c>
      <c r="H383" s="15" t="s">
        <v>1211</v>
      </c>
      <c r="I383" s="1">
        <v>2000</v>
      </c>
      <c r="J383" s="15" t="s">
        <v>1209</v>
      </c>
      <c r="K383" s="1">
        <v>1999</v>
      </c>
      <c r="L383" s="15" t="s">
        <v>1208</v>
      </c>
      <c r="M383" s="63" t="s">
        <v>1199</v>
      </c>
      <c r="N383" s="63" t="s">
        <v>1201</v>
      </c>
      <c r="O383" s="31">
        <v>2</v>
      </c>
      <c r="P383" s="15">
        <v>-27.48</v>
      </c>
      <c r="Q383" s="15">
        <v>153.02000000000001</v>
      </c>
      <c r="U383" s="63" t="s">
        <v>807</v>
      </c>
      <c r="V383" s="66">
        <v>2</v>
      </c>
      <c r="W383" s="16" t="s">
        <v>1212</v>
      </c>
      <c r="X383" s="15" t="s">
        <v>1213</v>
      </c>
      <c r="Y383" s="1">
        <v>4</v>
      </c>
      <c r="Z383" s="15">
        <v>3.7</v>
      </c>
      <c r="AA383" s="15" t="s">
        <v>574</v>
      </c>
      <c r="AB383" s="15">
        <f t="shared" si="351"/>
        <v>3.7</v>
      </c>
      <c r="AC383" s="1">
        <v>1</v>
      </c>
      <c r="AD383" s="15">
        <f>5*17.4</f>
        <v>87</v>
      </c>
      <c r="AF383" s="15">
        <v>12.14</v>
      </c>
      <c r="AH383" s="15">
        <v>24.9</v>
      </c>
      <c r="AP383" s="15" t="s">
        <v>1214</v>
      </c>
      <c r="AQ383" s="57">
        <v>8</v>
      </c>
      <c r="AR383" s="1">
        <v>4</v>
      </c>
      <c r="AT383" s="15" t="s">
        <v>1216</v>
      </c>
      <c r="AW383" s="15">
        <v>4.0999999999999996</v>
      </c>
      <c r="AX383" s="15">
        <f>AW383*4*1000/1.8</f>
        <v>9111.1111111111113</v>
      </c>
      <c r="AY383" s="15" t="s">
        <v>766</v>
      </c>
      <c r="AZ383" s="15">
        <f t="shared" si="336"/>
        <v>9111.1111111111113</v>
      </c>
      <c r="BA383" s="15">
        <f t="shared" si="337"/>
        <v>3.1095942358740993</v>
      </c>
      <c r="BB383" s="15">
        <f t="shared" si="338"/>
        <v>5466.666666666667</v>
      </c>
      <c r="BP383" s="16"/>
      <c r="BQ383" s="16"/>
      <c r="BR383" s="16"/>
      <c r="BU383" s="16"/>
      <c r="EZ383" s="16"/>
      <c r="FA383" s="16"/>
      <c r="FB383" s="16"/>
      <c r="FC383" s="16"/>
      <c r="FD383" s="16"/>
      <c r="FE383" s="16"/>
      <c r="FF383" s="16"/>
      <c r="FG383" s="16"/>
      <c r="FH383" s="16"/>
      <c r="FI383" s="16"/>
      <c r="FJ383" s="16"/>
      <c r="FK383" s="16">
        <f t="shared" si="352"/>
        <v>3.87</v>
      </c>
      <c r="FL383" s="16">
        <f t="shared" si="353"/>
        <v>3.74</v>
      </c>
      <c r="FM383" s="15">
        <v>3.87</v>
      </c>
      <c r="FN383" s="15">
        <f t="shared" si="354"/>
        <v>3.8700000000000005E-2</v>
      </c>
      <c r="FO383" s="15">
        <f>FN383*SQRT(AR383)</f>
        <v>7.740000000000001E-2</v>
      </c>
      <c r="FP383" s="15">
        <v>3.74</v>
      </c>
      <c r="FQ383" s="15">
        <f t="shared" si="355"/>
        <v>3.7400000000000003E-2</v>
      </c>
      <c r="FR383" s="15">
        <f>FQ383*SQRT(AR383)</f>
        <v>7.4800000000000005E-2</v>
      </c>
      <c r="FS383" s="15">
        <f t="shared" si="348"/>
        <v>0.96640826873385011</v>
      </c>
      <c r="FT383" s="15">
        <f t="shared" si="349"/>
        <v>-0.12999999999999989</v>
      </c>
      <c r="FU383" s="15">
        <f t="shared" si="350"/>
        <v>-3.4168895615249717E-2</v>
      </c>
      <c r="FV383" s="15">
        <f>((FR383*FR383)/(AR383*FP383*FP383)+(FO383*FO383)/(AR383*FM383*FM383))</f>
        <v>2.0000000000000001E-4</v>
      </c>
      <c r="GI383" s="15">
        <f>1.14+0.82+2.21+2.53+9.39</f>
        <v>16.09</v>
      </c>
      <c r="GJ383" s="15">
        <f t="shared" si="356"/>
        <v>0.16090000000000002</v>
      </c>
      <c r="GK383" s="15">
        <f>GJ383*SQRT(AR161)</f>
        <v>0.27868697493783234</v>
      </c>
      <c r="GL383" s="15">
        <f>5.72+0.8+2.2+2.36+9.94</f>
        <v>21.019999999999996</v>
      </c>
      <c r="GM383" s="15">
        <f t="shared" si="357"/>
        <v>0.21019999999999997</v>
      </c>
      <c r="GN383" s="15">
        <f>GM383*SQRT(AR161)</f>
        <v>0.36407707975097792</v>
      </c>
      <c r="GO383" s="63">
        <f t="shared" si="358"/>
        <v>1.3064014916096953</v>
      </c>
      <c r="GP383" s="63">
        <f t="shared" si="359"/>
        <v>4.9299999999999962</v>
      </c>
      <c r="GQ383" s="15">
        <f t="shared" si="360"/>
        <v>0.26727640444451328</v>
      </c>
      <c r="GR383" s="15">
        <f>((GN383*GN383)/(AR161*GL383*GL383)+(GK383*GK383)/(AR161*GI383*GI383))</f>
        <v>1.9999999999999998E-4</v>
      </c>
      <c r="GT383" s="15">
        <v>42</v>
      </c>
      <c r="GU383" s="15">
        <f t="shared" si="361"/>
        <v>0.42</v>
      </c>
      <c r="GV383" s="15">
        <f>GU383*SQRT(AR151)</f>
        <v>0.72746133917892841</v>
      </c>
      <c r="GW383" s="15">
        <v>53</v>
      </c>
      <c r="GX383" s="15">
        <f t="shared" si="362"/>
        <v>0.53</v>
      </c>
      <c r="GY383" s="15">
        <f>GX383*SQRT(AR151)</f>
        <v>0.91798692801150494</v>
      </c>
      <c r="GZ383" s="63">
        <f t="shared" si="363"/>
        <v>1.2619047619047619</v>
      </c>
      <c r="HA383" s="63">
        <f t="shared" si="364"/>
        <v>11</v>
      </c>
      <c r="HB383" s="15">
        <f t="shared" si="365"/>
        <v>0.23262229526875355</v>
      </c>
      <c r="HC383" s="15">
        <f>((GY383*GY383)/(AR151*GW383*GW383)+(GV383*GV383)/(AR151*GT383*GT383))</f>
        <v>1.9999999999999998E-4</v>
      </c>
      <c r="HE383" s="15">
        <v>0.93</v>
      </c>
      <c r="HF383" s="15">
        <f t="shared" si="366"/>
        <v>9.300000000000001E-3</v>
      </c>
      <c r="HG383" s="15">
        <f>HF383*SQRT(AR170)</f>
        <v>1.6108072510390561E-2</v>
      </c>
      <c r="HH383" s="15">
        <v>0.67</v>
      </c>
      <c r="HI383" s="15">
        <f t="shared" si="367"/>
        <v>6.7000000000000002E-3</v>
      </c>
      <c r="HJ383" s="15">
        <f>HI383*SQRT(AR170)</f>
        <v>1.1604740410711478E-2</v>
      </c>
      <c r="HK383" s="15">
        <f t="shared" si="368"/>
        <v>0.72043010752688175</v>
      </c>
      <c r="HL383" s="15">
        <f t="shared" si="369"/>
        <v>-0.26</v>
      </c>
      <c r="HM383" s="15">
        <f t="shared" si="370"/>
        <v>-0.32790687376228989</v>
      </c>
      <c r="HN383" s="15">
        <f>((HJ383*HJ383)/(AR170*HH383*HH383)+(HG383*HG383)/(AR170*HE383*HE383))</f>
        <v>1.9999999999999998E-4</v>
      </c>
      <c r="HP383" s="15" t="s">
        <v>1186</v>
      </c>
      <c r="HV383" s="15">
        <f t="shared" si="371"/>
        <v>-166.7140003484534</v>
      </c>
      <c r="HW383" s="15">
        <f t="shared" si="372"/>
        <v>-0.32790687376228989</v>
      </c>
      <c r="HX383" s="15">
        <f>BB383</f>
        <v>5466.666666666667</v>
      </c>
      <c r="HY383" s="15">
        <f>AZ383</f>
        <v>9111.1111111111113</v>
      </c>
      <c r="HZ383" s="15">
        <f>BA383</f>
        <v>3.1095942358740993</v>
      </c>
      <c r="IA383" s="15">
        <f>BB383</f>
        <v>5466.666666666667</v>
      </c>
    </row>
    <row r="384" spans="1:235" s="15" customFormat="1" x14ac:dyDescent="0.25">
      <c r="A384" s="31">
        <v>382</v>
      </c>
      <c r="B384" s="1">
        <v>70</v>
      </c>
      <c r="C384" s="1">
        <v>75</v>
      </c>
      <c r="D384" s="63" t="s">
        <v>343</v>
      </c>
      <c r="E384" s="1">
        <v>1</v>
      </c>
      <c r="F384" s="15" t="s">
        <v>761</v>
      </c>
      <c r="G384" s="15" t="s">
        <v>1210</v>
      </c>
      <c r="H384" s="15" t="s">
        <v>1211</v>
      </c>
      <c r="I384" s="1">
        <v>2000</v>
      </c>
      <c r="J384" s="15" t="s">
        <v>1209</v>
      </c>
      <c r="K384" s="1">
        <v>1999</v>
      </c>
      <c r="L384" s="15" t="s">
        <v>1208</v>
      </c>
      <c r="M384" s="63" t="s">
        <v>1199</v>
      </c>
      <c r="N384" s="63" t="s">
        <v>1201</v>
      </c>
      <c r="O384" s="31">
        <v>2</v>
      </c>
      <c r="P384" s="15">
        <v>-27.48</v>
      </c>
      <c r="Q384" s="15">
        <v>153.02000000000001</v>
      </c>
      <c r="U384" s="63" t="s">
        <v>807</v>
      </c>
      <c r="V384" s="66">
        <v>2</v>
      </c>
      <c r="W384" s="16" t="s">
        <v>1212</v>
      </c>
      <c r="X384" s="15" t="s">
        <v>1213</v>
      </c>
      <c r="Y384" s="1">
        <v>4</v>
      </c>
      <c r="Z384" s="15">
        <v>4.4000000000000004</v>
      </c>
      <c r="AA384" s="15" t="s">
        <v>574</v>
      </c>
      <c r="AB384" s="15">
        <f t="shared" si="351"/>
        <v>4.4000000000000004</v>
      </c>
      <c r="AC384" s="1">
        <v>1</v>
      </c>
      <c r="AD384" s="15">
        <f>17*1.74</f>
        <v>29.58</v>
      </c>
      <c r="AF384" s="15">
        <v>4.4400000000000004</v>
      </c>
      <c r="AH384" s="15">
        <v>22.7</v>
      </c>
      <c r="AM384" s="1"/>
      <c r="AP384" s="15" t="s">
        <v>1215</v>
      </c>
      <c r="AQ384" s="57">
        <v>2</v>
      </c>
      <c r="AR384" s="1">
        <v>4</v>
      </c>
      <c r="AT384" s="63" t="s">
        <v>886</v>
      </c>
      <c r="AW384" s="15">
        <v>0.7</v>
      </c>
      <c r="AX384" s="63">
        <f>AW384*2250</f>
        <v>1575</v>
      </c>
      <c r="AY384" s="15" t="s">
        <v>766</v>
      </c>
      <c r="AZ384" s="15">
        <f t="shared" si="336"/>
        <v>1575</v>
      </c>
      <c r="BA384" s="15">
        <f t="shared" si="337"/>
        <v>0.53754266211604085</v>
      </c>
      <c r="BB384" s="15">
        <f t="shared" si="338"/>
        <v>945</v>
      </c>
      <c r="BP384" s="16"/>
      <c r="BQ384" s="16"/>
      <c r="BR384" s="16"/>
      <c r="BU384" s="16"/>
      <c r="EZ384" s="16"/>
      <c r="FA384" s="16"/>
      <c r="FB384" s="16"/>
      <c r="FC384" s="16"/>
      <c r="FD384" s="16"/>
      <c r="FE384" s="16"/>
      <c r="FF384" s="16"/>
      <c r="FG384" s="16"/>
      <c r="FH384" s="16"/>
      <c r="FI384" s="16"/>
      <c r="FJ384" s="16"/>
      <c r="FK384" s="16">
        <f t="shared" si="352"/>
        <v>4.29</v>
      </c>
      <c r="FL384" s="16">
        <f t="shared" si="353"/>
        <v>4.18</v>
      </c>
      <c r="FM384" s="15">
        <v>4.29</v>
      </c>
      <c r="FN384" s="15">
        <f t="shared" si="354"/>
        <v>4.2900000000000001E-2</v>
      </c>
      <c r="FO384" s="15">
        <f>FN384*SQRT(AR384)</f>
        <v>8.5800000000000001E-2</v>
      </c>
      <c r="FP384" s="15">
        <v>4.18</v>
      </c>
      <c r="FQ384" s="15">
        <f t="shared" si="355"/>
        <v>4.1799999999999997E-2</v>
      </c>
      <c r="FR384" s="15">
        <f>FQ384*SQRT(AR384)</f>
        <v>8.3599999999999994E-2</v>
      </c>
      <c r="FS384" s="15">
        <f t="shared" si="348"/>
        <v>0.97435897435897434</v>
      </c>
      <c r="FT384" s="15">
        <f t="shared" si="349"/>
        <v>-0.11000000000000032</v>
      </c>
      <c r="FU384" s="15">
        <f t="shared" si="350"/>
        <v>-2.5975486403260639E-2</v>
      </c>
      <c r="FV384" s="15">
        <f>((FR384*FR384)/(AR384*FP384*FP384)+(FO384*FO384)/(AR384*FM384*FM384))</f>
        <v>2.0000000000000001E-4</v>
      </c>
      <c r="GI384" s="15">
        <f>0.49+0.36+0.31+0.26+2.52</f>
        <v>3.94</v>
      </c>
      <c r="GJ384" s="15">
        <f t="shared" si="356"/>
        <v>3.9399999999999998E-2</v>
      </c>
      <c r="GK384" s="15">
        <f>GJ384*SQRT(AR162)</f>
        <v>6.8242801818213752E-2</v>
      </c>
      <c r="GL384" s="15">
        <f>1.24+0.36+0.31+0.25+2.35</f>
        <v>4.51</v>
      </c>
      <c r="GM384" s="15">
        <f t="shared" si="357"/>
        <v>4.5100000000000001E-2</v>
      </c>
      <c r="GN384" s="15">
        <f>GM384*SQRT(AR162)</f>
        <v>7.8115491421356362E-2</v>
      </c>
      <c r="GO384" s="63">
        <f t="shared" si="358"/>
        <v>1.1446700507614214</v>
      </c>
      <c r="GP384" s="63">
        <f t="shared" si="359"/>
        <v>0.56999999999999984</v>
      </c>
      <c r="GQ384" s="15">
        <f t="shared" si="360"/>
        <v>0.13511643020474451</v>
      </c>
      <c r="GR384" s="15">
        <f>((GN384*GN384)/(AR162*GL384*GL384)+(GK384*GK384)/(AR162*GI384*GI384))</f>
        <v>1.9999999999999998E-4</v>
      </c>
      <c r="GT384" s="15">
        <v>36</v>
      </c>
      <c r="GU384" s="15">
        <f t="shared" si="361"/>
        <v>0.36</v>
      </c>
      <c r="GV384" s="15">
        <f>GU384*SQRT(AR152)</f>
        <v>0.62353829072479572</v>
      </c>
      <c r="GW384" s="15">
        <v>48</v>
      </c>
      <c r="GX384" s="15">
        <f t="shared" si="362"/>
        <v>0.48</v>
      </c>
      <c r="GY384" s="15">
        <f>GX384*SQRT(AR152)</f>
        <v>0.83138438763306099</v>
      </c>
      <c r="GZ384" s="63">
        <f t="shared" si="363"/>
        <v>1.3333333333333333</v>
      </c>
      <c r="HA384" s="63">
        <f t="shared" si="364"/>
        <v>12</v>
      </c>
      <c r="HB384" s="15">
        <f t="shared" si="365"/>
        <v>0.28768207245178123</v>
      </c>
      <c r="HC384" s="15">
        <f>((GY384*GY384)/(AR152*GW384*GW384)+(GV384*GV384)/(AR152*GT384*GT384))</f>
        <v>1.9999999999999993E-4</v>
      </c>
      <c r="HE384" s="15">
        <v>3.2</v>
      </c>
      <c r="HF384" s="15">
        <f t="shared" si="366"/>
        <v>3.2000000000000001E-2</v>
      </c>
      <c r="HG384" s="15">
        <f>HF384*SQRT(AR171)</f>
        <v>5.542562584220407E-2</v>
      </c>
      <c r="HH384" s="15">
        <v>3.21</v>
      </c>
      <c r="HI384" s="15">
        <f t="shared" si="367"/>
        <v>3.2100000000000004E-2</v>
      </c>
      <c r="HJ384" s="15">
        <f>HI384*SQRT(AR171)</f>
        <v>5.5598830922960966E-2</v>
      </c>
      <c r="HK384" s="15">
        <f t="shared" si="368"/>
        <v>1.0031249999999998</v>
      </c>
      <c r="HL384" s="15">
        <f t="shared" si="369"/>
        <v>9.9999999999997868E-3</v>
      </c>
      <c r="HM384" s="15">
        <f t="shared" si="370"/>
        <v>3.1201273362435611E-3</v>
      </c>
      <c r="HN384" s="15">
        <f>((HJ384*HJ384)/(AR171*HH384*HH384)+(HG384*HG384)/(AR171*HE384*HE384))</f>
        <v>2.0000000000000001E-4</v>
      </c>
      <c r="HP384" s="15" t="s">
        <v>1186</v>
      </c>
      <c r="HV384" s="15">
        <f t="shared" si="371"/>
        <v>3028.7225429001915</v>
      </c>
      <c r="HW384" s="15">
        <f t="shared" si="372"/>
        <v>3.1201273362435611E-3</v>
      </c>
      <c r="HX384" s="15">
        <f>BB384</f>
        <v>945</v>
      </c>
      <c r="HY384" s="15">
        <f>AZ384</f>
        <v>1575</v>
      </c>
      <c r="HZ384" s="15">
        <f>BA384</f>
        <v>0.53754266211604085</v>
      </c>
      <c r="IA384" s="15">
        <f>BB384</f>
        <v>945</v>
      </c>
    </row>
    <row r="385" spans="1:235" s="15" customFormat="1" x14ac:dyDescent="0.25">
      <c r="A385" s="31">
        <v>383</v>
      </c>
      <c r="B385" s="1">
        <v>70</v>
      </c>
      <c r="C385" s="1">
        <v>75</v>
      </c>
      <c r="D385" s="63" t="s">
        <v>344</v>
      </c>
      <c r="E385" s="1">
        <v>1</v>
      </c>
      <c r="F385" s="15" t="s">
        <v>761</v>
      </c>
      <c r="G385" s="15" t="s">
        <v>1210</v>
      </c>
      <c r="H385" s="15" t="s">
        <v>1211</v>
      </c>
      <c r="I385" s="1">
        <v>2000</v>
      </c>
      <c r="J385" s="15" t="s">
        <v>1209</v>
      </c>
      <c r="K385" s="1">
        <v>1999</v>
      </c>
      <c r="L385" s="15" t="s">
        <v>1208</v>
      </c>
      <c r="M385" s="63" t="s">
        <v>1199</v>
      </c>
      <c r="N385" s="63" t="s">
        <v>1201</v>
      </c>
      <c r="O385" s="31">
        <v>2</v>
      </c>
      <c r="P385" s="15">
        <v>-27.48</v>
      </c>
      <c r="Q385" s="15">
        <v>153.02000000000001</v>
      </c>
      <c r="U385" s="63" t="s">
        <v>807</v>
      </c>
      <c r="V385" s="66">
        <v>2</v>
      </c>
      <c r="W385" s="16" t="s">
        <v>1212</v>
      </c>
      <c r="X385" s="15" t="s">
        <v>1213</v>
      </c>
      <c r="Y385" s="1">
        <v>4</v>
      </c>
      <c r="Z385" s="15">
        <v>4.4000000000000004</v>
      </c>
      <c r="AA385" s="15" t="s">
        <v>574</v>
      </c>
      <c r="AB385" s="15">
        <f t="shared" si="351"/>
        <v>4.4000000000000004</v>
      </c>
      <c r="AC385" s="1">
        <v>1</v>
      </c>
      <c r="AD385" s="15">
        <f>17*1.74</f>
        <v>29.58</v>
      </c>
      <c r="AF385" s="15">
        <v>4.4400000000000004</v>
      </c>
      <c r="AH385" s="15">
        <v>22.7</v>
      </c>
      <c r="AM385" s="1"/>
      <c r="AP385" s="15" t="s">
        <v>1215</v>
      </c>
      <c r="AQ385" s="57">
        <v>2</v>
      </c>
      <c r="AR385" s="1">
        <v>4</v>
      </c>
      <c r="AT385" s="63" t="s">
        <v>886</v>
      </c>
      <c r="AW385" s="15">
        <v>1.5</v>
      </c>
      <c r="AX385" s="63">
        <f>AW385*2250</f>
        <v>3375</v>
      </c>
      <c r="AY385" s="15" t="s">
        <v>766</v>
      </c>
      <c r="AZ385" s="15">
        <f t="shared" si="336"/>
        <v>3375</v>
      </c>
      <c r="BA385" s="15">
        <f t="shared" si="337"/>
        <v>1.151877133105802</v>
      </c>
      <c r="BB385" s="15">
        <f t="shared" si="338"/>
        <v>2025</v>
      </c>
      <c r="BP385" s="16"/>
      <c r="BQ385" s="16"/>
      <c r="BR385" s="16"/>
      <c r="BU385" s="16"/>
      <c r="EZ385" s="16"/>
      <c r="FA385" s="16"/>
      <c r="FB385" s="16"/>
      <c r="FC385" s="16"/>
      <c r="FD385" s="16"/>
      <c r="FE385" s="16"/>
      <c r="FF385" s="16"/>
      <c r="FG385" s="16"/>
      <c r="FH385" s="16"/>
      <c r="FI385" s="16"/>
      <c r="FJ385" s="16"/>
      <c r="FK385" s="16">
        <f t="shared" si="352"/>
        <v>4.29</v>
      </c>
      <c r="FL385" s="16">
        <f t="shared" si="353"/>
        <v>4.7</v>
      </c>
      <c r="FM385" s="15">
        <v>4.29</v>
      </c>
      <c r="FN385" s="15">
        <f t="shared" si="354"/>
        <v>4.2900000000000001E-2</v>
      </c>
      <c r="FO385" s="15">
        <f>FN385*SQRT(AR385)</f>
        <v>8.5800000000000001E-2</v>
      </c>
      <c r="FP385" s="15">
        <v>4.7</v>
      </c>
      <c r="FQ385" s="15">
        <f t="shared" si="355"/>
        <v>4.7E-2</v>
      </c>
      <c r="FR385" s="15">
        <f>FQ385*SQRT(AR385)</f>
        <v>9.4E-2</v>
      </c>
      <c r="FS385" s="15">
        <f t="shared" si="348"/>
        <v>1.0955710955710956</v>
      </c>
      <c r="FT385" s="15">
        <f t="shared" si="349"/>
        <v>0.41000000000000014</v>
      </c>
      <c r="FU385" s="15">
        <f t="shared" si="350"/>
        <v>9.1275775776087364E-2</v>
      </c>
      <c r="FV385" s="15">
        <f>((FR385*FR385)/(AR385*FP385*FP385)+(FO385*FO385)/(AR385*FM385*FM385))</f>
        <v>1.9999999999999998E-4</v>
      </c>
      <c r="GI385" s="15">
        <f>0.49+0.36+0.31+0.26+2.52</f>
        <v>3.94</v>
      </c>
      <c r="GJ385" s="15">
        <f t="shared" si="356"/>
        <v>3.9399999999999998E-2</v>
      </c>
      <c r="GK385" s="15">
        <f>GJ385*SQRT(AR163)</f>
        <v>6.8242801818213752E-2</v>
      </c>
      <c r="GL385" s="15">
        <f>1.78+0.23+0.22+0.29+1.64</f>
        <v>4.16</v>
      </c>
      <c r="GM385" s="15">
        <f t="shared" si="357"/>
        <v>4.1600000000000005E-2</v>
      </c>
      <c r="GN385" s="15">
        <f>GM385*SQRT(AR163)</f>
        <v>7.2053313594865304E-2</v>
      </c>
      <c r="GO385" s="63">
        <f t="shared" si="358"/>
        <v>1.0558375634517767</v>
      </c>
      <c r="GP385" s="63">
        <f t="shared" si="359"/>
        <v>0.2200000000000002</v>
      </c>
      <c r="GQ385" s="15">
        <f t="shared" si="360"/>
        <v>5.4334350963329392E-2</v>
      </c>
      <c r="GR385" s="15">
        <f>((GN385*GN385)/(AR163*GL385*GL385)+(GK385*GK385)/(AR163*GI385*GI385))</f>
        <v>1.9999999999999998E-4</v>
      </c>
      <c r="GT385" s="15">
        <v>36</v>
      </c>
      <c r="GU385" s="15">
        <f t="shared" si="361"/>
        <v>0.36</v>
      </c>
      <c r="GV385" s="15">
        <f>GU385*SQRT(AR153)</f>
        <v>0.62353829072479572</v>
      </c>
      <c r="GW385" s="15">
        <v>60</v>
      </c>
      <c r="GX385" s="15">
        <f t="shared" si="362"/>
        <v>0.6</v>
      </c>
      <c r="GY385" s="15">
        <f>GX385*SQRT(AR153)</f>
        <v>1.0392304845413263</v>
      </c>
      <c r="GZ385" s="63">
        <f t="shared" si="363"/>
        <v>1.6666666666666667</v>
      </c>
      <c r="HA385" s="63">
        <f t="shared" si="364"/>
        <v>24</v>
      </c>
      <c r="HB385" s="15">
        <f t="shared" si="365"/>
        <v>0.5108256237659905</v>
      </c>
      <c r="HC385" s="15">
        <f>((GY385*GY385)/(AR153*GW385*GW385)+(GV385*GV385)/(AR153*GT385*GT385))</f>
        <v>1.9999999999999996E-4</v>
      </c>
      <c r="HE385" s="15">
        <v>3.2</v>
      </c>
      <c r="HF385" s="15">
        <f t="shared" si="366"/>
        <v>3.2000000000000001E-2</v>
      </c>
      <c r="HG385" s="15">
        <f>HF385*SQRT(AR172)</f>
        <v>5.542562584220407E-2</v>
      </c>
      <c r="HH385" s="15">
        <v>3.93</v>
      </c>
      <c r="HI385" s="15">
        <f t="shared" si="367"/>
        <v>3.9300000000000002E-2</v>
      </c>
      <c r="HJ385" s="15">
        <f>HI385*SQRT(AR172)</f>
        <v>6.8069596737456883E-2</v>
      </c>
      <c r="HK385" s="15">
        <f t="shared" si="368"/>
        <v>1.2281249999999999</v>
      </c>
      <c r="HL385" s="15">
        <f t="shared" si="369"/>
        <v>0.73</v>
      </c>
      <c r="HM385" s="15">
        <f t="shared" si="370"/>
        <v>0.20548861607548896</v>
      </c>
      <c r="HN385" s="15">
        <f>((HJ385*HJ385)/(AR172*HH385*HH385)+(HG385*HG385)/(AR172*HE385*HE385))</f>
        <v>1.9999999999999998E-4</v>
      </c>
      <c r="HP385" s="15" t="s">
        <v>1186</v>
      </c>
      <c r="HV385" s="15">
        <f t="shared" si="371"/>
        <v>98.54560504004219</v>
      </c>
      <c r="HW385" s="15">
        <f t="shared" si="372"/>
        <v>0.20548861607548896</v>
      </c>
      <c r="HX385" s="15">
        <f>BB385</f>
        <v>2025</v>
      </c>
      <c r="HY385" s="15">
        <f>AZ385</f>
        <v>3375</v>
      </c>
      <c r="HZ385" s="15">
        <f>BA385</f>
        <v>1.151877133105802</v>
      </c>
      <c r="IA385" s="15">
        <f>BB385</f>
        <v>2025</v>
      </c>
    </row>
    <row r="386" spans="1:235" s="15" customFormat="1" x14ac:dyDescent="0.25">
      <c r="A386" s="31">
        <v>384</v>
      </c>
      <c r="B386" s="1">
        <v>70</v>
      </c>
      <c r="C386" s="1">
        <v>75</v>
      </c>
      <c r="D386" s="63" t="s">
        <v>345</v>
      </c>
      <c r="E386" s="1">
        <v>1</v>
      </c>
      <c r="F386" s="15" t="s">
        <v>761</v>
      </c>
      <c r="G386" s="15" t="s">
        <v>1210</v>
      </c>
      <c r="H386" s="15" t="s">
        <v>1211</v>
      </c>
      <c r="I386" s="1">
        <v>2000</v>
      </c>
      <c r="J386" s="15" t="s">
        <v>1209</v>
      </c>
      <c r="K386" s="1">
        <v>1999</v>
      </c>
      <c r="L386" s="15" t="s">
        <v>1208</v>
      </c>
      <c r="M386" s="63" t="s">
        <v>1199</v>
      </c>
      <c r="N386" s="63" t="s">
        <v>1201</v>
      </c>
      <c r="O386" s="31">
        <v>2</v>
      </c>
      <c r="P386" s="15">
        <v>-27.48</v>
      </c>
      <c r="Q386" s="15">
        <v>153.02000000000001</v>
      </c>
      <c r="U386" s="63" t="s">
        <v>807</v>
      </c>
      <c r="V386" s="66">
        <v>2</v>
      </c>
      <c r="W386" s="16" t="s">
        <v>1212</v>
      </c>
      <c r="X386" s="15" t="s">
        <v>1213</v>
      </c>
      <c r="Y386" s="1">
        <v>4</v>
      </c>
      <c r="Z386" s="15">
        <v>4.4000000000000004</v>
      </c>
      <c r="AA386" s="15" t="s">
        <v>574</v>
      </c>
      <c r="AB386" s="15">
        <f t="shared" si="351"/>
        <v>4.4000000000000004</v>
      </c>
      <c r="AC386" s="1">
        <v>1</v>
      </c>
      <c r="AD386" s="15">
        <f>17*1.74</f>
        <v>29.58</v>
      </c>
      <c r="AF386" s="15">
        <v>4.4400000000000004</v>
      </c>
      <c r="AH386" s="15">
        <v>22.7</v>
      </c>
      <c r="AM386" s="1"/>
      <c r="AP386" s="15" t="s">
        <v>1215</v>
      </c>
      <c r="AQ386" s="57">
        <v>2</v>
      </c>
      <c r="AR386" s="1">
        <v>4</v>
      </c>
      <c r="AT386" s="63" t="s">
        <v>886</v>
      </c>
      <c r="AW386" s="15">
        <v>2.2000000000000002</v>
      </c>
      <c r="AX386" s="63">
        <f>AW386*2250</f>
        <v>4950</v>
      </c>
      <c r="AY386" s="15" t="s">
        <v>766</v>
      </c>
      <c r="AZ386" s="15">
        <f t="shared" si="336"/>
        <v>4950</v>
      </c>
      <c r="BA386" s="15">
        <f t="shared" si="337"/>
        <v>1.6894197952218428</v>
      </c>
      <c r="BB386" s="15">
        <f t="shared" si="338"/>
        <v>2970</v>
      </c>
      <c r="BP386" s="16"/>
      <c r="BQ386" s="16"/>
      <c r="BR386" s="16"/>
      <c r="BU386" s="16"/>
      <c r="EZ386" s="16"/>
      <c r="FA386" s="16"/>
      <c r="FB386" s="16"/>
      <c r="FC386" s="16"/>
      <c r="FD386" s="16"/>
      <c r="FE386" s="16"/>
      <c r="FF386" s="16"/>
      <c r="FG386" s="16"/>
      <c r="FH386" s="16"/>
      <c r="FI386" s="16"/>
      <c r="FJ386" s="16"/>
      <c r="FK386" s="16">
        <f t="shared" si="352"/>
        <v>4.29</v>
      </c>
      <c r="FL386" s="16">
        <f t="shared" si="353"/>
        <v>5.57</v>
      </c>
      <c r="FM386" s="15">
        <v>4.29</v>
      </c>
      <c r="FN386" s="15">
        <f t="shared" si="354"/>
        <v>4.2900000000000001E-2</v>
      </c>
      <c r="FO386" s="15">
        <f>FN386*SQRT(AR386)</f>
        <v>8.5800000000000001E-2</v>
      </c>
      <c r="FP386" s="15">
        <v>5.57</v>
      </c>
      <c r="FQ386" s="15">
        <f t="shared" si="355"/>
        <v>5.5700000000000006E-2</v>
      </c>
      <c r="FR386" s="15">
        <f>FQ386*SQRT(AR386)</f>
        <v>0.11140000000000001</v>
      </c>
      <c r="FS386" s="15">
        <f t="shared" si="348"/>
        <v>1.2983682983682985</v>
      </c>
      <c r="FT386" s="15">
        <f t="shared" si="349"/>
        <v>1.2800000000000002</v>
      </c>
      <c r="FU386" s="15">
        <f t="shared" si="350"/>
        <v>0.26110832099926706</v>
      </c>
      <c r="FV386" s="15">
        <f>((FR386*FR386)/(AR386*FP386*FP386)+(FO386*FO386)/(AR386*FM386*FM386))</f>
        <v>2.0000000000000004E-4</v>
      </c>
      <c r="GI386" s="15">
        <f>0.49+0.36+0.31+0.26+2.52</f>
        <v>3.94</v>
      </c>
      <c r="GJ386" s="15">
        <f t="shared" si="356"/>
        <v>3.9399999999999998E-2</v>
      </c>
      <c r="GK386" s="15">
        <f>GJ386*SQRT(AR164)</f>
        <v>6.8242801818213752E-2</v>
      </c>
      <c r="GL386" s="15">
        <f>4.7+0.27+0.31+0.26+0.18</f>
        <v>5.72</v>
      </c>
      <c r="GM386" s="15">
        <f t="shared" si="357"/>
        <v>5.7200000000000001E-2</v>
      </c>
      <c r="GN386" s="15">
        <f>GM386*SQRT(AR164)</f>
        <v>9.9073306192939775E-2</v>
      </c>
      <c r="GO386" s="63">
        <f t="shared" si="358"/>
        <v>1.4517766497461928</v>
      </c>
      <c r="GP386" s="63">
        <f t="shared" si="359"/>
        <v>1.7799999999999998</v>
      </c>
      <c r="GQ386" s="15">
        <f t="shared" si="360"/>
        <v>0.37278808208186387</v>
      </c>
      <c r="GR386" s="15">
        <f>((GN386*GN386)/(AR164*GL386*GL386)+(GK386*GK386)/(AR164*GI386*GI386))</f>
        <v>1.9999999999999998E-4</v>
      </c>
      <c r="GT386" s="15">
        <v>36</v>
      </c>
      <c r="GU386" s="15">
        <f t="shared" si="361"/>
        <v>0.36</v>
      </c>
      <c r="GV386" s="15">
        <f>GU386*SQRT(AR154)</f>
        <v>0.62353829072479572</v>
      </c>
      <c r="GW386" s="15">
        <v>97</v>
      </c>
      <c r="GX386" s="15">
        <f t="shared" si="362"/>
        <v>0.97</v>
      </c>
      <c r="GY386" s="15">
        <f>GX386*SQRT(AR154)</f>
        <v>1.6800892833418108</v>
      </c>
      <c r="GZ386" s="63">
        <f t="shared" si="363"/>
        <v>2.6944444444444446</v>
      </c>
      <c r="HA386" s="63">
        <f t="shared" si="364"/>
        <v>61</v>
      </c>
      <c r="HB386" s="15">
        <f t="shared" si="365"/>
        <v>0.9911920400472729</v>
      </c>
      <c r="HC386" s="15">
        <f>((GY386*GY386)/(AR154*GW386*GW386)+(GV386*GV386)/(AR154*GT386*GT386))</f>
        <v>1.9999999999999996E-4</v>
      </c>
      <c r="HE386" s="15">
        <v>3.2</v>
      </c>
      <c r="HF386" s="15">
        <f t="shared" si="366"/>
        <v>3.2000000000000001E-2</v>
      </c>
      <c r="HG386" s="15">
        <f>HF386*SQRT(AR173)</f>
        <v>5.542562584220407E-2</v>
      </c>
      <c r="HH386" s="15">
        <v>3.68</v>
      </c>
      <c r="HI386" s="15">
        <f t="shared" si="367"/>
        <v>3.6799999999999999E-2</v>
      </c>
      <c r="HJ386" s="15">
        <f>HI386*SQRT(AR173)</f>
        <v>6.3739469718534683E-2</v>
      </c>
      <c r="HK386" s="15">
        <f t="shared" si="368"/>
        <v>1.1499999999999999</v>
      </c>
      <c r="HL386" s="15">
        <f t="shared" si="369"/>
        <v>0.48</v>
      </c>
      <c r="HM386" s="15">
        <f t="shared" si="370"/>
        <v>0.13976194237515882</v>
      </c>
      <c r="HN386" s="15">
        <f>((HJ386*HJ386)/(AR173*HH386*HH386)+(HG386*HG386)/(AR173*HE386*HE386))</f>
        <v>1.9999999999999996E-4</v>
      </c>
      <c r="HP386" s="15" t="s">
        <v>1186</v>
      </c>
      <c r="HV386" s="15">
        <f t="shared" si="371"/>
        <v>212.50420175384494</v>
      </c>
      <c r="HW386" s="15">
        <f t="shared" si="372"/>
        <v>0.13976194237515882</v>
      </c>
      <c r="HX386" s="15">
        <f>BB386</f>
        <v>2970</v>
      </c>
      <c r="HY386" s="15">
        <f>AZ386</f>
        <v>4950</v>
      </c>
      <c r="HZ386" s="15">
        <f>BA386</f>
        <v>1.6894197952218428</v>
      </c>
      <c r="IA386" s="15">
        <f>BB386</f>
        <v>2970</v>
      </c>
    </row>
    <row r="387" spans="1:235" s="15" customFormat="1" x14ac:dyDescent="0.25">
      <c r="A387" s="31">
        <v>385</v>
      </c>
      <c r="B387" s="1">
        <v>70</v>
      </c>
      <c r="C387" s="1">
        <v>75</v>
      </c>
      <c r="D387" s="63" t="s">
        <v>346</v>
      </c>
      <c r="E387" s="1">
        <v>1</v>
      </c>
      <c r="F387" s="15" t="s">
        <v>761</v>
      </c>
      <c r="G387" s="15" t="s">
        <v>1210</v>
      </c>
      <c r="H387" s="15" t="s">
        <v>1211</v>
      </c>
      <c r="I387" s="1">
        <v>2000</v>
      </c>
      <c r="J387" s="15" t="s">
        <v>1209</v>
      </c>
      <c r="K387" s="1">
        <v>1999</v>
      </c>
      <c r="L387" s="15" t="s">
        <v>1208</v>
      </c>
      <c r="M387" s="63" t="s">
        <v>1199</v>
      </c>
      <c r="N387" s="63" t="s">
        <v>1201</v>
      </c>
      <c r="O387" s="31">
        <v>2</v>
      </c>
      <c r="P387" s="15">
        <v>-27.48</v>
      </c>
      <c r="Q387" s="15">
        <v>153.02000000000001</v>
      </c>
      <c r="U387" s="63" t="s">
        <v>807</v>
      </c>
      <c r="V387" s="66">
        <v>2</v>
      </c>
      <c r="W387" s="16" t="s">
        <v>1212</v>
      </c>
      <c r="X387" s="15" t="s">
        <v>1213</v>
      </c>
      <c r="Y387" s="1">
        <v>4</v>
      </c>
      <c r="Z387" s="15">
        <v>4.4000000000000004</v>
      </c>
      <c r="AA387" s="15" t="s">
        <v>574</v>
      </c>
      <c r="AB387" s="15">
        <f t="shared" si="351"/>
        <v>4.4000000000000004</v>
      </c>
      <c r="AC387" s="1">
        <v>1</v>
      </c>
      <c r="AD387" s="15">
        <f>17*1.74</f>
        <v>29.58</v>
      </c>
      <c r="AF387" s="15">
        <v>4.4400000000000004</v>
      </c>
      <c r="AH387" s="15">
        <v>22.7</v>
      </c>
      <c r="AM387" s="1"/>
      <c r="AP387" s="15" t="s">
        <v>1215</v>
      </c>
      <c r="AQ387" s="57">
        <v>2</v>
      </c>
      <c r="AR387" s="1">
        <v>4</v>
      </c>
      <c r="AT387" s="15" t="s">
        <v>1216</v>
      </c>
      <c r="AW387" s="15">
        <v>1</v>
      </c>
      <c r="AX387" s="15">
        <f>AW387*4*1000/1.8</f>
        <v>2222.2222222222222</v>
      </c>
      <c r="AY387" s="15" t="s">
        <v>766</v>
      </c>
      <c r="AZ387" s="15">
        <f t="shared" si="336"/>
        <v>2222.2222222222222</v>
      </c>
      <c r="BA387" s="15">
        <f t="shared" si="337"/>
        <v>0.75843761850587788</v>
      </c>
      <c r="BB387" s="15">
        <f t="shared" si="338"/>
        <v>1333.3333333333333</v>
      </c>
      <c r="BP387" s="16"/>
      <c r="BQ387" s="16"/>
      <c r="BR387" s="16"/>
      <c r="BU387" s="16"/>
      <c r="EZ387" s="16"/>
      <c r="FA387" s="16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>
        <f t="shared" si="352"/>
        <v>4.29</v>
      </c>
      <c r="FL387" s="16">
        <f t="shared" si="353"/>
        <v>4.1900000000000004</v>
      </c>
      <c r="FM387" s="15">
        <v>4.29</v>
      </c>
      <c r="FN387" s="15">
        <f t="shared" si="354"/>
        <v>4.2900000000000001E-2</v>
      </c>
      <c r="FO387" s="15">
        <f>FN387*SQRT(AR387)</f>
        <v>8.5800000000000001E-2</v>
      </c>
      <c r="FP387" s="15">
        <v>4.1900000000000004</v>
      </c>
      <c r="FQ387" s="15">
        <f t="shared" si="355"/>
        <v>4.1900000000000007E-2</v>
      </c>
      <c r="FR387" s="15">
        <f>FQ387*SQRT(AR387)</f>
        <v>8.3800000000000013E-2</v>
      </c>
      <c r="FS387" s="15">
        <f t="shared" si="348"/>
        <v>0.97668997668997681</v>
      </c>
      <c r="FT387" s="15">
        <f t="shared" si="349"/>
        <v>-9.9999999999999645E-2</v>
      </c>
      <c r="FU387" s="15">
        <f t="shared" si="350"/>
        <v>-2.3585999005879099E-2</v>
      </c>
      <c r="FV387" s="15">
        <f>((FR387*FR387)/(AR387*FP387*FP387)+(FO387*FO387)/(AR387*FM387*FM387))</f>
        <v>2.0000000000000001E-4</v>
      </c>
      <c r="GI387" s="15">
        <f>0.49+0.36+0.31+0.26+2.52</f>
        <v>3.94</v>
      </c>
      <c r="GJ387" s="15">
        <f t="shared" si="356"/>
        <v>3.9399999999999998E-2</v>
      </c>
      <c r="GK387" s="15">
        <f>GJ387*SQRT(AR165)</f>
        <v>6.8242801818213752E-2</v>
      </c>
      <c r="GL387" s="15">
        <f>1.8+0.38+0.35+0.27+2.18</f>
        <v>4.9800000000000004</v>
      </c>
      <c r="GM387" s="15">
        <f t="shared" si="357"/>
        <v>4.9800000000000004E-2</v>
      </c>
      <c r="GN387" s="15">
        <f>GM387*SQRT(AR165)</f>
        <v>8.6256130216930085E-2</v>
      </c>
      <c r="GO387" s="63">
        <f t="shared" si="358"/>
        <v>1.2639593908629443</v>
      </c>
      <c r="GP387" s="63">
        <f t="shared" si="359"/>
        <v>1.0400000000000005</v>
      </c>
      <c r="GQ387" s="15">
        <f t="shared" si="360"/>
        <v>0.23424916772671911</v>
      </c>
      <c r="GR387" s="15">
        <f>((GN387*GN387)/(AR165*GL387*GL387)+(GK387*GK387)/(AR165*GI387*GI387))</f>
        <v>1.9999999999999993E-4</v>
      </c>
      <c r="GT387" s="15">
        <v>36</v>
      </c>
      <c r="GU387" s="15">
        <f t="shared" si="361"/>
        <v>0.36</v>
      </c>
      <c r="GV387" s="15">
        <f>GU387*SQRT(AR155)</f>
        <v>0.62353829072479572</v>
      </c>
      <c r="GW387" s="15">
        <v>56</v>
      </c>
      <c r="GX387" s="15">
        <f t="shared" si="362"/>
        <v>0.56000000000000005</v>
      </c>
      <c r="GY387" s="15">
        <f>GX387*SQRT(AR155)</f>
        <v>0.96994845223857129</v>
      </c>
      <c r="GZ387" s="63">
        <f t="shared" si="363"/>
        <v>1.5555555555555556</v>
      </c>
      <c r="HA387" s="63">
        <f t="shared" si="364"/>
        <v>20</v>
      </c>
      <c r="HB387" s="15">
        <f t="shared" si="365"/>
        <v>0.44183275227903973</v>
      </c>
      <c r="HC387" s="15">
        <f>((GY387*GY387)/(AR155*GW387*GW387)+(GV387*GV387)/(AR155*GT387*GT387))</f>
        <v>1.9999999999999996E-4</v>
      </c>
      <c r="HE387" s="15">
        <v>3.2</v>
      </c>
      <c r="HF387" s="15">
        <f t="shared" si="366"/>
        <v>3.2000000000000001E-2</v>
      </c>
      <c r="HG387" s="15">
        <f>HF387*SQRT(AR174)</f>
        <v>5.542562584220407E-2</v>
      </c>
      <c r="HH387" s="15">
        <v>2.61</v>
      </c>
      <c r="HI387" s="15">
        <f t="shared" si="367"/>
        <v>2.6099999999999998E-2</v>
      </c>
      <c r="HJ387" s="15">
        <f>HI387*SQRT(AR174)</f>
        <v>4.5206526077547694E-2</v>
      </c>
      <c r="HK387" s="15">
        <f t="shared" si="368"/>
        <v>0.81562499999999993</v>
      </c>
      <c r="HL387" s="15">
        <f t="shared" si="369"/>
        <v>-0.5900000000000003</v>
      </c>
      <c r="HM387" s="15">
        <f t="shared" si="370"/>
        <v>-0.20380058847107885</v>
      </c>
      <c r="HN387" s="15">
        <f>((HJ387*HJ387)/(AR174*HH387*HH387)+(HG387*HG387)/(AR174*HE387*HE387))</f>
        <v>1.9999999999999996E-4</v>
      </c>
      <c r="HP387" s="15" t="s">
        <v>1186</v>
      </c>
      <c r="HV387" s="15">
        <f t="shared" si="371"/>
        <v>-65.423429016376247</v>
      </c>
      <c r="HW387" s="15">
        <f t="shared" si="372"/>
        <v>-0.20380058847107885</v>
      </c>
      <c r="HX387" s="15">
        <f>BB387</f>
        <v>1333.3333333333333</v>
      </c>
      <c r="HY387" s="15">
        <f>AZ387</f>
        <v>2222.2222222222222</v>
      </c>
      <c r="HZ387" s="15">
        <f>BA387</f>
        <v>0.75843761850587788</v>
      </c>
      <c r="IA387" s="15">
        <f>BB387</f>
        <v>1333.3333333333333</v>
      </c>
    </row>
    <row r="388" spans="1:235" s="15" customFormat="1" x14ac:dyDescent="0.25">
      <c r="A388" s="31">
        <v>386</v>
      </c>
      <c r="B388" s="1">
        <v>70</v>
      </c>
      <c r="C388" s="1">
        <v>75</v>
      </c>
      <c r="D388" s="63" t="s">
        <v>347</v>
      </c>
      <c r="E388" s="1">
        <v>1</v>
      </c>
      <c r="F388" s="15" t="s">
        <v>761</v>
      </c>
      <c r="G388" s="15" t="s">
        <v>1210</v>
      </c>
      <c r="H388" s="15" t="s">
        <v>1211</v>
      </c>
      <c r="I388" s="1">
        <v>2000</v>
      </c>
      <c r="J388" s="15" t="s">
        <v>1209</v>
      </c>
      <c r="K388" s="1">
        <v>1999</v>
      </c>
      <c r="L388" s="15" t="s">
        <v>1208</v>
      </c>
      <c r="M388" s="63" t="s">
        <v>1199</v>
      </c>
      <c r="N388" s="63" t="s">
        <v>1201</v>
      </c>
      <c r="O388" s="31">
        <v>2</v>
      </c>
      <c r="P388" s="15">
        <v>-27.48</v>
      </c>
      <c r="Q388" s="15">
        <v>153.02000000000001</v>
      </c>
      <c r="U388" s="63" t="s">
        <v>807</v>
      </c>
      <c r="V388" s="66">
        <v>2</v>
      </c>
      <c r="W388" s="16" t="s">
        <v>1212</v>
      </c>
      <c r="X388" s="15" t="s">
        <v>1213</v>
      </c>
      <c r="Y388" s="1">
        <v>4</v>
      </c>
      <c r="Z388" s="15">
        <v>4.4000000000000004</v>
      </c>
      <c r="AA388" s="15" t="s">
        <v>574</v>
      </c>
      <c r="AB388" s="15">
        <f t="shared" si="351"/>
        <v>4.4000000000000004</v>
      </c>
      <c r="AC388" s="1">
        <v>1</v>
      </c>
      <c r="AD388" s="15">
        <f>17*1.74</f>
        <v>29.58</v>
      </c>
      <c r="AF388" s="15">
        <v>4.4400000000000004</v>
      </c>
      <c r="AH388" s="15">
        <v>22.7</v>
      </c>
      <c r="AM388" s="1"/>
      <c r="AP388" s="15" t="s">
        <v>1215</v>
      </c>
      <c r="AQ388" s="57">
        <v>2</v>
      </c>
      <c r="AR388" s="1">
        <v>4</v>
      </c>
      <c r="AT388" s="15" t="s">
        <v>1216</v>
      </c>
      <c r="AW388" s="15">
        <v>2</v>
      </c>
      <c r="AX388" s="15">
        <f>AW388*4*1000/1.8</f>
        <v>4444.4444444444443</v>
      </c>
      <c r="AY388" s="15" t="s">
        <v>766</v>
      </c>
      <c r="AZ388" s="15">
        <f t="shared" si="336"/>
        <v>4444.4444444444443</v>
      </c>
      <c r="BA388" s="15">
        <f t="shared" si="337"/>
        <v>1.5168752370117558</v>
      </c>
      <c r="BB388" s="15">
        <f t="shared" si="338"/>
        <v>2666.6666666666665</v>
      </c>
      <c r="BP388" s="16"/>
      <c r="BQ388" s="16"/>
      <c r="BR388" s="16"/>
      <c r="BU388" s="16"/>
      <c r="EZ388" s="16"/>
      <c r="FA388" s="16"/>
      <c r="FB388" s="16"/>
      <c r="FC388" s="16"/>
      <c r="FD388" s="16"/>
      <c r="FE388" s="16"/>
      <c r="FF388" s="16"/>
      <c r="FG388" s="16"/>
      <c r="FH388" s="16"/>
      <c r="FI388" s="16"/>
      <c r="FJ388" s="16"/>
      <c r="FK388" s="16">
        <f t="shared" si="352"/>
        <v>4.29</v>
      </c>
      <c r="FL388" s="16">
        <f t="shared" si="353"/>
        <v>5.12</v>
      </c>
      <c r="FM388" s="15">
        <v>4.29</v>
      </c>
      <c r="FN388" s="15">
        <f t="shared" si="354"/>
        <v>4.2900000000000001E-2</v>
      </c>
      <c r="FO388" s="15">
        <f>FN388*SQRT(AR388)</f>
        <v>8.5800000000000001E-2</v>
      </c>
      <c r="FP388" s="15">
        <v>5.12</v>
      </c>
      <c r="FQ388" s="15">
        <f t="shared" si="355"/>
        <v>5.1200000000000002E-2</v>
      </c>
      <c r="FR388" s="15">
        <f>FQ388*SQRT(AR388)</f>
        <v>0.1024</v>
      </c>
      <c r="FS388" s="15">
        <f t="shared" si="348"/>
        <v>1.1934731934731935</v>
      </c>
      <c r="FT388" s="15">
        <f t="shared" si="349"/>
        <v>0.83000000000000007</v>
      </c>
      <c r="FU388" s="15">
        <f t="shared" si="350"/>
        <v>0.17686770611149072</v>
      </c>
      <c r="FV388" s="15">
        <f>((FR388*FR388)/(AR388*FP388*FP388)+(FO388*FO388)/(AR388*FM388*FM388))</f>
        <v>1.9999999999999998E-4</v>
      </c>
      <c r="GI388" s="15">
        <f>0.49+0.36+0.31+0.26+2.52</f>
        <v>3.94</v>
      </c>
      <c r="GJ388" s="15">
        <f t="shared" si="356"/>
        <v>3.9399999999999998E-2</v>
      </c>
      <c r="GK388" s="15">
        <f>GJ388*SQRT(AR166)</f>
        <v>6.8242801818213752E-2</v>
      </c>
      <c r="GL388" s="15">
        <f>3.14+0.24+0.26+0.25+0.71</f>
        <v>4.5999999999999996</v>
      </c>
      <c r="GM388" s="15">
        <f t="shared" si="357"/>
        <v>4.5999999999999999E-2</v>
      </c>
      <c r="GN388" s="15">
        <f>GM388*SQRT(AR166)</f>
        <v>7.967433714816835E-2</v>
      </c>
      <c r="GO388" s="63">
        <f t="shared" si="358"/>
        <v>1.1675126903553299</v>
      </c>
      <c r="GP388" s="63">
        <f t="shared" si="359"/>
        <v>0.6599999999999997</v>
      </c>
      <c r="GQ388" s="15">
        <f t="shared" si="360"/>
        <v>0.15487558018520664</v>
      </c>
      <c r="GR388" s="15">
        <f>((GN388*GN388)/(AR166*GL388*GL388)+(GK388*GK388)/(AR166*GI388*GI388))</f>
        <v>1.9999999999999998E-4</v>
      </c>
      <c r="GT388" s="15">
        <v>36</v>
      </c>
      <c r="GU388" s="15">
        <f t="shared" si="361"/>
        <v>0.36</v>
      </c>
      <c r="GV388" s="15">
        <f>GU388*SQRT(AR156)</f>
        <v>0.62353829072479572</v>
      </c>
      <c r="GW388" s="15">
        <v>84</v>
      </c>
      <c r="GX388" s="15">
        <f t="shared" si="362"/>
        <v>0.84</v>
      </c>
      <c r="GY388" s="15">
        <f>GX388*SQRT(AR156)</f>
        <v>1.4549226783578568</v>
      </c>
      <c r="GZ388" s="63">
        <f t="shared" si="363"/>
        <v>2.3333333333333335</v>
      </c>
      <c r="HA388" s="63">
        <f t="shared" si="364"/>
        <v>48</v>
      </c>
      <c r="HB388" s="15">
        <f t="shared" si="365"/>
        <v>0.84729786038720345</v>
      </c>
      <c r="HC388" s="15">
        <f>((GY388*GY388)/(AR156*GW388*GW388)+(GV388*GV388)/(AR156*GT388*GT388))</f>
        <v>1.9999999999999993E-4</v>
      </c>
      <c r="HE388" s="15">
        <v>3.2</v>
      </c>
      <c r="HF388" s="15">
        <f t="shared" si="366"/>
        <v>3.2000000000000001E-2</v>
      </c>
      <c r="HG388" s="15">
        <f>HF388*SQRT(AR175)</f>
        <v>5.542562584220407E-2</v>
      </c>
      <c r="HH388" s="15">
        <v>3.93</v>
      </c>
      <c r="HI388" s="15">
        <f t="shared" si="367"/>
        <v>3.9300000000000002E-2</v>
      </c>
      <c r="HJ388" s="15">
        <f>HI388*SQRT(AR175)</f>
        <v>6.8069596737456883E-2</v>
      </c>
      <c r="HK388" s="15">
        <f t="shared" si="368"/>
        <v>1.2281249999999999</v>
      </c>
      <c r="HL388" s="15">
        <f t="shared" si="369"/>
        <v>0.73</v>
      </c>
      <c r="HM388" s="15">
        <f t="shared" si="370"/>
        <v>0.20548861607548896</v>
      </c>
      <c r="HN388" s="15">
        <f>((HJ388*HJ388)/(AR175*HH388*HH388)+(HG388*HG388)/(AR175*HE388*HE388))</f>
        <v>1.9999999999999998E-4</v>
      </c>
      <c r="HP388" s="15" t="s">
        <v>1186</v>
      </c>
      <c r="HV388" s="15">
        <f t="shared" si="371"/>
        <v>129.77199017618724</v>
      </c>
      <c r="HW388" s="15">
        <f t="shared" si="372"/>
        <v>0.20548861607548896</v>
      </c>
      <c r="HX388" s="15">
        <f>BB388</f>
        <v>2666.6666666666665</v>
      </c>
      <c r="HY388" s="15">
        <f>AZ388</f>
        <v>4444.4444444444443</v>
      </c>
      <c r="HZ388" s="15">
        <f>BA388</f>
        <v>1.5168752370117558</v>
      </c>
      <c r="IA388" s="15">
        <f>BB388</f>
        <v>2666.6666666666665</v>
      </c>
    </row>
    <row r="389" spans="1:235" s="15" customFormat="1" x14ac:dyDescent="0.25">
      <c r="A389" s="31">
        <v>387</v>
      </c>
      <c r="B389" s="1">
        <v>71</v>
      </c>
      <c r="C389" s="1">
        <v>76</v>
      </c>
      <c r="D389" s="63" t="s">
        <v>348</v>
      </c>
      <c r="E389" s="1">
        <v>1</v>
      </c>
      <c r="F389" s="15" t="s">
        <v>761</v>
      </c>
      <c r="G389" s="15" t="s">
        <v>1217</v>
      </c>
      <c r="H389" s="15" t="s">
        <v>904</v>
      </c>
      <c r="I389" s="1">
        <v>2006</v>
      </c>
      <c r="J389" s="15" t="s">
        <v>801</v>
      </c>
      <c r="K389" s="1" t="s">
        <v>1218</v>
      </c>
      <c r="L389" s="15" t="s">
        <v>819</v>
      </c>
      <c r="M389" s="15" t="s">
        <v>480</v>
      </c>
      <c r="N389" s="15" t="s">
        <v>23</v>
      </c>
      <c r="O389" s="31">
        <v>2</v>
      </c>
      <c r="P389" s="15">
        <v>31.06</v>
      </c>
      <c r="Q389" s="15">
        <v>119.11</v>
      </c>
      <c r="U389" s="15" t="s">
        <v>549</v>
      </c>
      <c r="V389" s="31">
        <v>1</v>
      </c>
      <c r="W389" s="16" t="s">
        <v>1219</v>
      </c>
      <c r="X389" s="15" t="s">
        <v>1195</v>
      </c>
      <c r="Y389" s="1">
        <v>5</v>
      </c>
      <c r="Z389" s="15">
        <v>4.8</v>
      </c>
      <c r="AA389" s="15" t="s">
        <v>574</v>
      </c>
      <c r="AB389" s="15">
        <f t="shared" si="351"/>
        <v>4.8</v>
      </c>
      <c r="AC389" s="1">
        <v>2</v>
      </c>
      <c r="AD389" s="15">
        <v>18.3</v>
      </c>
      <c r="AM389" s="1"/>
      <c r="AP389" s="15" t="s">
        <v>1220</v>
      </c>
      <c r="AQ389" s="1">
        <v>2</v>
      </c>
      <c r="AR389" s="1">
        <v>3</v>
      </c>
      <c r="AT389" s="15" t="s">
        <v>664</v>
      </c>
      <c r="AW389" s="15">
        <v>562.5</v>
      </c>
      <c r="AX389" s="15">
        <f>AW389*1.35</f>
        <v>759.375</v>
      </c>
      <c r="AY389" s="15" t="s">
        <v>766</v>
      </c>
      <c r="AZ389" s="15">
        <f t="shared" si="336"/>
        <v>759.375</v>
      </c>
      <c r="BA389" s="15">
        <f t="shared" si="337"/>
        <v>0.25917235494880542</v>
      </c>
      <c r="BB389" s="15">
        <f t="shared" si="338"/>
        <v>455.625</v>
      </c>
      <c r="BP389" s="16"/>
      <c r="BQ389" s="16"/>
      <c r="BR389" s="16"/>
      <c r="BU389" s="16"/>
      <c r="EZ389" s="16"/>
      <c r="FA389" s="16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>
        <f t="shared" si="352"/>
        <v>4.87</v>
      </c>
      <c r="FL389" s="16">
        <f t="shared" si="353"/>
        <v>4.9000000000000004</v>
      </c>
      <c r="FM389" s="15">
        <v>4.87</v>
      </c>
      <c r="FN389" s="15">
        <f t="shared" ref="FN389:FN410" si="373">FM389*0.1</f>
        <v>0.48700000000000004</v>
      </c>
      <c r="FO389" s="15">
        <f>FN389*SQRT(AR389)</f>
        <v>0.84350874328604331</v>
      </c>
      <c r="FP389" s="15">
        <v>4.9000000000000004</v>
      </c>
      <c r="FQ389" s="15">
        <f t="shared" ref="FQ389:FQ410" si="374">FP389*0.1</f>
        <v>0.49000000000000005</v>
      </c>
      <c r="FR389" s="15">
        <f>FQ389*SQRT(AR389)</f>
        <v>0.84870489570874985</v>
      </c>
      <c r="FS389" s="15">
        <f t="shared" si="348"/>
        <v>1.0061601642710474</v>
      </c>
      <c r="FT389" s="15">
        <f t="shared" si="349"/>
        <v>3.0000000000000249E-2</v>
      </c>
      <c r="FU389" s="15">
        <f t="shared" si="350"/>
        <v>6.14126802208248E-3</v>
      </c>
      <c r="FV389" s="15">
        <f>((FR389*FR389)/(AR389*FP389*FP389)+(FO389*FO389)/(AR389*FM389*FM389))</f>
        <v>1.9999999999999997E-2</v>
      </c>
      <c r="HE389" s="15">
        <v>1830</v>
      </c>
      <c r="HF389" s="15">
        <v>183.00000000000003</v>
      </c>
      <c r="HG389" s="15">
        <f>HF389*SQRT(AR176)</f>
        <v>316.96529778510455</v>
      </c>
      <c r="HH389" s="15">
        <v>2230</v>
      </c>
      <c r="HI389" s="15">
        <v>223</v>
      </c>
      <c r="HJ389" s="15">
        <f>HI389*SQRT(AR176)</f>
        <v>386.24733008785961</v>
      </c>
      <c r="HK389" s="15">
        <f t="shared" si="368"/>
        <v>1.2185792349726776</v>
      </c>
      <c r="HL389" s="15">
        <f t="shared" si="369"/>
        <v>400</v>
      </c>
      <c r="HM389" s="15">
        <f t="shared" si="370"/>
        <v>0.19768561861869838</v>
      </c>
      <c r="HN389" s="15">
        <f>((HJ389*HJ389)/(AR176*HH389*HH389)+(HG389*HG389)/(AR176*HE389*HE389))</f>
        <v>1.9999999999999997E-2</v>
      </c>
      <c r="HP389" s="15" t="s">
        <v>766</v>
      </c>
      <c r="HV389" s="15">
        <f t="shared" si="371"/>
        <v>23.047958834012221</v>
      </c>
      <c r="HW389" s="15">
        <f t="shared" si="372"/>
        <v>0.19768561861869838</v>
      </c>
      <c r="HX389" s="15">
        <f>BB389</f>
        <v>455.625</v>
      </c>
      <c r="HY389" s="15">
        <f>AZ389</f>
        <v>759.375</v>
      </c>
      <c r="HZ389" s="15">
        <f>BA389</f>
        <v>0.25917235494880542</v>
      </c>
      <c r="IA389" s="15">
        <f>BB389</f>
        <v>455.625</v>
      </c>
    </row>
    <row r="390" spans="1:235" s="15" customFormat="1" x14ac:dyDescent="0.25">
      <c r="A390" s="31">
        <v>388</v>
      </c>
      <c r="B390" s="1">
        <v>71</v>
      </c>
      <c r="C390" s="1">
        <v>76</v>
      </c>
      <c r="D390" s="63" t="s">
        <v>349</v>
      </c>
      <c r="E390" s="1">
        <v>1</v>
      </c>
      <c r="F390" s="15" t="s">
        <v>761</v>
      </c>
      <c r="G390" s="15" t="s">
        <v>1217</v>
      </c>
      <c r="H390" s="15" t="s">
        <v>904</v>
      </c>
      <c r="I390" s="1">
        <v>2006</v>
      </c>
      <c r="J390" s="15" t="s">
        <v>801</v>
      </c>
      <c r="K390" s="1" t="s">
        <v>1218</v>
      </c>
      <c r="L390" s="15" t="s">
        <v>819</v>
      </c>
      <c r="M390" s="15" t="s">
        <v>480</v>
      </c>
      <c r="N390" s="15" t="s">
        <v>23</v>
      </c>
      <c r="O390" s="31">
        <v>2</v>
      </c>
      <c r="P390" s="15">
        <v>31.06</v>
      </c>
      <c r="Q390" s="15">
        <v>119.11</v>
      </c>
      <c r="U390" s="15" t="s">
        <v>549</v>
      </c>
      <c r="V390" s="31">
        <v>1</v>
      </c>
      <c r="W390" s="16" t="s">
        <v>1219</v>
      </c>
      <c r="X390" s="15" t="s">
        <v>1195</v>
      </c>
      <c r="Y390" s="1">
        <v>5</v>
      </c>
      <c r="Z390" s="15">
        <v>4.8</v>
      </c>
      <c r="AA390" s="15" t="s">
        <v>574</v>
      </c>
      <c r="AB390" s="15">
        <f t="shared" si="351"/>
        <v>4.8</v>
      </c>
      <c r="AC390" s="1">
        <v>2</v>
      </c>
      <c r="AD390" s="15">
        <v>18.3</v>
      </c>
      <c r="AM390" s="1"/>
      <c r="AP390" s="15" t="s">
        <v>1220</v>
      </c>
      <c r="AQ390" s="1">
        <v>2</v>
      </c>
      <c r="AR390" s="1">
        <v>3</v>
      </c>
      <c r="AT390" s="15" t="s">
        <v>664</v>
      </c>
      <c r="AW390" s="15">
        <v>1125</v>
      </c>
      <c r="AX390" s="15">
        <f>AW390*1.35</f>
        <v>1518.75</v>
      </c>
      <c r="AY390" s="15" t="s">
        <v>766</v>
      </c>
      <c r="AZ390" s="15">
        <f t="shared" si="336"/>
        <v>1518.75</v>
      </c>
      <c r="BA390" s="15">
        <f t="shared" si="337"/>
        <v>0.51834470989761083</v>
      </c>
      <c r="BB390" s="15">
        <f t="shared" si="338"/>
        <v>911.25</v>
      </c>
      <c r="BP390" s="16"/>
      <c r="BQ390" s="16"/>
      <c r="BR390" s="16"/>
      <c r="BU390" s="16"/>
      <c r="EZ390" s="16"/>
      <c r="FA390" s="16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>
        <f t="shared" si="352"/>
        <v>4.87</v>
      </c>
      <c r="FL390" s="16">
        <f t="shared" si="353"/>
        <v>5.14</v>
      </c>
      <c r="FM390" s="15">
        <v>4.87</v>
      </c>
      <c r="FN390" s="15">
        <f t="shared" si="373"/>
        <v>0.48700000000000004</v>
      </c>
      <c r="FO390" s="15">
        <f>FN390*SQRT(AR390)</f>
        <v>0.84350874328604331</v>
      </c>
      <c r="FP390" s="15">
        <v>5.14</v>
      </c>
      <c r="FQ390" s="15">
        <f t="shared" si="374"/>
        <v>0.51400000000000001</v>
      </c>
      <c r="FR390" s="15">
        <f>FQ390*SQRT(AR390)</f>
        <v>0.89027411509040288</v>
      </c>
      <c r="FS390" s="15">
        <f t="shared" si="348"/>
        <v>1.055441478439425</v>
      </c>
      <c r="FT390" s="15">
        <f t="shared" si="349"/>
        <v>0.26999999999999957</v>
      </c>
      <c r="FU390" s="15">
        <f t="shared" si="350"/>
        <v>5.3959142372575153E-2</v>
      </c>
      <c r="FV390" s="15">
        <f>((FR390*FR390)/(AR390*FP390*FP390)+(FO390*FO390)/(AR390*FM390*FM390))</f>
        <v>2.0000000000000004E-2</v>
      </c>
      <c r="HE390" s="15">
        <v>1830</v>
      </c>
      <c r="HF390" s="15">
        <v>183.00000000000003</v>
      </c>
      <c r="HG390" s="15">
        <f>HF390*SQRT(AR177)</f>
        <v>316.96529778510455</v>
      </c>
      <c r="HH390" s="15">
        <v>2460</v>
      </c>
      <c r="HI390" s="15">
        <v>246</v>
      </c>
      <c r="HJ390" s="15">
        <f>HI390*SQRT(AR177)</f>
        <v>426.08449866194377</v>
      </c>
      <c r="HK390" s="15">
        <f t="shared" si="368"/>
        <v>1.3442622950819672</v>
      </c>
      <c r="HL390" s="15">
        <f t="shared" si="369"/>
        <v>630</v>
      </c>
      <c r="HM390" s="15">
        <f t="shared" si="370"/>
        <v>0.29584538309094199</v>
      </c>
      <c r="HN390" s="15">
        <f>((HJ390*HJ390)/(AR177*HH390*HH390)+(HG390*HG390)/(AR177*HE390*HE390))</f>
        <v>1.9999999999999997E-2</v>
      </c>
      <c r="HP390" s="15" t="s">
        <v>766</v>
      </c>
      <c r="HV390" s="15">
        <f t="shared" si="371"/>
        <v>30.801562305262827</v>
      </c>
      <c r="HW390" s="15">
        <f t="shared" si="372"/>
        <v>0.29584538309094199</v>
      </c>
      <c r="HX390" s="15">
        <f>BB390</f>
        <v>911.25</v>
      </c>
      <c r="HY390" s="15">
        <f>AZ390</f>
        <v>1518.75</v>
      </c>
      <c r="HZ390" s="15">
        <f>BA390</f>
        <v>0.51834470989761083</v>
      </c>
      <c r="IA390" s="15">
        <f>BB390</f>
        <v>911.25</v>
      </c>
    </row>
    <row r="391" spans="1:235" s="15" customFormat="1" x14ac:dyDescent="0.25">
      <c r="A391" s="31">
        <v>389</v>
      </c>
      <c r="B391" s="1">
        <v>71</v>
      </c>
      <c r="C391" s="1">
        <v>76</v>
      </c>
      <c r="D391" s="63" t="s">
        <v>350</v>
      </c>
      <c r="E391" s="1">
        <v>1</v>
      </c>
      <c r="F391" s="15" t="s">
        <v>761</v>
      </c>
      <c r="G391" s="15" t="s">
        <v>1217</v>
      </c>
      <c r="H391" s="15" t="s">
        <v>904</v>
      </c>
      <c r="I391" s="1">
        <v>2006</v>
      </c>
      <c r="J391" s="15" t="s">
        <v>801</v>
      </c>
      <c r="K391" s="1" t="s">
        <v>1218</v>
      </c>
      <c r="L391" s="15" t="s">
        <v>819</v>
      </c>
      <c r="M391" s="15" t="s">
        <v>480</v>
      </c>
      <c r="N391" s="15" t="s">
        <v>23</v>
      </c>
      <c r="O391" s="31">
        <v>2</v>
      </c>
      <c r="P391" s="15">
        <v>31.06</v>
      </c>
      <c r="Q391" s="15">
        <v>119.11</v>
      </c>
      <c r="U391" s="15" t="s">
        <v>549</v>
      </c>
      <c r="V391" s="31">
        <v>1</v>
      </c>
      <c r="W391" s="16" t="s">
        <v>1219</v>
      </c>
      <c r="X391" s="15" t="s">
        <v>1195</v>
      </c>
      <c r="Y391" s="1">
        <v>5</v>
      </c>
      <c r="Z391" s="15">
        <v>4.8</v>
      </c>
      <c r="AA391" s="15" t="s">
        <v>574</v>
      </c>
      <c r="AB391" s="15">
        <f t="shared" si="351"/>
        <v>4.8</v>
      </c>
      <c r="AC391" s="1">
        <v>2</v>
      </c>
      <c r="AD391" s="15">
        <v>18.3</v>
      </c>
      <c r="AM391" s="1"/>
      <c r="AP391" s="15" t="s">
        <v>1220</v>
      </c>
      <c r="AQ391" s="1">
        <v>2</v>
      </c>
      <c r="AR391" s="1">
        <v>3</v>
      </c>
      <c r="AT391" s="15" t="s">
        <v>664</v>
      </c>
      <c r="AW391" s="15">
        <v>1687.5</v>
      </c>
      <c r="AX391" s="15">
        <f>AW391*1.35</f>
        <v>2278.125</v>
      </c>
      <c r="AY391" s="15" t="s">
        <v>766</v>
      </c>
      <c r="AZ391" s="15">
        <f t="shared" si="336"/>
        <v>2278.125</v>
      </c>
      <c r="BA391" s="15">
        <f t="shared" si="337"/>
        <v>0.77751706484641636</v>
      </c>
      <c r="BB391" s="15">
        <f t="shared" si="338"/>
        <v>1366.875</v>
      </c>
      <c r="BP391" s="16"/>
      <c r="BQ391" s="16"/>
      <c r="BR391" s="16"/>
      <c r="BU391" s="16"/>
      <c r="EZ391" s="16"/>
      <c r="FA391" s="16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>
        <f t="shared" si="352"/>
        <v>4.87</v>
      </c>
      <c r="FL391" s="16">
        <f t="shared" si="353"/>
        <v>5.14</v>
      </c>
      <c r="FM391" s="15">
        <v>4.87</v>
      </c>
      <c r="FN391" s="15">
        <f t="shared" si="373"/>
        <v>0.48700000000000004</v>
      </c>
      <c r="FO391" s="15">
        <f>FN391*SQRT(AR391)</f>
        <v>0.84350874328604331</v>
      </c>
      <c r="FP391" s="15">
        <v>5.14</v>
      </c>
      <c r="FQ391" s="15">
        <f t="shared" si="374"/>
        <v>0.51400000000000001</v>
      </c>
      <c r="FR391" s="15">
        <f>FQ391*SQRT(AR391)</f>
        <v>0.89027411509040288</v>
      </c>
      <c r="FS391" s="15">
        <f t="shared" si="348"/>
        <v>1.055441478439425</v>
      </c>
      <c r="FT391" s="15">
        <f t="shared" si="349"/>
        <v>0.26999999999999957</v>
      </c>
      <c r="FU391" s="15">
        <f t="shared" si="350"/>
        <v>5.3959142372575153E-2</v>
      </c>
      <c r="FV391" s="15">
        <f>((FR391*FR391)/(AR391*FP391*FP391)+(FO391*FO391)/(AR391*FM391*FM391))</f>
        <v>2.0000000000000004E-2</v>
      </c>
      <c r="HE391" s="15">
        <v>1830</v>
      </c>
      <c r="HF391" s="15">
        <v>183.00000000000003</v>
      </c>
      <c r="HG391" s="15">
        <f>HF391*SQRT(AR178)</f>
        <v>316.96529778510455</v>
      </c>
      <c r="HH391" s="15">
        <v>2540</v>
      </c>
      <c r="HI391" s="15">
        <v>254</v>
      </c>
      <c r="HJ391" s="15">
        <f>HI391*SQRT(AR178)</f>
        <v>439.94090512249483</v>
      </c>
      <c r="HK391" s="15">
        <f t="shared" si="368"/>
        <v>1.3879781420765027</v>
      </c>
      <c r="HL391" s="15">
        <f t="shared" si="369"/>
        <v>710</v>
      </c>
      <c r="HM391" s="15">
        <f t="shared" si="370"/>
        <v>0.32784811417711612</v>
      </c>
      <c r="HN391" s="15">
        <f>((HJ391*HJ391)/(AR178*HH391*HH391)+(HG391*HG391)/(AR178*HE391*HE391))</f>
        <v>0.02</v>
      </c>
      <c r="HP391" s="15" t="s">
        <v>766</v>
      </c>
      <c r="HV391" s="15">
        <f t="shared" si="371"/>
        <v>41.69232461290175</v>
      </c>
      <c r="HW391" s="15">
        <f t="shared" si="372"/>
        <v>0.32784811417711612</v>
      </c>
      <c r="HX391" s="15">
        <f>BB391</f>
        <v>1366.875</v>
      </c>
      <c r="HY391" s="15">
        <f>AZ391</f>
        <v>2278.125</v>
      </c>
      <c r="HZ391" s="15">
        <f>BA391</f>
        <v>0.77751706484641636</v>
      </c>
      <c r="IA391" s="15">
        <f>BB391</f>
        <v>1366.875</v>
      </c>
    </row>
    <row r="392" spans="1:235" s="15" customFormat="1" x14ac:dyDescent="0.25">
      <c r="A392" s="31">
        <v>390</v>
      </c>
      <c r="B392" s="1">
        <v>71</v>
      </c>
      <c r="C392" s="1">
        <v>76</v>
      </c>
      <c r="D392" s="63" t="s">
        <v>351</v>
      </c>
      <c r="E392" s="1">
        <v>1</v>
      </c>
      <c r="F392" s="15" t="s">
        <v>761</v>
      </c>
      <c r="G392" s="15" t="s">
        <v>1217</v>
      </c>
      <c r="H392" s="15" t="s">
        <v>904</v>
      </c>
      <c r="I392" s="1">
        <v>2006</v>
      </c>
      <c r="J392" s="15" t="s">
        <v>801</v>
      </c>
      <c r="K392" s="1" t="s">
        <v>1218</v>
      </c>
      <c r="L392" s="15" t="s">
        <v>819</v>
      </c>
      <c r="M392" s="15" t="s">
        <v>480</v>
      </c>
      <c r="N392" s="15" t="s">
        <v>23</v>
      </c>
      <c r="O392" s="31">
        <v>2</v>
      </c>
      <c r="P392" s="15">
        <v>31.06</v>
      </c>
      <c r="Q392" s="15">
        <v>119.11</v>
      </c>
      <c r="U392" s="15" t="s">
        <v>549</v>
      </c>
      <c r="V392" s="31">
        <v>1</v>
      </c>
      <c r="W392" s="16" t="s">
        <v>1219</v>
      </c>
      <c r="X392" s="15" t="s">
        <v>1195</v>
      </c>
      <c r="Y392" s="1">
        <v>5</v>
      </c>
      <c r="Z392" s="15">
        <v>4.8</v>
      </c>
      <c r="AA392" s="15" t="s">
        <v>574</v>
      </c>
      <c r="AB392" s="15">
        <f t="shared" si="351"/>
        <v>4.8</v>
      </c>
      <c r="AC392" s="1">
        <v>2</v>
      </c>
      <c r="AD392" s="15">
        <v>18.3</v>
      </c>
      <c r="AM392" s="1"/>
      <c r="AP392" s="15" t="s">
        <v>1220</v>
      </c>
      <c r="AQ392" s="1">
        <v>2</v>
      </c>
      <c r="AR392" s="1">
        <v>3</v>
      </c>
      <c r="AT392" s="15" t="s">
        <v>664</v>
      </c>
      <c r="AW392" s="15">
        <v>2250</v>
      </c>
      <c r="AX392" s="15">
        <f>AW392*1.35</f>
        <v>3037.5</v>
      </c>
      <c r="AY392" s="15" t="s">
        <v>766</v>
      </c>
      <c r="AZ392" s="15">
        <f t="shared" si="336"/>
        <v>3037.5</v>
      </c>
      <c r="BA392" s="15">
        <f t="shared" si="337"/>
        <v>1.0366894197952217</v>
      </c>
      <c r="BB392" s="15">
        <f t="shared" si="338"/>
        <v>1822.5</v>
      </c>
      <c r="BP392" s="16"/>
      <c r="BQ392" s="16"/>
      <c r="BR392" s="16"/>
      <c r="BU392" s="16"/>
      <c r="EZ392" s="16"/>
      <c r="FA392" s="16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>
        <f t="shared" si="352"/>
        <v>4.87</v>
      </c>
      <c r="FL392" s="16">
        <f t="shared" si="353"/>
        <v>5.33</v>
      </c>
      <c r="FM392" s="15">
        <v>4.87</v>
      </c>
      <c r="FN392" s="15">
        <f t="shared" si="373"/>
        <v>0.48700000000000004</v>
      </c>
      <c r="FO392" s="15">
        <f>FN392*SQRT(AR392)</f>
        <v>0.84350874328604331</v>
      </c>
      <c r="FP392" s="15">
        <v>5.33</v>
      </c>
      <c r="FQ392" s="15">
        <f t="shared" si="374"/>
        <v>0.53300000000000003</v>
      </c>
      <c r="FR392" s="15">
        <f>FQ392*SQRT(AR392)</f>
        <v>0.9231830804342116</v>
      </c>
      <c r="FS392" s="15">
        <f t="shared" si="348"/>
        <v>1.0944558521560575</v>
      </c>
      <c r="FT392" s="15">
        <f t="shared" si="349"/>
        <v>0.45999999999999996</v>
      </c>
      <c r="FU392" s="15">
        <f t="shared" si="350"/>
        <v>9.0257301083254582E-2</v>
      </c>
      <c r="FV392" s="15">
        <f>((FR392*FR392)/(AR392*FP392*FP392)+(FO392*FO392)/(AR392*FM392*FM392))</f>
        <v>0.02</v>
      </c>
      <c r="HE392" s="15">
        <v>1830</v>
      </c>
      <c r="HF392" s="15">
        <v>183.00000000000003</v>
      </c>
      <c r="HG392" s="15">
        <f>HF392*SQRT(AR179)</f>
        <v>316.96529778510455</v>
      </c>
      <c r="HH392" s="15">
        <v>2240</v>
      </c>
      <c r="HI392" s="15">
        <v>224.00000000000003</v>
      </c>
      <c r="HJ392" s="15">
        <f>HI392*SQRT(AR179)</f>
        <v>387.97938089542856</v>
      </c>
      <c r="HK392" s="15">
        <f t="shared" si="368"/>
        <v>1.2240437158469946</v>
      </c>
      <c r="HL392" s="15">
        <f t="shared" si="369"/>
        <v>410</v>
      </c>
      <c r="HM392" s="15">
        <f t="shared" si="370"/>
        <v>0.20215989901361908</v>
      </c>
      <c r="HN392" s="15">
        <f>((HJ392*HJ392)/(AR179*HH392*HH392)+(HG392*HG392)/(AR179*HE392*HE392))</f>
        <v>2.0000000000000004E-2</v>
      </c>
      <c r="HP392" s="15" t="s">
        <v>766</v>
      </c>
      <c r="HV392" s="15">
        <f t="shared" si="371"/>
        <v>90.151410289199944</v>
      </c>
      <c r="HW392" s="15">
        <f t="shared" si="372"/>
        <v>0.20215989901361908</v>
      </c>
      <c r="HX392" s="15">
        <f>BB392</f>
        <v>1822.5</v>
      </c>
      <c r="HY392" s="15">
        <f>AZ392</f>
        <v>3037.5</v>
      </c>
      <c r="HZ392" s="15">
        <f>BA392</f>
        <v>1.0366894197952217</v>
      </c>
      <c r="IA392" s="15">
        <f>BB392</f>
        <v>1822.5</v>
      </c>
    </row>
    <row r="393" spans="1:235" s="15" customFormat="1" x14ac:dyDescent="0.25">
      <c r="A393" s="31">
        <v>391</v>
      </c>
      <c r="B393" s="1">
        <v>71</v>
      </c>
      <c r="C393" s="1">
        <v>76</v>
      </c>
      <c r="D393" s="63" t="s">
        <v>352</v>
      </c>
      <c r="E393" s="1">
        <v>1</v>
      </c>
      <c r="F393" s="15" t="s">
        <v>761</v>
      </c>
      <c r="G393" s="15" t="s">
        <v>1217</v>
      </c>
      <c r="H393" s="15" t="s">
        <v>904</v>
      </c>
      <c r="I393" s="1">
        <v>2006</v>
      </c>
      <c r="J393" s="15" t="s">
        <v>801</v>
      </c>
      <c r="K393" s="1" t="s">
        <v>1218</v>
      </c>
      <c r="L393" s="15" t="s">
        <v>819</v>
      </c>
      <c r="M393" s="15" t="s">
        <v>480</v>
      </c>
      <c r="N393" s="15" t="s">
        <v>23</v>
      </c>
      <c r="O393" s="31">
        <v>2</v>
      </c>
      <c r="P393" s="15">
        <v>31.06</v>
      </c>
      <c r="Q393" s="15">
        <v>119.11</v>
      </c>
      <c r="U393" s="15" t="s">
        <v>549</v>
      </c>
      <c r="V393" s="31">
        <v>1</v>
      </c>
      <c r="W393" s="16" t="s">
        <v>1219</v>
      </c>
      <c r="X393" s="15" t="s">
        <v>1195</v>
      </c>
      <c r="Y393" s="1">
        <v>5</v>
      </c>
      <c r="Z393" s="15">
        <v>4.8</v>
      </c>
      <c r="AA393" s="15" t="s">
        <v>574</v>
      </c>
      <c r="AB393" s="15">
        <f t="shared" si="351"/>
        <v>4.8</v>
      </c>
      <c r="AC393" s="1">
        <v>2</v>
      </c>
      <c r="AD393" s="15">
        <v>18.3</v>
      </c>
      <c r="AM393" s="1"/>
      <c r="AP393" s="15" t="s">
        <v>1220</v>
      </c>
      <c r="AQ393" s="1">
        <v>2</v>
      </c>
      <c r="AR393" s="1">
        <v>3</v>
      </c>
      <c r="AT393" s="15" t="s">
        <v>993</v>
      </c>
      <c r="AW393" s="15">
        <v>750</v>
      </c>
      <c r="AX393" s="15">
        <f>AW393*1.09</f>
        <v>817.50000000000011</v>
      </c>
      <c r="AY393" s="15" t="s">
        <v>766</v>
      </c>
      <c r="AZ393" s="15">
        <f t="shared" si="336"/>
        <v>817.50000000000011</v>
      </c>
      <c r="BA393" s="15">
        <f t="shared" si="337"/>
        <v>0.27901023890784982</v>
      </c>
      <c r="BB393" s="15">
        <f t="shared" si="338"/>
        <v>490.50000000000006</v>
      </c>
      <c r="BP393" s="16"/>
      <c r="BQ393" s="16"/>
      <c r="BR393" s="16"/>
      <c r="BU393" s="16"/>
      <c r="EZ393" s="16"/>
      <c r="FA393" s="16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>
        <f t="shared" si="352"/>
        <v>4.87</v>
      </c>
      <c r="FL393" s="16">
        <f t="shared" si="353"/>
        <v>4.9400000000000004</v>
      </c>
      <c r="FM393" s="15">
        <v>4.87</v>
      </c>
      <c r="FN393" s="15">
        <f t="shared" si="373"/>
        <v>0.48700000000000004</v>
      </c>
      <c r="FO393" s="15">
        <f>FN393*SQRT(AR393)</f>
        <v>0.84350874328604331</v>
      </c>
      <c r="FP393" s="15">
        <v>4.9400000000000004</v>
      </c>
      <c r="FQ393" s="15">
        <f t="shared" si="374"/>
        <v>0.49400000000000005</v>
      </c>
      <c r="FR393" s="15">
        <f>FQ393*SQRT(AR393)</f>
        <v>0.85563309893902539</v>
      </c>
      <c r="FS393" s="15">
        <f t="shared" si="348"/>
        <v>1.0143737166324436</v>
      </c>
      <c r="FT393" s="15">
        <f t="shared" si="349"/>
        <v>7.0000000000000284E-2</v>
      </c>
      <c r="FU393" s="15">
        <f t="shared" si="350"/>
        <v>1.4271394105332735E-2</v>
      </c>
      <c r="FV393" s="15">
        <f>((FR393*FR393)/(AR393*FP393*FP393)+(FO393*FO393)/(AR393*FM393*FM393))</f>
        <v>0.02</v>
      </c>
      <c r="HE393" s="15">
        <v>1830</v>
      </c>
      <c r="HF393" s="15">
        <v>183.00000000000003</v>
      </c>
      <c r="HG393" s="15">
        <f>HF393*SQRT(AR180)</f>
        <v>316.96529778510455</v>
      </c>
      <c r="HH393" s="15">
        <v>1740</v>
      </c>
      <c r="HI393" s="15">
        <v>174.00000000000003</v>
      </c>
      <c r="HJ393" s="15">
        <f>HI393*SQRT(AR180)</f>
        <v>301.37684051698466</v>
      </c>
      <c r="HK393" s="15">
        <f t="shared" si="368"/>
        <v>0.95081967213114749</v>
      </c>
      <c r="HL393" s="15">
        <f t="shared" si="369"/>
        <v>-90</v>
      </c>
      <c r="HM393" s="15">
        <f t="shared" si="370"/>
        <v>-5.043085362689137E-2</v>
      </c>
      <c r="HN393" s="15">
        <f>((HJ393*HJ393)/(AR180*HH393*HH393)+(HG393*HG393)/(AR180*HE393*HE393))</f>
        <v>0.02</v>
      </c>
      <c r="HP393" s="15" t="s">
        <v>766</v>
      </c>
      <c r="HV393" s="15">
        <f t="shared" si="371"/>
        <v>-97.26188726229482</v>
      </c>
      <c r="HW393" s="15">
        <f t="shared" si="372"/>
        <v>-5.043085362689137E-2</v>
      </c>
      <c r="HX393" s="15">
        <f>BB393</f>
        <v>490.50000000000006</v>
      </c>
      <c r="HY393" s="15">
        <f>AZ393</f>
        <v>817.50000000000011</v>
      </c>
      <c r="HZ393" s="15">
        <f>BA393</f>
        <v>0.27901023890784982</v>
      </c>
      <c r="IA393" s="15">
        <f>BB393</f>
        <v>490.50000000000006</v>
      </c>
    </row>
    <row r="394" spans="1:235" s="15" customFormat="1" x14ac:dyDescent="0.25">
      <c r="A394" s="31">
        <v>392</v>
      </c>
      <c r="B394" s="1">
        <v>71</v>
      </c>
      <c r="C394" s="1">
        <v>76</v>
      </c>
      <c r="D394" s="63" t="s">
        <v>353</v>
      </c>
      <c r="E394" s="1">
        <v>1</v>
      </c>
      <c r="F394" s="15" t="s">
        <v>761</v>
      </c>
      <c r="G394" s="15" t="s">
        <v>1217</v>
      </c>
      <c r="H394" s="15" t="s">
        <v>904</v>
      </c>
      <c r="I394" s="1">
        <v>2006</v>
      </c>
      <c r="J394" s="15" t="s">
        <v>801</v>
      </c>
      <c r="K394" s="1" t="s">
        <v>1218</v>
      </c>
      <c r="L394" s="15" t="s">
        <v>819</v>
      </c>
      <c r="M394" s="15" t="s">
        <v>480</v>
      </c>
      <c r="N394" s="15" t="s">
        <v>23</v>
      </c>
      <c r="O394" s="31">
        <v>2</v>
      </c>
      <c r="P394" s="15">
        <v>31.06</v>
      </c>
      <c r="Q394" s="15">
        <v>119.11</v>
      </c>
      <c r="U394" s="15" t="s">
        <v>549</v>
      </c>
      <c r="V394" s="31">
        <v>1</v>
      </c>
      <c r="W394" s="16" t="s">
        <v>1219</v>
      </c>
      <c r="X394" s="15" t="s">
        <v>1195</v>
      </c>
      <c r="Y394" s="1">
        <v>5</v>
      </c>
      <c r="Z394" s="15">
        <v>4.8</v>
      </c>
      <c r="AA394" s="15" t="s">
        <v>574</v>
      </c>
      <c r="AB394" s="15">
        <f t="shared" si="351"/>
        <v>4.8</v>
      </c>
      <c r="AC394" s="1">
        <v>2</v>
      </c>
      <c r="AD394" s="15">
        <v>18.3</v>
      </c>
      <c r="AM394" s="1"/>
      <c r="AP394" s="15" t="s">
        <v>1220</v>
      </c>
      <c r="AQ394" s="1">
        <v>2</v>
      </c>
      <c r="AR394" s="1">
        <v>3</v>
      </c>
      <c r="AT394" s="15" t="s">
        <v>993</v>
      </c>
      <c r="AW394" s="15">
        <v>1500</v>
      </c>
      <c r="AX394" s="15">
        <f>AW394*1.09</f>
        <v>1635.0000000000002</v>
      </c>
      <c r="AY394" s="15" t="s">
        <v>766</v>
      </c>
      <c r="AZ394" s="15">
        <f t="shared" si="336"/>
        <v>1635.0000000000002</v>
      </c>
      <c r="BA394" s="15">
        <f t="shared" si="337"/>
        <v>0.55802047781569963</v>
      </c>
      <c r="BB394" s="15">
        <f t="shared" si="338"/>
        <v>981.00000000000011</v>
      </c>
      <c r="BP394" s="16"/>
      <c r="BQ394" s="16"/>
      <c r="BR394" s="16"/>
      <c r="BU394" s="16"/>
      <c r="EZ394" s="16"/>
      <c r="FA394" s="16"/>
      <c r="FB394" s="16"/>
      <c r="FC394" s="16"/>
      <c r="FD394" s="16"/>
      <c r="FE394" s="16"/>
      <c r="FF394" s="16"/>
      <c r="FG394" s="16"/>
      <c r="FH394" s="16"/>
      <c r="FI394" s="16"/>
      <c r="FJ394" s="16"/>
      <c r="FK394" s="16">
        <f t="shared" si="352"/>
        <v>4.87</v>
      </c>
      <c r="FL394" s="16">
        <f t="shared" si="353"/>
        <v>4.92</v>
      </c>
      <c r="FM394" s="15">
        <v>4.87</v>
      </c>
      <c r="FN394" s="15">
        <f t="shared" si="373"/>
        <v>0.48700000000000004</v>
      </c>
      <c r="FO394" s="15">
        <f>FN394*SQRT(AR394)</f>
        <v>0.84350874328604331</v>
      </c>
      <c r="FP394" s="15">
        <v>4.92</v>
      </c>
      <c r="FQ394" s="15">
        <f t="shared" si="374"/>
        <v>0.49199999999999999</v>
      </c>
      <c r="FR394" s="15">
        <f>FQ394*SQRT(AR394)</f>
        <v>0.85216899732388751</v>
      </c>
      <c r="FS394" s="15">
        <f t="shared" si="348"/>
        <v>1.0102669404517453</v>
      </c>
      <c r="FT394" s="15">
        <f t="shared" si="349"/>
        <v>4.9999999999999822E-2</v>
      </c>
      <c r="FU394" s="15">
        <f t="shared" si="350"/>
        <v>1.0214593409718198E-2</v>
      </c>
      <c r="FV394" s="15">
        <f>((FR394*FR394)/(AR394*FP394*FP394)+(FO394*FO394)/(AR394*FM394*FM394))</f>
        <v>0.02</v>
      </c>
      <c r="HE394" s="15">
        <v>1830</v>
      </c>
      <c r="HF394" s="15">
        <v>183.00000000000003</v>
      </c>
      <c r="HG394" s="15">
        <f>HF394*SQRT(AR181)</f>
        <v>316.96529778510455</v>
      </c>
      <c r="HH394" s="15">
        <v>2250</v>
      </c>
      <c r="HI394" s="15">
        <v>225</v>
      </c>
      <c r="HJ394" s="15">
        <f>HI394*SQRT(AR181)</f>
        <v>389.71143170299734</v>
      </c>
      <c r="HK394" s="15">
        <f t="shared" si="368"/>
        <v>1.2295081967213115</v>
      </c>
      <c r="HL394" s="15">
        <f t="shared" si="369"/>
        <v>420</v>
      </c>
      <c r="HM394" s="15">
        <f t="shared" si="370"/>
        <v>0.20661424936299966</v>
      </c>
      <c r="HN394" s="15">
        <f>((HJ394*HJ394)/(AR181*HH394*HH394)+(HG394*HG394)/(AR181*HE394*HE394))</f>
        <v>1.9999999999999997E-2</v>
      </c>
      <c r="HP394" s="15" t="s">
        <v>766</v>
      </c>
      <c r="HV394" s="15">
        <f t="shared" si="371"/>
        <v>47.47978433358125</v>
      </c>
      <c r="HW394" s="15">
        <f t="shared" si="372"/>
        <v>0.20661424936299966</v>
      </c>
      <c r="HX394" s="15">
        <f>BB394</f>
        <v>981.00000000000011</v>
      </c>
      <c r="HY394" s="15">
        <f>AZ394</f>
        <v>1635.0000000000002</v>
      </c>
      <c r="HZ394" s="15">
        <f>BA394</f>
        <v>0.55802047781569963</v>
      </c>
      <c r="IA394" s="15">
        <f>BB394</f>
        <v>981.00000000000011</v>
      </c>
    </row>
    <row r="395" spans="1:235" s="15" customFormat="1" x14ac:dyDescent="0.25">
      <c r="A395" s="31">
        <v>393</v>
      </c>
      <c r="B395" s="1">
        <v>71</v>
      </c>
      <c r="C395" s="1">
        <v>76</v>
      </c>
      <c r="D395" s="63" t="s">
        <v>354</v>
      </c>
      <c r="E395" s="1">
        <v>1</v>
      </c>
      <c r="F395" s="15" t="s">
        <v>761</v>
      </c>
      <c r="G395" s="15" t="s">
        <v>1217</v>
      </c>
      <c r="H395" s="15" t="s">
        <v>904</v>
      </c>
      <c r="I395" s="1">
        <v>2006</v>
      </c>
      <c r="J395" s="15" t="s">
        <v>801</v>
      </c>
      <c r="K395" s="1" t="s">
        <v>1218</v>
      </c>
      <c r="L395" s="15" t="s">
        <v>819</v>
      </c>
      <c r="M395" s="15" t="s">
        <v>480</v>
      </c>
      <c r="N395" s="15" t="s">
        <v>23</v>
      </c>
      <c r="O395" s="31">
        <v>2</v>
      </c>
      <c r="P395" s="15">
        <v>31.06</v>
      </c>
      <c r="Q395" s="15">
        <v>119.11</v>
      </c>
      <c r="U395" s="15" t="s">
        <v>549</v>
      </c>
      <c r="V395" s="31">
        <v>1</v>
      </c>
      <c r="W395" s="16" t="s">
        <v>1219</v>
      </c>
      <c r="X395" s="15" t="s">
        <v>1195</v>
      </c>
      <c r="Y395" s="1">
        <v>5</v>
      </c>
      <c r="Z395" s="15">
        <v>4.8</v>
      </c>
      <c r="AA395" s="15" t="s">
        <v>574</v>
      </c>
      <c r="AB395" s="15">
        <f t="shared" si="351"/>
        <v>4.8</v>
      </c>
      <c r="AC395" s="1">
        <v>2</v>
      </c>
      <c r="AD395" s="15">
        <v>18.3</v>
      </c>
      <c r="AM395" s="1"/>
      <c r="AP395" s="15" t="s">
        <v>1220</v>
      </c>
      <c r="AQ395" s="1">
        <v>2</v>
      </c>
      <c r="AR395" s="1">
        <v>3</v>
      </c>
      <c r="AT395" s="15" t="s">
        <v>993</v>
      </c>
      <c r="AW395" s="15">
        <v>2250</v>
      </c>
      <c r="AX395" s="15">
        <f>AW395*1.09</f>
        <v>2452.5</v>
      </c>
      <c r="AY395" s="15" t="s">
        <v>766</v>
      </c>
      <c r="AZ395" s="15">
        <f t="shared" si="336"/>
        <v>2452.5</v>
      </c>
      <c r="BA395" s="15">
        <f t="shared" si="337"/>
        <v>0.83703071672354945</v>
      </c>
      <c r="BB395" s="15">
        <f t="shared" si="338"/>
        <v>1471.5</v>
      </c>
      <c r="BP395" s="16"/>
      <c r="BQ395" s="16"/>
      <c r="BR395" s="16"/>
      <c r="BU395" s="16"/>
      <c r="EZ395" s="16"/>
      <c r="FA395" s="16"/>
      <c r="FB395" s="16"/>
      <c r="FC395" s="16"/>
      <c r="FD395" s="16"/>
      <c r="FE395" s="16"/>
      <c r="FF395" s="16"/>
      <c r="FG395" s="16"/>
      <c r="FH395" s="16"/>
      <c r="FI395" s="16"/>
      <c r="FJ395" s="16"/>
      <c r="FK395" s="16">
        <f t="shared" si="352"/>
        <v>4.87</v>
      </c>
      <c r="FL395" s="16">
        <f t="shared" si="353"/>
        <v>4.96</v>
      </c>
      <c r="FM395" s="15">
        <v>4.87</v>
      </c>
      <c r="FN395" s="15">
        <f t="shared" si="373"/>
        <v>0.48700000000000004</v>
      </c>
      <c r="FO395" s="15">
        <f>FN395*SQRT(AR395)</f>
        <v>0.84350874328604331</v>
      </c>
      <c r="FP395" s="15">
        <v>4.96</v>
      </c>
      <c r="FQ395" s="15">
        <f t="shared" si="374"/>
        <v>0.496</v>
      </c>
      <c r="FR395" s="15">
        <f>FQ395*SQRT(AR395)</f>
        <v>0.85909720055416305</v>
      </c>
      <c r="FS395" s="15">
        <f t="shared" si="348"/>
        <v>1.0184804928131417</v>
      </c>
      <c r="FT395" s="15">
        <f t="shared" si="349"/>
        <v>8.9999999999999858E-2</v>
      </c>
      <c r="FU395" s="15">
        <f t="shared" si="350"/>
        <v>1.8311803642337532E-2</v>
      </c>
      <c r="FV395" s="15">
        <f>((FR395*FR395)/(AR395*FP395*FP395)+(FO395*FO395)/(AR395*FM395*FM395))</f>
        <v>1.9999999999999997E-2</v>
      </c>
      <c r="HE395" s="15">
        <v>1830</v>
      </c>
      <c r="HF395" s="15">
        <v>183.00000000000003</v>
      </c>
      <c r="HG395" s="15">
        <f>HF395*SQRT(AR182)</f>
        <v>316.96529778510455</v>
      </c>
      <c r="HH395" s="15">
        <v>2320</v>
      </c>
      <c r="HI395" s="15">
        <v>231.99999999999997</v>
      </c>
      <c r="HJ395" s="15">
        <f>HI395*SQRT(AR182)</f>
        <v>401.83578735597945</v>
      </c>
      <c r="HK395" s="15">
        <f t="shared" si="368"/>
        <v>1.2677595628415301</v>
      </c>
      <c r="HL395" s="15">
        <f t="shared" si="369"/>
        <v>490</v>
      </c>
      <c r="HM395" s="15">
        <f t="shared" si="370"/>
        <v>0.23725121882488942</v>
      </c>
      <c r="HN395" s="15">
        <f>((HJ395*HJ395)/(AR182*HH395*HH395)+(HG395*HG395)/(AR182*HE395*HE395))</f>
        <v>1.9999999999999997E-2</v>
      </c>
      <c r="HP395" s="15" t="s">
        <v>766</v>
      </c>
      <c r="HV395" s="15">
        <f t="shared" si="371"/>
        <v>62.022863666975972</v>
      </c>
      <c r="HW395" s="15">
        <f t="shared" si="372"/>
        <v>0.23725121882488942</v>
      </c>
      <c r="HX395" s="15">
        <f>BB395</f>
        <v>1471.5</v>
      </c>
      <c r="HY395" s="15">
        <f>AZ395</f>
        <v>2452.5</v>
      </c>
      <c r="HZ395" s="15">
        <f>BA395</f>
        <v>0.83703071672354945</v>
      </c>
      <c r="IA395" s="15">
        <f>BB395</f>
        <v>1471.5</v>
      </c>
    </row>
    <row r="396" spans="1:235" s="15" customFormat="1" x14ac:dyDescent="0.25">
      <c r="A396" s="31">
        <v>394</v>
      </c>
      <c r="B396" s="1">
        <v>71</v>
      </c>
      <c r="C396" s="1">
        <v>76</v>
      </c>
      <c r="D396" s="63" t="s">
        <v>355</v>
      </c>
      <c r="E396" s="1">
        <v>1</v>
      </c>
      <c r="F396" s="15" t="s">
        <v>761</v>
      </c>
      <c r="G396" s="15" t="s">
        <v>1217</v>
      </c>
      <c r="H396" s="15" t="s">
        <v>904</v>
      </c>
      <c r="I396" s="1">
        <v>2006</v>
      </c>
      <c r="J396" s="15" t="s">
        <v>801</v>
      </c>
      <c r="K396" s="1" t="s">
        <v>1218</v>
      </c>
      <c r="L396" s="15" t="s">
        <v>819</v>
      </c>
      <c r="M396" s="15" t="s">
        <v>480</v>
      </c>
      <c r="N396" s="15" t="s">
        <v>23</v>
      </c>
      <c r="O396" s="31">
        <v>2</v>
      </c>
      <c r="P396" s="15">
        <v>31.06</v>
      </c>
      <c r="Q396" s="15">
        <v>119.11</v>
      </c>
      <c r="U396" s="15" t="s">
        <v>549</v>
      </c>
      <c r="V396" s="31">
        <v>1</v>
      </c>
      <c r="W396" s="16" t="s">
        <v>1219</v>
      </c>
      <c r="X396" s="15" t="s">
        <v>1195</v>
      </c>
      <c r="Y396" s="1">
        <v>5</v>
      </c>
      <c r="Z396" s="15">
        <v>4.8</v>
      </c>
      <c r="AA396" s="15" t="s">
        <v>574</v>
      </c>
      <c r="AB396" s="15">
        <f t="shared" si="351"/>
        <v>4.8</v>
      </c>
      <c r="AC396" s="1">
        <v>2</v>
      </c>
      <c r="AD396" s="15">
        <v>18.3</v>
      </c>
      <c r="AM396" s="1"/>
      <c r="AP396" s="15" t="s">
        <v>1220</v>
      </c>
      <c r="AQ396" s="1">
        <v>2</v>
      </c>
      <c r="AR396" s="1">
        <v>3</v>
      </c>
      <c r="AT396" s="15" t="s">
        <v>993</v>
      </c>
      <c r="AW396" s="15">
        <v>3000</v>
      </c>
      <c r="AX396" s="15">
        <f>AW396*1.09</f>
        <v>3270.0000000000005</v>
      </c>
      <c r="AY396" s="15" t="s">
        <v>766</v>
      </c>
      <c r="AZ396" s="15">
        <f t="shared" si="336"/>
        <v>3270.0000000000005</v>
      </c>
      <c r="BA396" s="15">
        <f t="shared" si="337"/>
        <v>1.1160409556313993</v>
      </c>
      <c r="BB396" s="15">
        <f t="shared" si="338"/>
        <v>1962.0000000000002</v>
      </c>
      <c r="BP396" s="16"/>
      <c r="BQ396" s="16"/>
      <c r="BR396" s="16"/>
      <c r="BU396" s="16"/>
      <c r="EZ396" s="16"/>
      <c r="FA396" s="16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>
        <f t="shared" si="352"/>
        <v>4.87</v>
      </c>
      <c r="FL396" s="16">
        <f t="shared" si="353"/>
        <v>4.97</v>
      </c>
      <c r="FM396" s="15">
        <v>4.87</v>
      </c>
      <c r="FN396" s="15">
        <f t="shared" si="373"/>
        <v>0.48700000000000004</v>
      </c>
      <c r="FO396" s="15">
        <f>FN396*SQRT(AR396)</f>
        <v>0.84350874328604331</v>
      </c>
      <c r="FP396" s="15">
        <v>4.97</v>
      </c>
      <c r="FQ396" s="15">
        <f t="shared" si="374"/>
        <v>0.497</v>
      </c>
      <c r="FR396" s="15">
        <f>FQ396*SQRT(AR396)</f>
        <v>0.86082925136173194</v>
      </c>
      <c r="FS396" s="15">
        <f t="shared" si="348"/>
        <v>1.0205338809034907</v>
      </c>
      <c r="FT396" s="15">
        <f t="shared" si="349"/>
        <v>9.9999999999999645E-2</v>
      </c>
      <c r="FU396" s="15">
        <f t="shared" si="350"/>
        <v>2.0325903014038804E-2</v>
      </c>
      <c r="FV396" s="15">
        <f>((FR396*FR396)/(AR396*FP396*FP396)+(FO396*FO396)/(AR396*FM396*FM396))</f>
        <v>0.02</v>
      </c>
      <c r="HE396" s="15">
        <v>1830</v>
      </c>
      <c r="HF396" s="15">
        <v>183.00000000000003</v>
      </c>
      <c r="HG396" s="15">
        <f>HF396*SQRT(AR183)</f>
        <v>316.96529778510455</v>
      </c>
      <c r="HH396" s="15">
        <v>2240</v>
      </c>
      <c r="HI396" s="15">
        <v>224.00000000000003</v>
      </c>
      <c r="HJ396" s="15">
        <f>HI396*SQRT(AR183)</f>
        <v>387.97938089542856</v>
      </c>
      <c r="HK396" s="15">
        <f t="shared" si="368"/>
        <v>1.2240437158469946</v>
      </c>
      <c r="HL396" s="15">
        <f t="shared" si="369"/>
        <v>410</v>
      </c>
      <c r="HM396" s="15">
        <f t="shared" si="370"/>
        <v>0.20215989901361908</v>
      </c>
      <c r="HN396" s="15">
        <f>((HJ396*HJ396)/(AR183*HH396*HH396)+(HG396*HG396)/(AR183*HE396*HE396))</f>
        <v>2.0000000000000004E-2</v>
      </c>
      <c r="HP396" s="15" t="s">
        <v>766</v>
      </c>
      <c r="HV396" s="15">
        <f t="shared" si="371"/>
        <v>97.051888607632534</v>
      </c>
      <c r="HW396" s="15">
        <f t="shared" si="372"/>
        <v>0.20215989901361908</v>
      </c>
      <c r="HX396" s="15">
        <f>BB396</f>
        <v>1962.0000000000002</v>
      </c>
      <c r="HY396" s="15">
        <f>AZ396</f>
        <v>3270.0000000000005</v>
      </c>
      <c r="HZ396" s="15">
        <f>BA396</f>
        <v>1.1160409556313993</v>
      </c>
      <c r="IA396" s="15">
        <f>BB396</f>
        <v>1962.0000000000002</v>
      </c>
    </row>
    <row r="397" spans="1:235" s="15" customFormat="1" x14ac:dyDescent="0.25">
      <c r="A397" s="31">
        <v>395</v>
      </c>
      <c r="B397" s="1">
        <v>71</v>
      </c>
      <c r="C397" s="1">
        <v>76</v>
      </c>
      <c r="D397" s="63" t="s">
        <v>356</v>
      </c>
      <c r="E397" s="1">
        <v>1</v>
      </c>
      <c r="F397" s="15" t="s">
        <v>761</v>
      </c>
      <c r="G397" s="15" t="s">
        <v>1217</v>
      </c>
      <c r="H397" s="15" t="s">
        <v>904</v>
      </c>
      <c r="I397" s="1">
        <v>2006</v>
      </c>
      <c r="J397" s="15" t="s">
        <v>801</v>
      </c>
      <c r="K397" s="1" t="s">
        <v>1218</v>
      </c>
      <c r="L397" s="15" t="s">
        <v>819</v>
      </c>
      <c r="M397" s="15" t="s">
        <v>480</v>
      </c>
      <c r="N397" s="15" t="s">
        <v>23</v>
      </c>
      <c r="O397" s="31">
        <v>2</v>
      </c>
      <c r="P397" s="15">
        <v>31.06</v>
      </c>
      <c r="Q397" s="15">
        <v>119.11</v>
      </c>
      <c r="U397" s="15" t="s">
        <v>549</v>
      </c>
      <c r="V397" s="31">
        <v>1</v>
      </c>
      <c r="W397" s="16" t="s">
        <v>1219</v>
      </c>
      <c r="X397" s="15" t="s">
        <v>1195</v>
      </c>
      <c r="Y397" s="1">
        <v>5</v>
      </c>
      <c r="Z397" s="15">
        <v>4.8</v>
      </c>
      <c r="AA397" s="15" t="s">
        <v>574</v>
      </c>
      <c r="AB397" s="15">
        <f t="shared" si="351"/>
        <v>4.8</v>
      </c>
      <c r="AC397" s="1">
        <v>2</v>
      </c>
      <c r="AD397" s="15">
        <v>18.3</v>
      </c>
      <c r="AM397" s="1"/>
      <c r="AP397" s="15" t="s">
        <v>1220</v>
      </c>
      <c r="AQ397" s="1">
        <v>2</v>
      </c>
      <c r="AR397" s="1">
        <v>3</v>
      </c>
      <c r="AT397" s="63" t="s">
        <v>886</v>
      </c>
      <c r="AW397" s="15">
        <v>750</v>
      </c>
      <c r="AX397" s="15">
        <f t="shared" ref="AX397:AX404" si="375">AW397</f>
        <v>750</v>
      </c>
      <c r="AY397" s="15" t="s">
        <v>766</v>
      </c>
      <c r="AZ397" s="15">
        <f t="shared" si="336"/>
        <v>750</v>
      </c>
      <c r="BA397" s="15">
        <f t="shared" si="337"/>
        <v>0.25597269624573377</v>
      </c>
      <c r="BB397" s="15">
        <f t="shared" si="338"/>
        <v>450</v>
      </c>
      <c r="BP397" s="16"/>
      <c r="BQ397" s="16"/>
      <c r="BR397" s="16"/>
      <c r="BU397" s="16"/>
      <c r="EZ397" s="16"/>
      <c r="FA397" s="16"/>
      <c r="FB397" s="16"/>
      <c r="FC397" s="16"/>
      <c r="FD397" s="16"/>
      <c r="FE397" s="16"/>
      <c r="FF397" s="16"/>
      <c r="FG397" s="16"/>
      <c r="FH397" s="16"/>
      <c r="FI397" s="16"/>
      <c r="FJ397" s="16"/>
      <c r="FK397" s="16">
        <f t="shared" si="352"/>
        <v>4.87</v>
      </c>
      <c r="FL397" s="16">
        <f t="shared" si="353"/>
        <v>4.9000000000000004</v>
      </c>
      <c r="FM397" s="15">
        <v>4.87</v>
      </c>
      <c r="FN397" s="15">
        <f t="shared" si="373"/>
        <v>0.48700000000000004</v>
      </c>
      <c r="FO397" s="15">
        <f>FN397*SQRT(AR397)</f>
        <v>0.84350874328604331</v>
      </c>
      <c r="FP397" s="15">
        <v>4.9000000000000004</v>
      </c>
      <c r="FQ397" s="15">
        <f t="shared" si="374"/>
        <v>0.49000000000000005</v>
      </c>
      <c r="FR397" s="15">
        <f>FQ397*SQRT(AR397)</f>
        <v>0.84870489570874985</v>
      </c>
      <c r="FS397" s="15">
        <f t="shared" si="348"/>
        <v>1.0061601642710474</v>
      </c>
      <c r="FT397" s="15">
        <f t="shared" si="349"/>
        <v>3.0000000000000249E-2</v>
      </c>
      <c r="FU397" s="15">
        <f t="shared" si="350"/>
        <v>6.14126802208248E-3</v>
      </c>
      <c r="FV397" s="15">
        <f>((FR397*FR397)/(AR397*FP397*FP397)+(FO397*FO397)/(AR397*FM397*FM397))</f>
        <v>1.9999999999999997E-2</v>
      </c>
      <c r="HE397" s="15">
        <v>1830</v>
      </c>
      <c r="HF397" s="15">
        <v>183.00000000000003</v>
      </c>
      <c r="HG397" s="15">
        <f>HF397*SQRT(AR184)</f>
        <v>316.96529778510455</v>
      </c>
      <c r="HH397" s="15">
        <v>2360</v>
      </c>
      <c r="HI397" s="15">
        <v>236</v>
      </c>
      <c r="HJ397" s="15">
        <f>HI397*SQRT(AR184)</f>
        <v>408.76399058625503</v>
      </c>
      <c r="HK397" s="15">
        <f t="shared" si="368"/>
        <v>1.2896174863387979</v>
      </c>
      <c r="HL397" s="15">
        <f t="shared" si="369"/>
        <v>530</v>
      </c>
      <c r="HM397" s="15">
        <f t="shared" si="370"/>
        <v>0.25434565218418914</v>
      </c>
      <c r="HN397" s="15">
        <f>((HJ397*HJ397)/(AR184*HH397*HH397)+(HG397*HG397)/(AR184*HE397*HE397))</f>
        <v>0.02</v>
      </c>
      <c r="HP397" s="15" t="s">
        <v>766</v>
      </c>
      <c r="HV397" s="15">
        <f t="shared" si="371"/>
        <v>17.6924589091904</v>
      </c>
      <c r="HW397" s="15">
        <f t="shared" si="372"/>
        <v>0.25434565218418914</v>
      </c>
      <c r="HX397" s="15">
        <f>BB397</f>
        <v>450</v>
      </c>
      <c r="HY397" s="15">
        <f>AZ397</f>
        <v>750</v>
      </c>
      <c r="HZ397" s="15">
        <f>BA397</f>
        <v>0.25597269624573377</v>
      </c>
      <c r="IA397" s="15">
        <f>BB397</f>
        <v>450</v>
      </c>
    </row>
    <row r="398" spans="1:235" s="15" customFormat="1" x14ac:dyDescent="0.25">
      <c r="A398" s="31">
        <v>396</v>
      </c>
      <c r="B398" s="1">
        <v>71</v>
      </c>
      <c r="C398" s="1">
        <v>76</v>
      </c>
      <c r="D398" s="63" t="s">
        <v>357</v>
      </c>
      <c r="E398" s="1">
        <v>1</v>
      </c>
      <c r="F398" s="15" t="s">
        <v>761</v>
      </c>
      <c r="G398" s="15" t="s">
        <v>1217</v>
      </c>
      <c r="H398" s="15" t="s">
        <v>904</v>
      </c>
      <c r="I398" s="1">
        <v>2006</v>
      </c>
      <c r="J398" s="15" t="s">
        <v>801</v>
      </c>
      <c r="K398" s="1" t="s">
        <v>1218</v>
      </c>
      <c r="L398" s="15" t="s">
        <v>819</v>
      </c>
      <c r="M398" s="15" t="s">
        <v>480</v>
      </c>
      <c r="N398" s="15" t="s">
        <v>23</v>
      </c>
      <c r="O398" s="31">
        <v>2</v>
      </c>
      <c r="P398" s="15">
        <v>31.06</v>
      </c>
      <c r="Q398" s="15">
        <v>119.11</v>
      </c>
      <c r="U398" s="15" t="s">
        <v>549</v>
      </c>
      <c r="V398" s="31">
        <v>1</v>
      </c>
      <c r="W398" s="16" t="s">
        <v>1219</v>
      </c>
      <c r="X398" s="15" t="s">
        <v>1195</v>
      </c>
      <c r="Y398" s="1">
        <v>5</v>
      </c>
      <c r="Z398" s="15">
        <v>4.8</v>
      </c>
      <c r="AA398" s="15" t="s">
        <v>574</v>
      </c>
      <c r="AB398" s="15">
        <f t="shared" si="351"/>
        <v>4.8</v>
      </c>
      <c r="AC398" s="1">
        <v>2</v>
      </c>
      <c r="AD398" s="15">
        <v>18.3</v>
      </c>
      <c r="AM398" s="1"/>
      <c r="AP398" s="15" t="s">
        <v>1220</v>
      </c>
      <c r="AQ398" s="1">
        <v>2</v>
      </c>
      <c r="AR398" s="1">
        <v>3</v>
      </c>
      <c r="AT398" s="63" t="s">
        <v>886</v>
      </c>
      <c r="AW398" s="15">
        <v>1500</v>
      </c>
      <c r="AX398" s="15">
        <f t="shared" si="375"/>
        <v>1500</v>
      </c>
      <c r="AY398" s="15" t="s">
        <v>766</v>
      </c>
      <c r="AZ398" s="15">
        <f t="shared" si="336"/>
        <v>1500</v>
      </c>
      <c r="BA398" s="15">
        <f t="shared" si="337"/>
        <v>0.51194539249146753</v>
      </c>
      <c r="BB398" s="15">
        <f t="shared" si="338"/>
        <v>900</v>
      </c>
      <c r="BP398" s="16"/>
      <c r="BQ398" s="16"/>
      <c r="BR398" s="16"/>
      <c r="BU398" s="16"/>
      <c r="EZ398" s="16"/>
      <c r="FA398" s="16"/>
      <c r="FB398" s="16"/>
      <c r="FC398" s="16"/>
      <c r="FD398" s="16"/>
      <c r="FE398" s="16"/>
      <c r="FF398" s="16"/>
      <c r="FG398" s="16"/>
      <c r="FH398" s="16"/>
      <c r="FI398" s="16"/>
      <c r="FJ398" s="16"/>
      <c r="FK398" s="16">
        <f t="shared" si="352"/>
        <v>4.87</v>
      </c>
      <c r="FL398" s="16">
        <f t="shared" si="353"/>
        <v>5.0599999999999996</v>
      </c>
      <c r="FM398" s="15">
        <v>4.87</v>
      </c>
      <c r="FN398" s="15">
        <f t="shared" si="373"/>
        <v>0.48700000000000004</v>
      </c>
      <c r="FO398" s="15">
        <f>FN398*SQRT(AR398)</f>
        <v>0.84350874328604331</v>
      </c>
      <c r="FP398" s="15">
        <v>5.0599999999999996</v>
      </c>
      <c r="FQ398" s="15">
        <f t="shared" si="374"/>
        <v>0.50600000000000001</v>
      </c>
      <c r="FR398" s="15">
        <f>FQ398*SQRT(AR398)</f>
        <v>0.87641770862985191</v>
      </c>
      <c r="FS398" s="15">
        <f t="shared" si="348"/>
        <v>1.0390143737166324</v>
      </c>
      <c r="FT398" s="15">
        <f t="shared" si="349"/>
        <v>0.1899999999999995</v>
      </c>
      <c r="FU398" s="15">
        <f t="shared" si="350"/>
        <v>3.8272546204875635E-2</v>
      </c>
      <c r="FV398" s="15">
        <f>((FR398*FR398)/(AR398*FP398*FP398)+(FO398*FO398)/(AR398*FM398*FM398))</f>
        <v>2.0000000000000004E-2</v>
      </c>
      <c r="HE398" s="15">
        <v>1830</v>
      </c>
      <c r="HF398" s="15">
        <v>183.00000000000003</v>
      </c>
      <c r="HG398" s="15">
        <f>HF398*SQRT(AR185)</f>
        <v>316.96529778510455</v>
      </c>
      <c r="HH398" s="15">
        <v>2430</v>
      </c>
      <c r="HI398" s="15">
        <v>243.00000000000003</v>
      </c>
      <c r="HJ398" s="15">
        <f>HI398*SQRT(AR185)</f>
        <v>420.88834623923719</v>
      </c>
      <c r="HK398" s="15">
        <f t="shared" si="368"/>
        <v>1.3278688524590163</v>
      </c>
      <c r="HL398" s="15">
        <f t="shared" si="369"/>
        <v>600</v>
      </c>
      <c r="HM398" s="15">
        <f t="shared" si="370"/>
        <v>0.28357529049912777</v>
      </c>
      <c r="HN398" s="15">
        <f>((HJ398*HJ398)/(AR185*HH398*HH398)+(HG398*HG398)/(AR185*HE398*HE398))</f>
        <v>0.02</v>
      </c>
      <c r="HP398" s="15" t="s">
        <v>766</v>
      </c>
      <c r="HV398" s="15">
        <f t="shared" si="371"/>
        <v>31.737603033603108</v>
      </c>
      <c r="HW398" s="15">
        <f t="shared" si="372"/>
        <v>0.28357529049912777</v>
      </c>
      <c r="HX398" s="15">
        <f>BB398</f>
        <v>900</v>
      </c>
      <c r="HY398" s="15">
        <f>AZ398</f>
        <v>1500</v>
      </c>
      <c r="HZ398" s="15">
        <f>BA398</f>
        <v>0.51194539249146753</v>
      </c>
      <c r="IA398" s="15">
        <f>BB398</f>
        <v>900</v>
      </c>
    </row>
    <row r="399" spans="1:235" s="15" customFormat="1" x14ac:dyDescent="0.25">
      <c r="A399" s="31">
        <v>397</v>
      </c>
      <c r="B399" s="1">
        <v>71</v>
      </c>
      <c r="C399" s="1">
        <v>76</v>
      </c>
      <c r="D399" s="63" t="s">
        <v>358</v>
      </c>
      <c r="E399" s="1">
        <v>1</v>
      </c>
      <c r="F399" s="15" t="s">
        <v>761</v>
      </c>
      <c r="G399" s="15" t="s">
        <v>1217</v>
      </c>
      <c r="H399" s="15" t="s">
        <v>904</v>
      </c>
      <c r="I399" s="1">
        <v>2006</v>
      </c>
      <c r="J399" s="15" t="s">
        <v>801</v>
      </c>
      <c r="K399" s="1" t="s">
        <v>1218</v>
      </c>
      <c r="L399" s="15" t="s">
        <v>819</v>
      </c>
      <c r="M399" s="15" t="s">
        <v>480</v>
      </c>
      <c r="N399" s="15" t="s">
        <v>23</v>
      </c>
      <c r="O399" s="31">
        <v>2</v>
      </c>
      <c r="P399" s="15">
        <v>31.06</v>
      </c>
      <c r="Q399" s="15">
        <v>119.11</v>
      </c>
      <c r="U399" s="15" t="s">
        <v>549</v>
      </c>
      <c r="V399" s="31">
        <v>1</v>
      </c>
      <c r="W399" s="16" t="s">
        <v>1219</v>
      </c>
      <c r="X399" s="15" t="s">
        <v>1195</v>
      </c>
      <c r="Y399" s="1">
        <v>5</v>
      </c>
      <c r="Z399" s="15">
        <v>4.8</v>
      </c>
      <c r="AA399" s="15" t="s">
        <v>574</v>
      </c>
      <c r="AB399" s="15">
        <f t="shared" si="351"/>
        <v>4.8</v>
      </c>
      <c r="AC399" s="1">
        <v>2</v>
      </c>
      <c r="AD399" s="15">
        <v>18.3</v>
      </c>
      <c r="AM399" s="1"/>
      <c r="AP399" s="15" t="s">
        <v>1220</v>
      </c>
      <c r="AQ399" s="1">
        <v>2</v>
      </c>
      <c r="AR399" s="1">
        <v>3</v>
      </c>
      <c r="AT399" s="63" t="s">
        <v>886</v>
      </c>
      <c r="AW399" s="15">
        <v>2250</v>
      </c>
      <c r="AX399" s="15">
        <f t="shared" si="375"/>
        <v>2250</v>
      </c>
      <c r="AY399" s="15" t="s">
        <v>766</v>
      </c>
      <c r="AZ399" s="15">
        <f t="shared" si="336"/>
        <v>2250</v>
      </c>
      <c r="BA399" s="15">
        <f t="shared" si="337"/>
        <v>0.76791808873720124</v>
      </c>
      <c r="BB399" s="15">
        <f t="shared" si="338"/>
        <v>1350</v>
      </c>
      <c r="BP399" s="16"/>
      <c r="BQ399" s="16"/>
      <c r="BR399" s="16"/>
      <c r="BU399" s="16"/>
      <c r="EZ399" s="16"/>
      <c r="FA399" s="16"/>
      <c r="FB399" s="16"/>
      <c r="FC399" s="16"/>
      <c r="FD399" s="16"/>
      <c r="FE399" s="16"/>
      <c r="FF399" s="16"/>
      <c r="FG399" s="16"/>
      <c r="FH399" s="16"/>
      <c r="FI399" s="16"/>
      <c r="FJ399" s="16"/>
      <c r="FK399" s="16">
        <f t="shared" si="352"/>
        <v>4.87</v>
      </c>
      <c r="FL399" s="16">
        <f t="shared" si="353"/>
        <v>5.08</v>
      </c>
      <c r="FM399" s="15">
        <v>4.87</v>
      </c>
      <c r="FN399" s="15">
        <f t="shared" si="373"/>
        <v>0.48700000000000004</v>
      </c>
      <c r="FO399" s="15">
        <f>FN399*SQRT(AR399)</f>
        <v>0.84350874328604331</v>
      </c>
      <c r="FP399" s="15">
        <v>5.08</v>
      </c>
      <c r="FQ399" s="15">
        <f t="shared" si="374"/>
        <v>0.50800000000000001</v>
      </c>
      <c r="FR399" s="15">
        <f>FQ399*SQRT(AR399)</f>
        <v>0.87988181024498968</v>
      </c>
      <c r="FS399" s="15">
        <f t="shared" si="348"/>
        <v>1.0431211498973305</v>
      </c>
      <c r="FT399" s="15">
        <f t="shared" si="349"/>
        <v>0.20999999999999996</v>
      </c>
      <c r="FU399" s="15">
        <f t="shared" si="350"/>
        <v>4.2217324495892106E-2</v>
      </c>
      <c r="FV399" s="15">
        <f>((FR399*FR399)/(AR399*FP399*FP399)+(FO399*FO399)/(AR399*FM399*FM399))</f>
        <v>2.0000000000000004E-2</v>
      </c>
      <c r="HE399" s="15">
        <v>1830</v>
      </c>
      <c r="HF399" s="15">
        <v>183.00000000000003</v>
      </c>
      <c r="HG399" s="15">
        <f>HF399*SQRT(AR186)</f>
        <v>316.96529778510455</v>
      </c>
      <c r="HH399" s="15">
        <v>2350</v>
      </c>
      <c r="HI399" s="15">
        <v>235.00000000000003</v>
      </c>
      <c r="HJ399" s="15">
        <f>HI399*SQRT(AR186)</f>
        <v>407.03193977868619</v>
      </c>
      <c r="HK399" s="15">
        <f t="shared" si="368"/>
        <v>1.284153005464481</v>
      </c>
      <c r="HL399" s="15">
        <f t="shared" si="369"/>
        <v>520</v>
      </c>
      <c r="HM399" s="15">
        <f t="shared" si="370"/>
        <v>0.25009936130273847</v>
      </c>
      <c r="HN399" s="15">
        <f>((HJ399*HJ399)/(AR186*HH399*HH399)+(HG399*HG399)/(AR186*HE399*HE399))</f>
        <v>2.0000000000000004E-2</v>
      </c>
      <c r="HP399" s="15" t="s">
        <v>766</v>
      </c>
      <c r="HV399" s="15">
        <f t="shared" si="371"/>
        <v>53.978546485205207</v>
      </c>
      <c r="HW399" s="15">
        <f t="shared" si="372"/>
        <v>0.25009936130273847</v>
      </c>
      <c r="HX399" s="15">
        <f>BB399</f>
        <v>1350</v>
      </c>
      <c r="HY399" s="15">
        <f>AZ399</f>
        <v>2250</v>
      </c>
      <c r="HZ399" s="15">
        <f>BA399</f>
        <v>0.76791808873720124</v>
      </c>
      <c r="IA399" s="15">
        <f>BB399</f>
        <v>1350</v>
      </c>
    </row>
    <row r="400" spans="1:235" s="15" customFormat="1" x14ac:dyDescent="0.25">
      <c r="A400" s="31">
        <v>398</v>
      </c>
      <c r="B400" s="1">
        <v>71</v>
      </c>
      <c r="C400" s="1">
        <v>76</v>
      </c>
      <c r="D400" s="63" t="s">
        <v>359</v>
      </c>
      <c r="E400" s="1">
        <v>1</v>
      </c>
      <c r="F400" s="15" t="s">
        <v>761</v>
      </c>
      <c r="G400" s="15" t="s">
        <v>1217</v>
      </c>
      <c r="H400" s="15" t="s">
        <v>904</v>
      </c>
      <c r="I400" s="1">
        <v>2006</v>
      </c>
      <c r="J400" s="15" t="s">
        <v>801</v>
      </c>
      <c r="K400" s="1" t="s">
        <v>1218</v>
      </c>
      <c r="L400" s="15" t="s">
        <v>819</v>
      </c>
      <c r="M400" s="15" t="s">
        <v>480</v>
      </c>
      <c r="N400" s="15" t="s">
        <v>23</v>
      </c>
      <c r="O400" s="31">
        <v>2</v>
      </c>
      <c r="P400" s="15">
        <v>31.06</v>
      </c>
      <c r="Q400" s="15">
        <v>119.11</v>
      </c>
      <c r="U400" s="15" t="s">
        <v>549</v>
      </c>
      <c r="V400" s="31">
        <v>1</v>
      </c>
      <c r="W400" s="16" t="s">
        <v>1219</v>
      </c>
      <c r="X400" s="15" t="s">
        <v>1195</v>
      </c>
      <c r="Y400" s="1">
        <v>5</v>
      </c>
      <c r="Z400" s="15">
        <v>4.8</v>
      </c>
      <c r="AA400" s="15" t="s">
        <v>574</v>
      </c>
      <c r="AB400" s="15">
        <f t="shared" si="351"/>
        <v>4.8</v>
      </c>
      <c r="AC400" s="1">
        <v>2</v>
      </c>
      <c r="AD400" s="15">
        <v>18.3</v>
      </c>
      <c r="AM400" s="1"/>
      <c r="AP400" s="15" t="s">
        <v>1220</v>
      </c>
      <c r="AQ400" s="1">
        <v>2</v>
      </c>
      <c r="AR400" s="1">
        <v>3</v>
      </c>
      <c r="AT400" s="63" t="s">
        <v>886</v>
      </c>
      <c r="AW400" s="15">
        <v>3000</v>
      </c>
      <c r="AX400" s="15">
        <f t="shared" si="375"/>
        <v>3000</v>
      </c>
      <c r="AY400" s="15" t="s">
        <v>766</v>
      </c>
      <c r="AZ400" s="15">
        <f t="shared" si="336"/>
        <v>3000</v>
      </c>
      <c r="BA400" s="15">
        <f t="shared" si="337"/>
        <v>1.0238907849829351</v>
      </c>
      <c r="BB400" s="15">
        <f t="shared" si="338"/>
        <v>1800</v>
      </c>
      <c r="BP400" s="16"/>
      <c r="BQ400" s="16"/>
      <c r="BR400" s="16"/>
      <c r="BU400" s="16"/>
      <c r="EZ400" s="16"/>
      <c r="FA400" s="16"/>
      <c r="FB400" s="16"/>
      <c r="FC400" s="16"/>
      <c r="FD400" s="16"/>
      <c r="FE400" s="16"/>
      <c r="FF400" s="16"/>
      <c r="FG400" s="16"/>
      <c r="FH400" s="16"/>
      <c r="FI400" s="16"/>
      <c r="FJ400" s="16"/>
      <c r="FK400" s="16">
        <f t="shared" si="352"/>
        <v>4.87</v>
      </c>
      <c r="FL400" s="16">
        <f t="shared" si="353"/>
        <v>5.21</v>
      </c>
      <c r="FM400" s="15">
        <v>4.87</v>
      </c>
      <c r="FN400" s="15">
        <f t="shared" si="373"/>
        <v>0.48700000000000004</v>
      </c>
      <c r="FO400" s="15">
        <f>FN400*SQRT(AR400)</f>
        <v>0.84350874328604331</v>
      </c>
      <c r="FP400" s="15">
        <v>5.21</v>
      </c>
      <c r="FQ400" s="15">
        <f t="shared" si="374"/>
        <v>0.52100000000000002</v>
      </c>
      <c r="FR400" s="15">
        <f>FQ400*SQRT(AR400)</f>
        <v>0.90239847074338508</v>
      </c>
      <c r="FS400" s="15">
        <f t="shared" si="348"/>
        <v>1.0698151950718686</v>
      </c>
      <c r="FT400" s="15">
        <f t="shared" si="349"/>
        <v>0.33999999999999986</v>
      </c>
      <c r="FU400" s="15">
        <f t="shared" si="350"/>
        <v>6.7485918670777023E-2</v>
      </c>
      <c r="FV400" s="15">
        <f>((FR400*FR400)/(AR400*FP400*FP400)+(FO400*FO400)/(AR400*FM400*FM400))</f>
        <v>2.0000000000000004E-2</v>
      </c>
      <c r="HE400" s="15">
        <v>1830</v>
      </c>
      <c r="HF400" s="15">
        <v>183.00000000000003</v>
      </c>
      <c r="HG400" s="15">
        <f>HF400*SQRT(AR187)</f>
        <v>316.96529778510455</v>
      </c>
      <c r="HH400" s="15">
        <v>1850</v>
      </c>
      <c r="HI400" s="15">
        <v>185.00000000000003</v>
      </c>
      <c r="HJ400" s="15">
        <f>HI400*SQRT(AR187)</f>
        <v>320.42939940024235</v>
      </c>
      <c r="HK400" s="15">
        <f t="shared" si="368"/>
        <v>1.0109289617486339</v>
      </c>
      <c r="HL400" s="15">
        <f t="shared" si="369"/>
        <v>20</v>
      </c>
      <c r="HM400" s="15">
        <f t="shared" si="370"/>
        <v>1.0869672236903938E-2</v>
      </c>
      <c r="HN400" s="15">
        <f>((HJ400*HJ400)/(AR187*HH400*HH400)+(HG400*HG400)/(AR187*HE400*HE400))</f>
        <v>2.0000000000000004E-2</v>
      </c>
      <c r="HP400" s="15" t="s">
        <v>766</v>
      </c>
      <c r="HV400" s="15">
        <f t="shared" si="371"/>
        <v>1655.9836955237417</v>
      </c>
      <c r="HW400" s="15">
        <f t="shared" si="372"/>
        <v>1.0869672236903938E-2</v>
      </c>
      <c r="HX400" s="15">
        <f>BB400</f>
        <v>1800</v>
      </c>
      <c r="HY400" s="15">
        <f>AZ400</f>
        <v>3000</v>
      </c>
      <c r="HZ400" s="15">
        <f>BA400</f>
        <v>1.0238907849829351</v>
      </c>
      <c r="IA400" s="15">
        <f>BB400</f>
        <v>1800</v>
      </c>
    </row>
    <row r="401" spans="1:235" s="15" customFormat="1" x14ac:dyDescent="0.25">
      <c r="A401" s="31">
        <v>399</v>
      </c>
      <c r="B401" s="1">
        <v>72</v>
      </c>
      <c r="C401" s="1">
        <v>77</v>
      </c>
      <c r="D401" s="63" t="s">
        <v>360</v>
      </c>
      <c r="E401" s="1">
        <v>1</v>
      </c>
      <c r="F401" s="15" t="s">
        <v>761</v>
      </c>
      <c r="G401" s="15" t="s">
        <v>1222</v>
      </c>
      <c r="H401" s="15" t="s">
        <v>1223</v>
      </c>
      <c r="I401" s="1">
        <v>1981</v>
      </c>
      <c r="J401" s="15" t="s">
        <v>1221</v>
      </c>
      <c r="K401" s="1" t="s">
        <v>1224</v>
      </c>
      <c r="L401" s="15" t="s">
        <v>1225</v>
      </c>
      <c r="M401" s="15" t="s">
        <v>884</v>
      </c>
      <c r="N401" s="15" t="s">
        <v>478</v>
      </c>
      <c r="O401" s="31">
        <v>3</v>
      </c>
      <c r="P401" s="15">
        <v>55.81</v>
      </c>
      <c r="Q401" s="15">
        <v>-113.43</v>
      </c>
      <c r="U401" s="15" t="s">
        <v>549</v>
      </c>
      <c r="V401" s="31">
        <v>1</v>
      </c>
      <c r="W401" s="16" t="s">
        <v>1226</v>
      </c>
      <c r="X401" s="15" t="s">
        <v>1227</v>
      </c>
      <c r="Y401" s="61">
        <v>11</v>
      </c>
      <c r="Z401" s="15">
        <v>5.3</v>
      </c>
      <c r="AA401" s="15" t="s">
        <v>574</v>
      </c>
      <c r="AB401" s="15">
        <f t="shared" si="351"/>
        <v>5.3</v>
      </c>
      <c r="AC401" s="1">
        <v>3</v>
      </c>
      <c r="AF401" s="15">
        <v>18.100000000000001</v>
      </c>
      <c r="AJ401" s="15">
        <v>22</v>
      </c>
      <c r="AK401" s="15">
        <v>60</v>
      </c>
      <c r="AL401" s="15">
        <v>18</v>
      </c>
      <c r="AM401" s="1">
        <v>2</v>
      </c>
      <c r="AP401" s="15" t="s">
        <v>1228</v>
      </c>
      <c r="AQ401" s="1">
        <v>8</v>
      </c>
      <c r="AR401" s="1">
        <v>3</v>
      </c>
      <c r="AT401" s="63" t="s">
        <v>886</v>
      </c>
      <c r="AW401" s="15">
        <v>1000</v>
      </c>
      <c r="AX401" s="15">
        <f t="shared" si="375"/>
        <v>1000</v>
      </c>
      <c r="AY401" s="15" t="s">
        <v>766</v>
      </c>
      <c r="AZ401" s="15">
        <f t="shared" si="336"/>
        <v>1000</v>
      </c>
      <c r="BA401" s="15">
        <f t="shared" si="337"/>
        <v>0.34129692832764502</v>
      </c>
      <c r="BB401" s="15">
        <f t="shared" si="338"/>
        <v>600</v>
      </c>
      <c r="BP401" s="16"/>
      <c r="BQ401" s="16"/>
      <c r="BR401" s="16"/>
      <c r="BU401" s="16"/>
      <c r="EZ401" s="16"/>
      <c r="FA401" s="16"/>
      <c r="FB401" s="16"/>
      <c r="FC401" s="16"/>
      <c r="FD401" s="16"/>
      <c r="FE401" s="16"/>
      <c r="FF401" s="16"/>
      <c r="FG401" s="16"/>
      <c r="FH401" s="16"/>
      <c r="FI401" s="16"/>
      <c r="FJ401" s="16"/>
      <c r="FK401" s="16">
        <f t="shared" si="352"/>
        <v>5.35</v>
      </c>
      <c r="FL401" s="16">
        <f t="shared" si="353"/>
        <v>5.86</v>
      </c>
      <c r="FM401" s="15">
        <v>5.35</v>
      </c>
      <c r="FN401" s="15">
        <f t="shared" si="373"/>
        <v>0.53500000000000003</v>
      </c>
      <c r="FO401" s="15">
        <f>FN401*SQRT(AR401)</f>
        <v>0.92664718204934937</v>
      </c>
      <c r="FP401" s="15">
        <v>5.86</v>
      </c>
      <c r="FQ401" s="15">
        <f t="shared" si="374"/>
        <v>0.58600000000000008</v>
      </c>
      <c r="FR401" s="15">
        <f>FQ401*SQRT(AR401)</f>
        <v>1.0149817732353621</v>
      </c>
      <c r="FS401" s="15">
        <f t="shared" si="348"/>
        <v>1.0953271028037384</v>
      </c>
      <c r="FT401" s="15">
        <f t="shared" si="349"/>
        <v>0.51000000000000068</v>
      </c>
      <c r="FU401" s="15">
        <f t="shared" si="350"/>
        <v>9.1053042681006113E-2</v>
      </c>
      <c r="FV401" s="15">
        <f>((FR401*FR401)/(AR401*FP401*FP401)+(FO401*FO401)/(AR401*FM401*FM401))</f>
        <v>2.0000000000000004E-2</v>
      </c>
      <c r="HE401" s="15">
        <f>(415.9+279+123+296)/4</f>
        <v>278.47500000000002</v>
      </c>
      <c r="HF401" s="15">
        <f>HE401*0.1</f>
        <v>27.847500000000004</v>
      </c>
      <c r="HG401" s="15">
        <f>HF401*SQRT(AR188)</f>
        <v>48.233284863774315</v>
      </c>
      <c r="HH401" s="15">
        <f>(1005+1092+459+584)/4</f>
        <v>785</v>
      </c>
      <c r="HI401" s="15">
        <f>HH401*0.1</f>
        <v>78.5</v>
      </c>
      <c r="HJ401" s="15">
        <f>HI401*SQRT(AR188)</f>
        <v>135.96598839415685</v>
      </c>
      <c r="HK401" s="15">
        <f t="shared" si="368"/>
        <v>2.818924499506239</v>
      </c>
      <c r="HL401" s="15">
        <f t="shared" si="369"/>
        <v>506.52499999999998</v>
      </c>
      <c r="HM401" s="15">
        <f t="shared" si="370"/>
        <v>1.036355429051155</v>
      </c>
      <c r="HN401" s="15">
        <f>((HJ401*HJ401)/(AR188*HH401*HH401)+(HG401*HG401)/(AR188*HE401*HE401))</f>
        <v>1.9999999999999997E-2</v>
      </c>
      <c r="HP401" s="15" t="s">
        <v>766</v>
      </c>
      <c r="HV401" s="15">
        <f t="shared" si="371"/>
        <v>5.7895195333644915</v>
      </c>
      <c r="HW401" s="15">
        <f t="shared" si="372"/>
        <v>1.036355429051155</v>
      </c>
      <c r="HX401" s="15">
        <f>BB401</f>
        <v>600</v>
      </c>
      <c r="HY401" s="15">
        <f>AZ401</f>
        <v>1000</v>
      </c>
      <c r="HZ401" s="15">
        <f>BA401</f>
        <v>0.34129692832764502</v>
      </c>
      <c r="IA401" s="15">
        <f>BB401</f>
        <v>600</v>
      </c>
    </row>
    <row r="402" spans="1:235" s="15" customFormat="1" x14ac:dyDescent="0.25">
      <c r="A402" s="31">
        <v>400</v>
      </c>
      <c r="B402" s="1">
        <v>72</v>
      </c>
      <c r="C402" s="1">
        <v>77</v>
      </c>
      <c r="D402" s="63" t="s">
        <v>361</v>
      </c>
      <c r="E402" s="1">
        <v>1</v>
      </c>
      <c r="F402" s="15" t="s">
        <v>761</v>
      </c>
      <c r="G402" s="15" t="s">
        <v>1222</v>
      </c>
      <c r="H402" s="15" t="s">
        <v>1223</v>
      </c>
      <c r="I402" s="1">
        <v>1981</v>
      </c>
      <c r="J402" s="15" t="s">
        <v>1221</v>
      </c>
      <c r="K402" s="1" t="s">
        <v>1224</v>
      </c>
      <c r="L402" s="15" t="s">
        <v>1225</v>
      </c>
      <c r="M402" s="15" t="s">
        <v>884</v>
      </c>
      <c r="N402" s="15" t="s">
        <v>478</v>
      </c>
      <c r="O402" s="31">
        <v>3</v>
      </c>
      <c r="P402" s="15">
        <v>55.81</v>
      </c>
      <c r="Q402" s="15">
        <v>-113.43</v>
      </c>
      <c r="U402" s="15" t="s">
        <v>549</v>
      </c>
      <c r="V402" s="31">
        <v>1</v>
      </c>
      <c r="W402" s="16" t="s">
        <v>1226</v>
      </c>
      <c r="X402" s="15" t="s">
        <v>1227</v>
      </c>
      <c r="Y402" s="61">
        <v>11</v>
      </c>
      <c r="Z402" s="15">
        <v>5.3</v>
      </c>
      <c r="AA402" s="15" t="s">
        <v>574</v>
      </c>
      <c r="AB402" s="15">
        <f t="shared" si="351"/>
        <v>5.3</v>
      </c>
      <c r="AC402" s="1">
        <v>3</v>
      </c>
      <c r="AF402" s="15">
        <v>18.100000000000001</v>
      </c>
      <c r="AJ402" s="15">
        <v>22</v>
      </c>
      <c r="AK402" s="15">
        <v>60</v>
      </c>
      <c r="AL402" s="15">
        <v>18</v>
      </c>
      <c r="AM402" s="1">
        <v>2</v>
      </c>
      <c r="AP402" s="15" t="s">
        <v>1228</v>
      </c>
      <c r="AQ402" s="1">
        <v>8</v>
      </c>
      <c r="AR402" s="1">
        <v>3</v>
      </c>
      <c r="AT402" s="63" t="s">
        <v>886</v>
      </c>
      <c r="AW402" s="15">
        <v>2250</v>
      </c>
      <c r="AX402" s="15">
        <f t="shared" si="375"/>
        <v>2250</v>
      </c>
      <c r="AY402" s="15" t="s">
        <v>766</v>
      </c>
      <c r="AZ402" s="15">
        <f t="shared" si="336"/>
        <v>2250</v>
      </c>
      <c r="BA402" s="15">
        <f t="shared" si="337"/>
        <v>0.76791808873720124</v>
      </c>
      <c r="BB402" s="15">
        <f t="shared" si="338"/>
        <v>1350</v>
      </c>
      <c r="BP402" s="16"/>
      <c r="BQ402" s="16"/>
      <c r="BR402" s="16"/>
      <c r="BU402" s="16"/>
      <c r="EZ402" s="16"/>
      <c r="FA402" s="16"/>
      <c r="FB402" s="16"/>
      <c r="FC402" s="16"/>
      <c r="FD402" s="16"/>
      <c r="FE402" s="16"/>
      <c r="FF402" s="16"/>
      <c r="FG402" s="16"/>
      <c r="FH402" s="16"/>
      <c r="FI402" s="16"/>
      <c r="FJ402" s="16"/>
      <c r="FK402" s="16">
        <f t="shared" si="352"/>
        <v>5.35</v>
      </c>
      <c r="FL402" s="16">
        <f t="shared" si="353"/>
        <v>6.47</v>
      </c>
      <c r="FM402" s="15">
        <v>5.35</v>
      </c>
      <c r="FN402" s="15">
        <f t="shared" si="373"/>
        <v>0.53500000000000003</v>
      </c>
      <c r="FO402" s="15">
        <f>FN402*SQRT(AR402)</f>
        <v>0.92664718204934937</v>
      </c>
      <c r="FP402" s="15">
        <v>6.47</v>
      </c>
      <c r="FQ402" s="15">
        <f t="shared" si="374"/>
        <v>0.64700000000000002</v>
      </c>
      <c r="FR402" s="15">
        <f>FQ402*SQRT(AR402)</f>
        <v>1.1206368724970637</v>
      </c>
      <c r="FS402" s="15">
        <f t="shared" si="348"/>
        <v>1.2093457943925234</v>
      </c>
      <c r="FT402" s="15">
        <f t="shared" si="349"/>
        <v>1.1200000000000001</v>
      </c>
      <c r="FU402" s="15">
        <f t="shared" si="350"/>
        <v>0.19007954760489398</v>
      </c>
      <c r="FV402" s="15">
        <f>((FR402*FR402)/(AR402*FP402*FP402)+(FO402*FO402)/(AR402*FM402*FM402))</f>
        <v>2.0000000000000004E-2</v>
      </c>
      <c r="HE402" s="15">
        <f>(415.9+279+123+296)/4</f>
        <v>278.47500000000002</v>
      </c>
      <c r="HF402" s="15">
        <f>HE402*0.1</f>
        <v>27.847500000000004</v>
      </c>
      <c r="HG402" s="15">
        <f>HF402*SQRT(AR189)</f>
        <v>48.233284863774315</v>
      </c>
      <c r="HH402" s="15">
        <f>(610+592+1089+1255)/4</f>
        <v>886.5</v>
      </c>
      <c r="HI402" s="15">
        <f>HH402*0.1</f>
        <v>88.65</v>
      </c>
      <c r="HJ402" s="15">
        <f>HI402*SQRT(AR189)</f>
        <v>153.54630409098098</v>
      </c>
      <c r="HK402" s="15">
        <f t="shared" si="368"/>
        <v>3.1834096417990843</v>
      </c>
      <c r="HL402" s="15">
        <f t="shared" si="369"/>
        <v>608.02499999999998</v>
      </c>
      <c r="HM402" s="15">
        <f t="shared" si="370"/>
        <v>1.157952836783009</v>
      </c>
      <c r="HN402" s="15">
        <f>((HJ402*HJ402)/(AR189*HH402*HH402)+(HG402*HG402)/(AR189*HE402*HE402))</f>
        <v>0.02</v>
      </c>
      <c r="HP402" s="15" t="s">
        <v>766</v>
      </c>
      <c r="HV402" s="15">
        <f t="shared" si="371"/>
        <v>11.658505917654908</v>
      </c>
      <c r="HW402" s="15">
        <f t="shared" si="372"/>
        <v>1.157952836783009</v>
      </c>
      <c r="HX402" s="15">
        <f>BB402</f>
        <v>1350</v>
      </c>
      <c r="HY402" s="15">
        <f>AZ402</f>
        <v>2250</v>
      </c>
      <c r="HZ402" s="15">
        <f>BA402</f>
        <v>0.76791808873720124</v>
      </c>
      <c r="IA402" s="15">
        <f>BB402</f>
        <v>1350</v>
      </c>
    </row>
    <row r="403" spans="1:235" s="15" customFormat="1" x14ac:dyDescent="0.25">
      <c r="A403" s="31">
        <v>401</v>
      </c>
      <c r="B403" s="1">
        <v>72</v>
      </c>
      <c r="C403" s="1">
        <v>78</v>
      </c>
      <c r="D403" s="63" t="s">
        <v>362</v>
      </c>
      <c r="E403" s="1">
        <v>1</v>
      </c>
      <c r="F403" s="15" t="s">
        <v>761</v>
      </c>
      <c r="G403" s="15" t="s">
        <v>1222</v>
      </c>
      <c r="H403" s="15" t="s">
        <v>1223</v>
      </c>
      <c r="I403" s="1">
        <v>1981</v>
      </c>
      <c r="J403" s="15" t="s">
        <v>1221</v>
      </c>
      <c r="K403" s="1" t="s">
        <v>1224</v>
      </c>
      <c r="L403" s="15" t="s">
        <v>1225</v>
      </c>
      <c r="M403" s="15" t="s">
        <v>884</v>
      </c>
      <c r="N403" s="15" t="s">
        <v>478</v>
      </c>
      <c r="O403" s="31">
        <v>3</v>
      </c>
      <c r="P403" s="15">
        <v>55.81</v>
      </c>
      <c r="Q403" s="15">
        <v>-113.43</v>
      </c>
      <c r="U403" s="15" t="s">
        <v>549</v>
      </c>
      <c r="V403" s="31">
        <v>1</v>
      </c>
      <c r="W403" s="16" t="s">
        <v>1226</v>
      </c>
      <c r="X403" s="15" t="s">
        <v>1227</v>
      </c>
      <c r="Y403" s="61">
        <v>11</v>
      </c>
      <c r="Z403" s="15">
        <v>4.9000000000000004</v>
      </c>
      <c r="AA403" s="15" t="s">
        <v>574</v>
      </c>
      <c r="AB403" s="15">
        <f t="shared" si="351"/>
        <v>4.9000000000000004</v>
      </c>
      <c r="AC403" s="1">
        <v>2</v>
      </c>
      <c r="AF403" s="15">
        <v>21.9</v>
      </c>
      <c r="AJ403" s="15">
        <v>36</v>
      </c>
      <c r="AK403" s="15">
        <v>62</v>
      </c>
      <c r="AL403" s="15">
        <v>2</v>
      </c>
      <c r="AM403" s="1">
        <v>2</v>
      </c>
      <c r="AP403" s="15" t="s">
        <v>1229</v>
      </c>
      <c r="AQ403" s="57">
        <v>8</v>
      </c>
      <c r="AR403" s="1">
        <v>3</v>
      </c>
      <c r="AT403" s="63" t="s">
        <v>886</v>
      </c>
      <c r="AW403" s="15">
        <v>1100</v>
      </c>
      <c r="AX403" s="15">
        <f t="shared" si="375"/>
        <v>1100</v>
      </c>
      <c r="AY403" s="15" t="s">
        <v>766</v>
      </c>
      <c r="AZ403" s="15">
        <f t="shared" si="336"/>
        <v>1100</v>
      </c>
      <c r="BA403" s="15">
        <f t="shared" si="337"/>
        <v>0.37542662116040953</v>
      </c>
      <c r="BB403" s="15">
        <f t="shared" si="338"/>
        <v>660</v>
      </c>
      <c r="BP403" s="16"/>
      <c r="BQ403" s="16"/>
      <c r="BR403" s="16"/>
      <c r="BU403" s="16"/>
      <c r="EZ403" s="16"/>
      <c r="FA403" s="16"/>
      <c r="FB403" s="16"/>
      <c r="FC403" s="16"/>
      <c r="FD403" s="16"/>
      <c r="FE403" s="16"/>
      <c r="FF403" s="16"/>
      <c r="FG403" s="16"/>
      <c r="FH403" s="16"/>
      <c r="FI403" s="16"/>
      <c r="FJ403" s="16"/>
      <c r="FK403" s="16">
        <f t="shared" si="352"/>
        <v>4.8899999999999997</v>
      </c>
      <c r="FL403" s="16">
        <f t="shared" si="353"/>
        <v>5.46</v>
      </c>
      <c r="FM403" s="15">
        <v>4.8899999999999997</v>
      </c>
      <c r="FN403" s="15">
        <f t="shared" si="373"/>
        <v>0.48899999999999999</v>
      </c>
      <c r="FO403" s="15">
        <f>FN403*SQRT(AR403)</f>
        <v>0.84697284490118097</v>
      </c>
      <c r="FP403" s="15">
        <v>5.46</v>
      </c>
      <c r="FQ403" s="15">
        <f t="shared" si="374"/>
        <v>0.54600000000000004</v>
      </c>
      <c r="FR403" s="15">
        <f>FQ403*SQRT(AR403)</f>
        <v>0.945699740932607</v>
      </c>
      <c r="FS403" s="15">
        <f t="shared" si="348"/>
        <v>1.1165644171779141</v>
      </c>
      <c r="FT403" s="15">
        <f t="shared" si="349"/>
        <v>0.57000000000000028</v>
      </c>
      <c r="FU403" s="15">
        <f t="shared" si="350"/>
        <v>0.11025648627003304</v>
      </c>
      <c r="FV403" s="15">
        <f>((FR403*FR403)/(AR403*FP403*FP403)+(FO403*FO403)/(AR403*FM403*FM403))</f>
        <v>2.0000000000000004E-2</v>
      </c>
      <c r="HE403" s="15">
        <f>(375+527+583+252+295)/5</f>
        <v>406.4</v>
      </c>
      <c r="HF403" s="15">
        <f>HE403*0.1</f>
        <v>40.64</v>
      </c>
      <c r="HG403" s="15">
        <f>HF403*SQRT(AR190)</f>
        <v>70.390544819599171</v>
      </c>
      <c r="HH403" s="15">
        <f>(806+529+1091+1228+844)/5</f>
        <v>899.6</v>
      </c>
      <c r="HI403" s="15">
        <f>HH403*0.1</f>
        <v>89.960000000000008</v>
      </c>
      <c r="HJ403" s="15">
        <f>HI403*SQRT(AR190)</f>
        <v>155.81529064889619</v>
      </c>
      <c r="HK403" s="15">
        <f t="shared" si="368"/>
        <v>2.2135826771653546</v>
      </c>
      <c r="HL403" s="15">
        <f t="shared" si="369"/>
        <v>493.20000000000005</v>
      </c>
      <c r="HM403" s="15">
        <f t="shared" si="370"/>
        <v>0.7946123238208882</v>
      </c>
      <c r="HN403" s="15">
        <f>((HJ403*HJ403)/(AR190*HH403*HH403)+(HG403*HG403)/(AR190*HE403*HE403))</f>
        <v>1.9999999999999997E-2</v>
      </c>
      <c r="HP403" s="15" t="s">
        <v>766</v>
      </c>
      <c r="HV403" s="15">
        <f t="shared" si="371"/>
        <v>8.3059371244885085</v>
      </c>
      <c r="HW403" s="15">
        <f t="shared" si="372"/>
        <v>0.7946123238208882</v>
      </c>
      <c r="HX403" s="15">
        <f>BB403</f>
        <v>660</v>
      </c>
      <c r="HY403" s="15">
        <f>AZ403</f>
        <v>1100</v>
      </c>
      <c r="HZ403" s="15">
        <f>BA403</f>
        <v>0.37542662116040953</v>
      </c>
      <c r="IA403" s="15">
        <f>BB403</f>
        <v>660</v>
      </c>
    </row>
    <row r="404" spans="1:235" s="15" customFormat="1" x14ac:dyDescent="0.25">
      <c r="A404" s="31">
        <v>402</v>
      </c>
      <c r="B404" s="1">
        <v>72</v>
      </c>
      <c r="C404" s="1">
        <v>78</v>
      </c>
      <c r="D404" s="63" t="s">
        <v>363</v>
      </c>
      <c r="E404" s="1">
        <v>1</v>
      </c>
      <c r="F404" s="15" t="s">
        <v>761</v>
      </c>
      <c r="G404" s="15" t="s">
        <v>1222</v>
      </c>
      <c r="H404" s="15" t="s">
        <v>1223</v>
      </c>
      <c r="I404" s="1">
        <v>1981</v>
      </c>
      <c r="J404" s="15" t="s">
        <v>1221</v>
      </c>
      <c r="K404" s="1" t="s">
        <v>1224</v>
      </c>
      <c r="L404" s="15" t="s">
        <v>1225</v>
      </c>
      <c r="M404" s="15" t="s">
        <v>884</v>
      </c>
      <c r="N404" s="15" t="s">
        <v>478</v>
      </c>
      <c r="O404" s="31">
        <v>3</v>
      </c>
      <c r="P404" s="15">
        <v>55.81</v>
      </c>
      <c r="Q404" s="15">
        <v>-113.43</v>
      </c>
      <c r="U404" s="15" t="s">
        <v>549</v>
      </c>
      <c r="V404" s="31">
        <v>1</v>
      </c>
      <c r="W404" s="16" t="s">
        <v>1226</v>
      </c>
      <c r="X404" s="15" t="s">
        <v>1227</v>
      </c>
      <c r="Y404" s="61">
        <v>11</v>
      </c>
      <c r="Z404" s="15">
        <v>4.9000000000000004</v>
      </c>
      <c r="AA404" s="15" t="s">
        <v>574</v>
      </c>
      <c r="AB404" s="15">
        <f t="shared" si="351"/>
        <v>4.9000000000000004</v>
      </c>
      <c r="AC404" s="1">
        <v>2</v>
      </c>
      <c r="AF404" s="15">
        <v>21.9</v>
      </c>
      <c r="AJ404" s="15">
        <v>36</v>
      </c>
      <c r="AK404" s="15">
        <v>62</v>
      </c>
      <c r="AL404" s="15">
        <v>2</v>
      </c>
      <c r="AM404" s="1">
        <v>2</v>
      </c>
      <c r="AP404" s="15" t="s">
        <v>1229</v>
      </c>
      <c r="AQ404" s="57">
        <v>8</v>
      </c>
      <c r="AR404" s="1">
        <v>3</v>
      </c>
      <c r="AT404" s="63" t="s">
        <v>886</v>
      </c>
      <c r="AW404" s="15">
        <v>3022</v>
      </c>
      <c r="AX404" s="15">
        <f t="shared" si="375"/>
        <v>3022</v>
      </c>
      <c r="AY404" s="15" t="s">
        <v>766</v>
      </c>
      <c r="AZ404" s="15">
        <f t="shared" si="336"/>
        <v>3022</v>
      </c>
      <c r="BA404" s="15">
        <f t="shared" si="337"/>
        <v>1.0313993174061433</v>
      </c>
      <c r="BB404" s="15">
        <f t="shared" si="338"/>
        <v>1813.2</v>
      </c>
      <c r="BP404" s="16"/>
      <c r="BQ404" s="16"/>
      <c r="BR404" s="16"/>
      <c r="BU404" s="16"/>
      <c r="EZ404" s="16"/>
      <c r="FA404" s="16"/>
      <c r="FB404" s="16"/>
      <c r="FC404" s="16"/>
      <c r="FD404" s="16"/>
      <c r="FE404" s="16"/>
      <c r="FF404" s="16"/>
      <c r="FG404" s="16"/>
      <c r="FH404" s="16"/>
      <c r="FI404" s="16"/>
      <c r="FJ404" s="16"/>
      <c r="FK404" s="16">
        <f t="shared" si="352"/>
        <v>4.8899999999999997</v>
      </c>
      <c r="FL404" s="16">
        <f t="shared" si="353"/>
        <v>6.04</v>
      </c>
      <c r="FM404" s="15">
        <v>4.8899999999999997</v>
      </c>
      <c r="FN404" s="15">
        <f t="shared" si="373"/>
        <v>0.48899999999999999</v>
      </c>
      <c r="FO404" s="15">
        <f>FN404*SQRT(AR404)</f>
        <v>0.84697284490118097</v>
      </c>
      <c r="FP404" s="15">
        <v>6.04</v>
      </c>
      <c r="FQ404" s="15">
        <f t="shared" si="374"/>
        <v>0.60400000000000009</v>
      </c>
      <c r="FR404" s="15">
        <f>FQ404*SQRT(AR404)</f>
        <v>1.046158687771602</v>
      </c>
      <c r="FS404" s="15">
        <f t="shared" si="348"/>
        <v>1.2351738241308794</v>
      </c>
      <c r="FT404" s="15">
        <f t="shared" si="349"/>
        <v>1.1500000000000004</v>
      </c>
      <c r="FU404" s="15">
        <f t="shared" si="350"/>
        <v>0.21121170845994297</v>
      </c>
      <c r="FV404" s="15">
        <f>((FR404*FR404)/(AR404*FP404*FP404)+(FO404*FO404)/(AR404*FM404*FM404))</f>
        <v>2.0000000000000004E-2</v>
      </c>
      <c r="HE404" s="15">
        <f>(375+527+583+252+295)/5</f>
        <v>406.4</v>
      </c>
      <c r="HF404" s="15">
        <f>HE404*0.1</f>
        <v>40.64</v>
      </c>
      <c r="HG404" s="15">
        <f>HF404*SQRT(AR191)</f>
        <v>70.390544819599171</v>
      </c>
      <c r="HH404" s="15">
        <f>(909+690+1608+1177+1043)/5</f>
        <v>1085.4000000000001</v>
      </c>
      <c r="HI404" s="15">
        <f>HH404*0.1</f>
        <v>108.54000000000002</v>
      </c>
      <c r="HJ404" s="15">
        <f>HI404*SQRT(AR191)</f>
        <v>187.99679465352597</v>
      </c>
      <c r="HK404" s="15">
        <f t="shared" si="368"/>
        <v>2.6707677165354333</v>
      </c>
      <c r="HL404" s="15">
        <f t="shared" si="369"/>
        <v>679.00000000000011</v>
      </c>
      <c r="HM404" s="15">
        <f t="shared" si="370"/>
        <v>0.98236596536503207</v>
      </c>
      <c r="HN404" s="15">
        <f>((HJ404*HJ404)/(AR191*HH404*HH404)+(HG404*HG404)/(AR191*HE404*HE404))</f>
        <v>2.0000000000000004E-2</v>
      </c>
      <c r="HP404" s="15" t="s">
        <v>766</v>
      </c>
      <c r="HV404" s="15">
        <f t="shared" si="371"/>
        <v>18.457479838750753</v>
      </c>
      <c r="HW404" s="15">
        <f t="shared" si="372"/>
        <v>0.98236596536503207</v>
      </c>
      <c r="HX404" s="15">
        <f>BB404</f>
        <v>1813.2</v>
      </c>
      <c r="HY404" s="15">
        <f>AZ404</f>
        <v>3022</v>
      </c>
      <c r="HZ404" s="15">
        <f>BA404</f>
        <v>1.0313993174061433</v>
      </c>
      <c r="IA404" s="15">
        <f>BB404</f>
        <v>1813.2</v>
      </c>
    </row>
    <row r="405" spans="1:235" s="15" customFormat="1" ht="14.4" x14ac:dyDescent="0.25">
      <c r="A405" s="31">
        <v>403</v>
      </c>
      <c r="B405" s="1">
        <v>72</v>
      </c>
      <c r="C405" s="1">
        <v>79</v>
      </c>
      <c r="D405" s="63" t="s">
        <v>364</v>
      </c>
      <c r="E405" s="1">
        <v>1</v>
      </c>
      <c r="F405" s="15" t="s">
        <v>761</v>
      </c>
      <c r="G405" s="15" t="s">
        <v>1222</v>
      </c>
      <c r="H405" s="15" t="s">
        <v>1223</v>
      </c>
      <c r="I405" s="1">
        <v>1981</v>
      </c>
      <c r="J405" s="15" t="s">
        <v>1221</v>
      </c>
      <c r="K405" s="1" t="s">
        <v>1230</v>
      </c>
      <c r="L405" s="15" t="s">
        <v>1225</v>
      </c>
      <c r="M405" s="15" t="s">
        <v>884</v>
      </c>
      <c r="N405" s="15" t="s">
        <v>478</v>
      </c>
      <c r="O405" s="31">
        <v>3</v>
      </c>
      <c r="P405" s="15">
        <v>55.81</v>
      </c>
      <c r="Q405" s="15">
        <v>-113.43</v>
      </c>
      <c r="U405" s="15" t="s">
        <v>549</v>
      </c>
      <c r="V405" s="31">
        <v>1</v>
      </c>
      <c r="W405" s="16" t="s">
        <v>1177</v>
      </c>
      <c r="X405" s="15" t="s">
        <v>1227</v>
      </c>
      <c r="Y405" s="61">
        <v>11</v>
      </c>
      <c r="Z405" s="15">
        <v>5.3</v>
      </c>
      <c r="AA405" s="15" t="s">
        <v>574</v>
      </c>
      <c r="AB405" s="15">
        <f t="shared" si="351"/>
        <v>5.3</v>
      </c>
      <c r="AC405" s="1">
        <v>3</v>
      </c>
      <c r="AF405" s="15" t="s">
        <v>1231</v>
      </c>
      <c r="AJ405" s="15">
        <v>22</v>
      </c>
      <c r="AK405" s="15">
        <v>60</v>
      </c>
      <c r="AL405" s="15">
        <v>18</v>
      </c>
      <c r="AM405" s="1">
        <v>2</v>
      </c>
      <c r="AP405" s="15" t="s">
        <v>1228</v>
      </c>
      <c r="AQ405" s="1">
        <v>8</v>
      </c>
      <c r="AR405" s="1">
        <v>3</v>
      </c>
      <c r="AT405" s="15" t="s">
        <v>664</v>
      </c>
      <c r="AW405" s="15">
        <v>837.5</v>
      </c>
      <c r="AX405" s="15">
        <f t="shared" ref="AX405:AX416" si="376">AW405*1.35</f>
        <v>1130.625</v>
      </c>
      <c r="AY405" s="15" t="s">
        <v>766</v>
      </c>
      <c r="AZ405" s="15">
        <f t="shared" si="336"/>
        <v>1130.625</v>
      </c>
      <c r="BA405" s="15">
        <f t="shared" si="337"/>
        <v>0.38587883959044367</v>
      </c>
      <c r="BB405" s="15">
        <f t="shared" si="338"/>
        <v>678.375</v>
      </c>
      <c r="BP405" s="16"/>
      <c r="BQ405" s="16"/>
      <c r="BR405" s="16"/>
      <c r="BU405" s="16"/>
      <c r="EZ405" s="16"/>
      <c r="FA405" s="16"/>
      <c r="FB405" s="16"/>
      <c r="FC405" s="16"/>
      <c r="FD405" s="16"/>
      <c r="FE405" s="16"/>
      <c r="FF405" s="16"/>
      <c r="FG405" s="16"/>
      <c r="FH405" s="16"/>
      <c r="FI405" s="16"/>
      <c r="FJ405" s="16"/>
      <c r="FK405" s="16">
        <f t="shared" si="352"/>
        <v>5.13</v>
      </c>
      <c r="FL405" s="16">
        <f t="shared" si="353"/>
        <v>5.24</v>
      </c>
      <c r="FM405" s="15">
        <v>5.13</v>
      </c>
      <c r="FN405" s="15">
        <f t="shared" si="373"/>
        <v>0.51300000000000001</v>
      </c>
      <c r="FO405" s="15">
        <f>FN405*SQRT(AR405)</f>
        <v>0.888542064282834</v>
      </c>
      <c r="FP405" s="15">
        <v>5.24</v>
      </c>
      <c r="FQ405" s="15">
        <f t="shared" si="374"/>
        <v>0.52400000000000002</v>
      </c>
      <c r="FR405" s="15">
        <f>FQ405*SQRT(AR405)</f>
        <v>0.90759462316609174</v>
      </c>
      <c r="FS405" s="15">
        <f t="shared" si="348"/>
        <v>1.0214424951267058</v>
      </c>
      <c r="FT405" s="15">
        <f t="shared" si="349"/>
        <v>0.11000000000000032</v>
      </c>
      <c r="FU405" s="15">
        <f t="shared" si="350"/>
        <v>2.1215839150272586E-2</v>
      </c>
      <c r="FV405" s="15">
        <f>((FR405*FR405)/(AR405*FP405*FP405)+(FO405*FO405)/(AR405*FM405*FM405))</f>
        <v>1.9999999999999997E-2</v>
      </c>
      <c r="HY405" s="15">
        <f>AZ405</f>
        <v>1130.625</v>
      </c>
      <c r="HZ405" s="15">
        <f>BA405</f>
        <v>0.38587883959044367</v>
      </c>
      <c r="IA405" s="15">
        <f>BB405</f>
        <v>678.375</v>
      </c>
    </row>
    <row r="406" spans="1:235" s="15" customFormat="1" x14ac:dyDescent="0.25">
      <c r="A406" s="31">
        <v>404</v>
      </c>
      <c r="B406" s="1">
        <v>72</v>
      </c>
      <c r="C406" s="1">
        <v>80</v>
      </c>
      <c r="D406" s="63" t="s">
        <v>365</v>
      </c>
      <c r="E406" s="1">
        <v>1</v>
      </c>
      <c r="F406" s="15" t="s">
        <v>761</v>
      </c>
      <c r="G406" s="15" t="s">
        <v>1222</v>
      </c>
      <c r="H406" s="15" t="s">
        <v>1223</v>
      </c>
      <c r="I406" s="1">
        <v>1981</v>
      </c>
      <c r="J406" s="15" t="s">
        <v>1221</v>
      </c>
      <c r="K406" s="1" t="s">
        <v>1230</v>
      </c>
      <c r="L406" s="15" t="s">
        <v>1225</v>
      </c>
      <c r="M406" s="15" t="s">
        <v>884</v>
      </c>
      <c r="N406" s="15" t="s">
        <v>478</v>
      </c>
      <c r="O406" s="31">
        <v>3</v>
      </c>
      <c r="P406" s="15">
        <v>55.81</v>
      </c>
      <c r="Q406" s="15">
        <v>-113.43</v>
      </c>
      <c r="U406" s="15" t="s">
        <v>549</v>
      </c>
      <c r="V406" s="31">
        <v>1</v>
      </c>
      <c r="W406" s="16" t="s">
        <v>1177</v>
      </c>
      <c r="X406" s="15" t="s">
        <v>1227</v>
      </c>
      <c r="Y406" s="61">
        <v>11</v>
      </c>
      <c r="Z406" s="15">
        <v>5.8</v>
      </c>
      <c r="AA406" s="15" t="s">
        <v>574</v>
      </c>
      <c r="AB406" s="15">
        <f t="shared" si="351"/>
        <v>5.8</v>
      </c>
      <c r="AC406" s="1">
        <v>4</v>
      </c>
      <c r="AD406" s="15">
        <v>27.5</v>
      </c>
      <c r="AJ406" s="15">
        <v>48</v>
      </c>
      <c r="AK406" s="15">
        <v>47</v>
      </c>
      <c r="AL406" s="15">
        <v>5</v>
      </c>
      <c r="AM406" s="1">
        <v>1</v>
      </c>
      <c r="AP406" s="15" t="s">
        <v>1232</v>
      </c>
      <c r="AQ406" s="1">
        <v>8</v>
      </c>
      <c r="AR406" s="1">
        <v>3</v>
      </c>
      <c r="AT406" s="15" t="s">
        <v>664</v>
      </c>
      <c r="AW406" s="15">
        <v>1125</v>
      </c>
      <c r="AX406" s="15">
        <f t="shared" si="376"/>
        <v>1518.75</v>
      </c>
      <c r="AY406" s="15" t="s">
        <v>766</v>
      </c>
      <c r="AZ406" s="15">
        <f t="shared" si="336"/>
        <v>1518.75</v>
      </c>
      <c r="BA406" s="15">
        <f t="shared" si="337"/>
        <v>0.51834470989761083</v>
      </c>
      <c r="BB406" s="15">
        <f t="shared" si="338"/>
        <v>911.25</v>
      </c>
      <c r="BP406" s="16"/>
      <c r="BQ406" s="16"/>
      <c r="BR406" s="16"/>
      <c r="BU406" s="16"/>
      <c r="EZ406" s="16"/>
      <c r="FA406" s="16"/>
      <c r="FB406" s="16"/>
      <c r="FC406" s="16"/>
      <c r="FD406" s="16"/>
      <c r="FE406" s="16"/>
      <c r="FF406" s="16"/>
      <c r="FG406" s="16"/>
      <c r="FH406" s="16"/>
      <c r="FI406" s="16"/>
      <c r="FJ406" s="16"/>
      <c r="FK406" s="16">
        <f t="shared" si="352"/>
        <v>4.7300000000000004</v>
      </c>
      <c r="FL406" s="16">
        <f t="shared" si="353"/>
        <v>4.9400000000000004</v>
      </c>
      <c r="FM406" s="15">
        <v>4.7300000000000004</v>
      </c>
      <c r="FN406" s="15">
        <f t="shared" si="373"/>
        <v>0.47300000000000009</v>
      </c>
      <c r="FO406" s="15">
        <f>FN406*SQRT(AR406)</f>
        <v>0.81926003198007902</v>
      </c>
      <c r="FP406" s="15">
        <v>4.9400000000000004</v>
      </c>
      <c r="FQ406" s="15">
        <f t="shared" si="374"/>
        <v>0.49400000000000005</v>
      </c>
      <c r="FR406" s="15">
        <f>FQ406*SQRT(AR406)</f>
        <v>0.85563309893902539</v>
      </c>
      <c r="FS406" s="15">
        <f t="shared" si="348"/>
        <v>1.0443974630021142</v>
      </c>
      <c r="FT406" s="15">
        <f t="shared" si="349"/>
        <v>0.20999999999999996</v>
      </c>
      <c r="FU406" s="15">
        <f t="shared" si="350"/>
        <v>4.3440128695989566E-2</v>
      </c>
      <c r="FV406" s="15">
        <f>((FR406*FR406)/(AR406*FP406*FP406)+(FO406*FO406)/(AR406*FM406*FM406))</f>
        <v>1.9999999999999997E-2</v>
      </c>
      <c r="HY406" s="15">
        <f>AZ406</f>
        <v>1518.75</v>
      </c>
      <c r="HZ406" s="15">
        <f>BA406</f>
        <v>0.51834470989761083</v>
      </c>
      <c r="IA406" s="15">
        <f>BB406</f>
        <v>911.25</v>
      </c>
    </row>
    <row r="407" spans="1:235" s="15" customFormat="1" x14ac:dyDescent="0.25">
      <c r="A407" s="31">
        <v>405</v>
      </c>
      <c r="B407" s="1">
        <v>72</v>
      </c>
      <c r="C407" s="1">
        <v>81</v>
      </c>
      <c r="D407" s="63" t="s">
        <v>366</v>
      </c>
      <c r="E407" s="1">
        <v>1</v>
      </c>
      <c r="F407" s="15" t="s">
        <v>761</v>
      </c>
      <c r="G407" s="15" t="s">
        <v>1222</v>
      </c>
      <c r="H407" s="15" t="s">
        <v>1223</v>
      </c>
      <c r="I407" s="1">
        <v>1981</v>
      </c>
      <c r="J407" s="15" t="s">
        <v>1221</v>
      </c>
      <c r="K407" s="1" t="s">
        <v>1230</v>
      </c>
      <c r="L407" s="15" t="s">
        <v>1225</v>
      </c>
      <c r="M407" s="15" t="s">
        <v>884</v>
      </c>
      <c r="N407" s="15" t="s">
        <v>478</v>
      </c>
      <c r="O407" s="31">
        <v>3</v>
      </c>
      <c r="P407" s="15">
        <v>55.81</v>
      </c>
      <c r="Q407" s="15">
        <v>-113.43</v>
      </c>
      <c r="U407" s="15" t="s">
        <v>549</v>
      </c>
      <c r="V407" s="31">
        <v>1</v>
      </c>
      <c r="W407" s="16" t="s">
        <v>1177</v>
      </c>
      <c r="X407" s="15" t="s">
        <v>1227</v>
      </c>
      <c r="Y407" s="61">
        <v>11</v>
      </c>
      <c r="Z407" s="15">
        <v>4.5</v>
      </c>
      <c r="AA407" s="15" t="s">
        <v>574</v>
      </c>
      <c r="AB407" s="15">
        <f t="shared" si="351"/>
        <v>4.5</v>
      </c>
      <c r="AC407" s="1">
        <v>1</v>
      </c>
      <c r="AD407" s="15">
        <v>27.2</v>
      </c>
      <c r="AJ407" s="15">
        <v>56</v>
      </c>
      <c r="AK407" s="15">
        <v>38</v>
      </c>
      <c r="AL407" s="15">
        <v>6</v>
      </c>
      <c r="AM407" s="1">
        <v>1</v>
      </c>
      <c r="AP407" s="15" t="s">
        <v>1233</v>
      </c>
      <c r="AQ407" s="1">
        <v>8</v>
      </c>
      <c r="AR407" s="1">
        <v>3</v>
      </c>
      <c r="AT407" s="15" t="s">
        <v>664</v>
      </c>
      <c r="AW407" s="15">
        <v>2237.5</v>
      </c>
      <c r="AX407" s="15">
        <f t="shared" si="376"/>
        <v>3020.625</v>
      </c>
      <c r="AY407" s="15" t="s">
        <v>766</v>
      </c>
      <c r="AZ407" s="15">
        <f t="shared" si="336"/>
        <v>3020.625</v>
      </c>
      <c r="BA407" s="15">
        <f t="shared" si="337"/>
        <v>1.0309300341296928</v>
      </c>
      <c r="BB407" s="15">
        <f t="shared" si="338"/>
        <v>1812.375</v>
      </c>
      <c r="BP407" s="16"/>
      <c r="BQ407" s="16"/>
      <c r="BR407" s="16"/>
      <c r="BU407" s="16"/>
      <c r="EZ407" s="16"/>
      <c r="FA407" s="16"/>
      <c r="FB407" s="16"/>
      <c r="FC407" s="16"/>
      <c r="FD407" s="16"/>
      <c r="FE407" s="16"/>
      <c r="FF407" s="16"/>
      <c r="FG407" s="16"/>
      <c r="FH407" s="16"/>
      <c r="FI407" s="16"/>
      <c r="FJ407" s="16"/>
      <c r="FK407" s="16">
        <f t="shared" si="352"/>
        <v>4.28</v>
      </c>
      <c r="FL407" s="16">
        <f t="shared" si="353"/>
        <v>4.49</v>
      </c>
      <c r="FM407" s="15">
        <v>4.28</v>
      </c>
      <c r="FN407" s="15">
        <f t="shared" si="373"/>
        <v>0.42800000000000005</v>
      </c>
      <c r="FO407" s="15">
        <f>FN407*SQRT(AR407)</f>
        <v>0.7413177456394795</v>
      </c>
      <c r="FP407" s="15">
        <v>4.49</v>
      </c>
      <c r="FQ407" s="15">
        <f t="shared" si="374"/>
        <v>0.44900000000000007</v>
      </c>
      <c r="FR407" s="15">
        <f>FQ407*SQRT(AR407)</f>
        <v>0.77769081259842598</v>
      </c>
      <c r="FS407" s="15">
        <f t="shared" si="348"/>
        <v>1.0490654205607477</v>
      </c>
      <c r="FT407" s="15">
        <f t="shared" si="349"/>
        <v>0.20999999999999996</v>
      </c>
      <c r="FU407" s="15">
        <f t="shared" si="350"/>
        <v>4.789969216045753E-2</v>
      </c>
      <c r="FV407" s="15">
        <f>((FR407*FR407)/(AR407*FP407*FP407)+(FO407*FO407)/(AR407*FM407*FM407))</f>
        <v>0.02</v>
      </c>
      <c r="HY407" s="15">
        <f>AZ407</f>
        <v>3020.625</v>
      </c>
      <c r="HZ407" s="15">
        <f>BA407</f>
        <v>1.0309300341296928</v>
      </c>
      <c r="IA407" s="15">
        <f>BB407</f>
        <v>1812.375</v>
      </c>
    </row>
    <row r="408" spans="1:235" s="15" customFormat="1" x14ac:dyDescent="0.25">
      <c r="A408" s="31">
        <v>406</v>
      </c>
      <c r="B408" s="1">
        <v>72</v>
      </c>
      <c r="C408" s="1">
        <v>82</v>
      </c>
      <c r="D408" s="63" t="s">
        <v>367</v>
      </c>
      <c r="E408" s="1">
        <v>1</v>
      </c>
      <c r="F408" s="15" t="s">
        <v>761</v>
      </c>
      <c r="G408" s="15" t="s">
        <v>1222</v>
      </c>
      <c r="H408" s="15" t="s">
        <v>1223</v>
      </c>
      <c r="I408" s="1">
        <v>1981</v>
      </c>
      <c r="J408" s="15" t="s">
        <v>1221</v>
      </c>
      <c r="K408" s="1" t="s">
        <v>1230</v>
      </c>
      <c r="L408" s="15" t="s">
        <v>1225</v>
      </c>
      <c r="M408" s="15" t="s">
        <v>884</v>
      </c>
      <c r="N408" s="15" t="s">
        <v>478</v>
      </c>
      <c r="O408" s="31">
        <v>3</v>
      </c>
      <c r="P408" s="15">
        <v>55.81</v>
      </c>
      <c r="Q408" s="15">
        <v>-113.43</v>
      </c>
      <c r="U408" s="15" t="s">
        <v>549</v>
      </c>
      <c r="V408" s="31">
        <v>1</v>
      </c>
      <c r="W408" s="16" t="s">
        <v>1177</v>
      </c>
      <c r="X408" s="15" t="s">
        <v>1227</v>
      </c>
      <c r="Y408" s="61">
        <v>11</v>
      </c>
      <c r="Z408" s="15">
        <v>5.4</v>
      </c>
      <c r="AA408" s="15" t="s">
        <v>574</v>
      </c>
      <c r="AB408" s="15">
        <f t="shared" si="351"/>
        <v>5.4</v>
      </c>
      <c r="AC408" s="1">
        <v>3</v>
      </c>
      <c r="AF408" s="15">
        <v>30.8</v>
      </c>
      <c r="AJ408" s="15">
        <v>28</v>
      </c>
      <c r="AK408" s="15">
        <v>53</v>
      </c>
      <c r="AL408" s="15">
        <v>19</v>
      </c>
      <c r="AP408" s="15" t="s">
        <v>1234</v>
      </c>
      <c r="AQ408" s="1">
        <v>8</v>
      </c>
      <c r="AR408" s="1">
        <v>3</v>
      </c>
      <c r="AT408" s="15" t="s">
        <v>664</v>
      </c>
      <c r="AW408" s="15">
        <v>1400</v>
      </c>
      <c r="AX408" s="15">
        <f t="shared" si="376"/>
        <v>1890.0000000000002</v>
      </c>
      <c r="AY408" s="15" t="s">
        <v>766</v>
      </c>
      <c r="AZ408" s="15">
        <f t="shared" si="336"/>
        <v>1890.0000000000002</v>
      </c>
      <c r="BA408" s="15">
        <f t="shared" si="337"/>
        <v>0.6450511945392492</v>
      </c>
      <c r="BB408" s="15">
        <f t="shared" si="338"/>
        <v>1134</v>
      </c>
      <c r="BP408" s="16"/>
      <c r="BQ408" s="16"/>
      <c r="BR408" s="16"/>
      <c r="BU408" s="16"/>
      <c r="EZ408" s="16"/>
      <c r="FA408" s="16"/>
      <c r="FB408" s="16"/>
      <c r="FC408" s="16"/>
      <c r="FD408" s="16"/>
      <c r="FE408" s="16"/>
      <c r="FF408" s="16"/>
      <c r="FG408" s="16"/>
      <c r="FH408" s="16"/>
      <c r="FI408" s="16"/>
      <c r="FJ408" s="16"/>
      <c r="FK408" s="16">
        <f t="shared" si="352"/>
        <v>5.31</v>
      </c>
      <c r="FL408" s="16">
        <f t="shared" si="353"/>
        <v>5.68</v>
      </c>
      <c r="FM408" s="15">
        <v>5.31</v>
      </c>
      <c r="FN408" s="15">
        <f t="shared" si="373"/>
        <v>0.53100000000000003</v>
      </c>
      <c r="FO408" s="15">
        <f>FN408*SQRT(AR408)</f>
        <v>0.91971897881907383</v>
      </c>
      <c r="FP408" s="15">
        <v>5.68</v>
      </c>
      <c r="FQ408" s="15">
        <f t="shared" si="374"/>
        <v>0.56799999999999995</v>
      </c>
      <c r="FR408" s="15">
        <f>FQ408*SQRT(AR408)</f>
        <v>0.98380485869912215</v>
      </c>
      <c r="FS408" s="15">
        <f t="shared" si="348"/>
        <v>1.0696798493408664</v>
      </c>
      <c r="FT408" s="15">
        <f t="shared" si="349"/>
        <v>0.37000000000000011</v>
      </c>
      <c r="FU408" s="15">
        <f t="shared" si="350"/>
        <v>6.735939747921238E-2</v>
      </c>
      <c r="FV408" s="15">
        <f>((FR408*FR408)/(AR408*FP408*FP408)+(FO408*FO408)/(AR408*FM408*FM408))</f>
        <v>1.9999999999999997E-2</v>
      </c>
      <c r="HY408" s="15">
        <f>AZ408</f>
        <v>1890.0000000000002</v>
      </c>
      <c r="HZ408" s="15">
        <f>BA408</f>
        <v>0.6450511945392492</v>
      </c>
      <c r="IA408" s="15">
        <f>BB408</f>
        <v>1134</v>
      </c>
    </row>
    <row r="409" spans="1:235" s="15" customFormat="1" ht="15.6" x14ac:dyDescent="0.25">
      <c r="A409" s="31">
        <v>407</v>
      </c>
      <c r="B409" s="1">
        <v>72</v>
      </c>
      <c r="C409" s="1">
        <v>83</v>
      </c>
      <c r="D409" s="63" t="s">
        <v>368</v>
      </c>
      <c r="E409" s="1">
        <v>1</v>
      </c>
      <c r="F409" s="15" t="s">
        <v>761</v>
      </c>
      <c r="G409" s="15" t="s">
        <v>1222</v>
      </c>
      <c r="H409" s="15" t="s">
        <v>1223</v>
      </c>
      <c r="I409" s="1">
        <v>1981</v>
      </c>
      <c r="J409" s="15" t="s">
        <v>1221</v>
      </c>
      <c r="K409" s="1" t="s">
        <v>1230</v>
      </c>
      <c r="L409" s="15" t="s">
        <v>1225</v>
      </c>
      <c r="M409" s="15" t="s">
        <v>884</v>
      </c>
      <c r="N409" s="15" t="s">
        <v>478</v>
      </c>
      <c r="O409" s="31">
        <v>3</v>
      </c>
      <c r="P409" s="15">
        <v>55.81</v>
      </c>
      <c r="Q409" s="15">
        <v>-113.43</v>
      </c>
      <c r="U409" s="15" t="s">
        <v>549</v>
      </c>
      <c r="V409" s="31">
        <v>1</v>
      </c>
      <c r="W409" s="16" t="s">
        <v>1177</v>
      </c>
      <c r="X409" s="15" t="s">
        <v>1227</v>
      </c>
      <c r="Y409" s="61">
        <v>11</v>
      </c>
      <c r="Z409" s="15">
        <v>5.6</v>
      </c>
      <c r="AA409" s="15" t="s">
        <v>574</v>
      </c>
      <c r="AB409" s="15">
        <f t="shared" si="351"/>
        <v>5.6</v>
      </c>
      <c r="AC409" s="1">
        <v>4</v>
      </c>
      <c r="AF409" s="15">
        <v>37.200000000000003</v>
      </c>
      <c r="AJ409" s="15">
        <v>44</v>
      </c>
      <c r="AK409" s="15">
        <v>48</v>
      </c>
      <c r="AL409" s="15">
        <v>8</v>
      </c>
      <c r="AM409" s="1">
        <v>1</v>
      </c>
      <c r="AP409" s="15" t="s">
        <v>1235</v>
      </c>
      <c r="AQ409" s="1">
        <v>8</v>
      </c>
      <c r="AR409" s="1">
        <v>3</v>
      </c>
      <c r="AT409" s="15" t="s">
        <v>1236</v>
      </c>
      <c r="AW409" s="15">
        <v>1537.5</v>
      </c>
      <c r="AX409" s="15">
        <f t="shared" si="376"/>
        <v>2075.625</v>
      </c>
      <c r="AY409" s="15" t="s">
        <v>766</v>
      </c>
      <c r="AZ409" s="15">
        <f t="shared" si="336"/>
        <v>2075.625</v>
      </c>
      <c r="BA409" s="15">
        <f t="shared" si="337"/>
        <v>0.70840443686006827</v>
      </c>
      <c r="BB409" s="15">
        <f t="shared" si="338"/>
        <v>1245.375</v>
      </c>
      <c r="BP409" s="16"/>
      <c r="BQ409" s="16"/>
      <c r="BR409" s="16"/>
      <c r="BU409" s="16"/>
      <c r="EZ409" s="16"/>
      <c r="FA409" s="16"/>
      <c r="FB409" s="16"/>
      <c r="FC409" s="16"/>
      <c r="FD409" s="16"/>
      <c r="FE409" s="16"/>
      <c r="FF409" s="16"/>
      <c r="FG409" s="16"/>
      <c r="FH409" s="16"/>
      <c r="FI409" s="16"/>
      <c r="FJ409" s="16"/>
      <c r="FK409" s="16">
        <f t="shared" si="352"/>
        <v>5.3</v>
      </c>
      <c r="FL409" s="16">
        <f t="shared" si="353"/>
        <v>5.45</v>
      </c>
      <c r="FM409" s="15">
        <v>5.3</v>
      </c>
      <c r="FN409" s="15">
        <f t="shared" si="373"/>
        <v>0.53</v>
      </c>
      <c r="FO409" s="15">
        <f>FN409*SQRT(AR409)</f>
        <v>0.91798692801150494</v>
      </c>
      <c r="FP409" s="15">
        <v>5.45</v>
      </c>
      <c r="FQ409" s="15">
        <f t="shared" si="374"/>
        <v>0.54500000000000004</v>
      </c>
      <c r="FR409" s="15">
        <f>FQ409*SQRT(AR409)</f>
        <v>0.94396769012503812</v>
      </c>
      <c r="FS409" s="15">
        <f t="shared" si="348"/>
        <v>1.0283018867924529</v>
      </c>
      <c r="FT409" s="15">
        <f t="shared" si="349"/>
        <v>0.15000000000000036</v>
      </c>
      <c r="FU409" s="15">
        <f t="shared" si="350"/>
        <v>2.7908788117076755E-2</v>
      </c>
      <c r="FV409" s="15">
        <f>((FR409*FR409)/(AR409*FP409*FP409)+(FO409*FO409)/(AR409*FM409*FM409))</f>
        <v>1.9999999999999997E-2</v>
      </c>
      <c r="HY409" s="15">
        <f>AZ409</f>
        <v>2075.625</v>
      </c>
      <c r="HZ409" s="15">
        <f>BA409</f>
        <v>0.70840443686006827</v>
      </c>
      <c r="IA409" s="15">
        <f>BB409</f>
        <v>1245.375</v>
      </c>
    </row>
    <row r="410" spans="1:235" s="15" customFormat="1" ht="15.6" x14ac:dyDescent="0.25">
      <c r="A410" s="31">
        <v>408</v>
      </c>
      <c r="B410" s="1">
        <v>72</v>
      </c>
      <c r="C410" s="1">
        <v>84</v>
      </c>
      <c r="D410" s="63" t="s">
        <v>369</v>
      </c>
      <c r="E410" s="1">
        <v>1</v>
      </c>
      <c r="F410" s="15" t="s">
        <v>761</v>
      </c>
      <c r="G410" s="15" t="s">
        <v>1222</v>
      </c>
      <c r="H410" s="15" t="s">
        <v>1223</v>
      </c>
      <c r="I410" s="1">
        <v>1981</v>
      </c>
      <c r="J410" s="15" t="s">
        <v>1221</v>
      </c>
      <c r="K410" s="1" t="s">
        <v>1230</v>
      </c>
      <c r="L410" s="15" t="s">
        <v>1225</v>
      </c>
      <c r="M410" s="15" t="s">
        <v>884</v>
      </c>
      <c r="N410" s="15" t="s">
        <v>478</v>
      </c>
      <c r="O410" s="31">
        <v>3</v>
      </c>
      <c r="P410" s="15">
        <v>55.81</v>
      </c>
      <c r="Q410" s="15">
        <v>-113.43</v>
      </c>
      <c r="U410" s="15" t="s">
        <v>549</v>
      </c>
      <c r="V410" s="31">
        <v>1</v>
      </c>
      <c r="W410" s="16" t="s">
        <v>1177</v>
      </c>
      <c r="X410" s="15" t="s">
        <v>1227</v>
      </c>
      <c r="Y410" s="61">
        <v>11</v>
      </c>
      <c r="Z410" s="15">
        <v>4.9000000000000004</v>
      </c>
      <c r="AA410" s="15" t="s">
        <v>574</v>
      </c>
      <c r="AB410" s="15">
        <f t="shared" si="351"/>
        <v>4.9000000000000004</v>
      </c>
      <c r="AC410" s="1">
        <v>2</v>
      </c>
      <c r="AF410" s="15">
        <v>21.9</v>
      </c>
      <c r="AJ410" s="15">
        <v>36</v>
      </c>
      <c r="AK410" s="15">
        <v>62</v>
      </c>
      <c r="AL410" s="15">
        <v>2</v>
      </c>
      <c r="AM410" s="1">
        <v>2</v>
      </c>
      <c r="AP410" s="15" t="s">
        <v>1229</v>
      </c>
      <c r="AQ410" s="57">
        <v>8</v>
      </c>
      <c r="AR410" s="1">
        <v>3</v>
      </c>
      <c r="AT410" s="15" t="s">
        <v>1236</v>
      </c>
      <c r="AW410" s="15">
        <v>1425</v>
      </c>
      <c r="AX410" s="15">
        <f t="shared" si="376"/>
        <v>1923.7500000000002</v>
      </c>
      <c r="AY410" s="15" t="s">
        <v>766</v>
      </c>
      <c r="AZ410" s="15">
        <f t="shared" si="336"/>
        <v>1923.7500000000002</v>
      </c>
      <c r="BA410" s="15">
        <f t="shared" si="337"/>
        <v>0.65656996587030725</v>
      </c>
      <c r="BB410" s="15">
        <f t="shared" si="338"/>
        <v>1154.25</v>
      </c>
      <c r="BP410" s="16"/>
      <c r="BQ410" s="16"/>
      <c r="BR410" s="16"/>
      <c r="BU410" s="16"/>
      <c r="EZ410" s="16"/>
      <c r="FA410" s="16"/>
      <c r="FB410" s="16"/>
      <c r="FC410" s="16"/>
      <c r="FD410" s="16"/>
      <c r="FE410" s="16"/>
      <c r="FF410" s="16"/>
      <c r="FG410" s="16"/>
      <c r="FH410" s="16"/>
      <c r="FI410" s="16"/>
      <c r="FJ410" s="16"/>
      <c r="FK410" s="16">
        <f t="shared" si="352"/>
        <v>4.57</v>
      </c>
      <c r="FL410" s="16">
        <f t="shared" si="353"/>
        <v>4.75</v>
      </c>
      <c r="FM410" s="15">
        <v>4.57</v>
      </c>
      <c r="FN410" s="15">
        <f t="shared" si="373"/>
        <v>0.45700000000000007</v>
      </c>
      <c r="FO410" s="15">
        <f>FN410*SQRT(AR410)</f>
        <v>0.79154721905897696</v>
      </c>
      <c r="FP410" s="15">
        <v>4.75</v>
      </c>
      <c r="FQ410" s="15">
        <f t="shared" si="374"/>
        <v>0.47500000000000003</v>
      </c>
      <c r="FR410" s="15">
        <f>FQ410*SQRT(AR410)</f>
        <v>0.82272413359521668</v>
      </c>
      <c r="FS410" s="15">
        <f t="shared" si="348"/>
        <v>1.0393873085339167</v>
      </c>
      <c r="FT410" s="15">
        <f t="shared" si="349"/>
        <v>0.17999999999999972</v>
      </c>
      <c r="FU410" s="15">
        <f t="shared" si="350"/>
        <v>3.863141314043661E-2</v>
      </c>
      <c r="FV410" s="15">
        <f>((FR410*FR410)/(AR410*FP410*FP410)+(FO410*FO410)/(AR410*FM410*FM410))</f>
        <v>1.9999999999999997E-2</v>
      </c>
      <c r="HY410" s="15">
        <f>AZ410</f>
        <v>1923.7500000000002</v>
      </c>
      <c r="HZ410" s="15">
        <f>BA410</f>
        <v>0.65656996587030725</v>
      </c>
      <c r="IA410" s="15">
        <f>BB410</f>
        <v>1154.25</v>
      </c>
    </row>
    <row r="411" spans="1:235" s="15" customFormat="1" ht="15.6" x14ac:dyDescent="0.25">
      <c r="A411" s="31">
        <v>409</v>
      </c>
      <c r="B411" s="1">
        <v>73</v>
      </c>
      <c r="C411" s="1">
        <v>84</v>
      </c>
      <c r="D411" s="63" t="s">
        <v>370</v>
      </c>
      <c r="E411" s="1">
        <v>1</v>
      </c>
      <c r="F411" s="15" t="s">
        <v>761</v>
      </c>
      <c r="G411" s="15" t="s">
        <v>1237</v>
      </c>
      <c r="H411" s="15" t="s">
        <v>930</v>
      </c>
      <c r="I411" s="1">
        <v>2020</v>
      </c>
      <c r="J411" s="15" t="s">
        <v>1238</v>
      </c>
      <c r="K411" s="1">
        <v>2019</v>
      </c>
      <c r="L411" s="15" t="s">
        <v>1239</v>
      </c>
      <c r="M411" s="15" t="s">
        <v>480</v>
      </c>
      <c r="N411" s="15" t="s">
        <v>23</v>
      </c>
      <c r="O411" s="31">
        <v>2</v>
      </c>
      <c r="P411" s="15">
        <v>24.18</v>
      </c>
      <c r="Q411" s="15">
        <v>104.06</v>
      </c>
      <c r="U411" s="15" t="s">
        <v>549</v>
      </c>
      <c r="V411" s="31">
        <v>1</v>
      </c>
      <c r="W411" s="16" t="s">
        <v>1167</v>
      </c>
      <c r="X411" s="15" t="s">
        <v>1240</v>
      </c>
      <c r="Y411" s="1">
        <v>9</v>
      </c>
      <c r="Z411" s="15">
        <v>5.3</v>
      </c>
      <c r="AA411" s="15" t="s">
        <v>574</v>
      </c>
      <c r="AB411" s="15">
        <f t="shared" si="351"/>
        <v>5.3</v>
      </c>
      <c r="AC411" s="1">
        <v>3</v>
      </c>
      <c r="AD411" s="15">
        <v>32.159999999999997</v>
      </c>
      <c r="AM411" s="1"/>
      <c r="AP411" s="15" t="s">
        <v>697</v>
      </c>
      <c r="AQ411" s="1">
        <v>1</v>
      </c>
      <c r="AR411" s="1">
        <v>3</v>
      </c>
      <c r="AT411" s="15" t="s">
        <v>1236</v>
      </c>
      <c r="AW411" s="15">
        <v>750</v>
      </c>
      <c r="AX411" s="15">
        <f t="shared" si="376"/>
        <v>1012.5000000000001</v>
      </c>
      <c r="AY411" s="15" t="s">
        <v>766</v>
      </c>
      <c r="AZ411" s="15">
        <f t="shared" si="336"/>
        <v>1012.5000000000001</v>
      </c>
      <c r="BA411" s="15">
        <f t="shared" si="337"/>
        <v>0.34556313993174065</v>
      </c>
      <c r="BB411" s="15">
        <f t="shared" si="338"/>
        <v>607.5</v>
      </c>
      <c r="BP411" s="16"/>
      <c r="BQ411" s="16"/>
      <c r="BR411" s="16"/>
      <c r="BU411" s="16"/>
      <c r="EZ411" s="16"/>
      <c r="FA411" s="16"/>
      <c r="FB411" s="16"/>
      <c r="FC411" s="16"/>
      <c r="FD411" s="16"/>
      <c r="FE411" s="16"/>
      <c r="FF411" s="16"/>
      <c r="FG411" s="16"/>
      <c r="FH411" s="16"/>
      <c r="FI411" s="16"/>
      <c r="FJ411" s="16"/>
      <c r="FK411" s="16">
        <f t="shared" si="352"/>
        <v>5.12</v>
      </c>
      <c r="FL411" s="16">
        <f t="shared" si="353"/>
        <v>5.28</v>
      </c>
      <c r="FM411" s="15">
        <v>5.12</v>
      </c>
      <c r="FN411" s="15">
        <v>0.1</v>
      </c>
      <c r="FO411" s="15">
        <f>FN411*SQRT(AR411)</f>
        <v>0.17320508075688773</v>
      </c>
      <c r="FP411" s="15">
        <v>5.28</v>
      </c>
      <c r="FQ411" s="15">
        <v>0.1</v>
      </c>
      <c r="FR411" s="15">
        <f>FQ411*SQRT(AR411)</f>
        <v>0.17320508075688773</v>
      </c>
      <c r="FS411" s="15">
        <f t="shared" si="348"/>
        <v>1.03125</v>
      </c>
      <c r="FT411" s="15">
        <f t="shared" si="349"/>
        <v>0.16000000000000014</v>
      </c>
      <c r="FU411" s="15">
        <f t="shared" si="350"/>
        <v>3.0771658666753909E-2</v>
      </c>
      <c r="FV411" s="15">
        <f>((FR411*FR411)/(AR411*FP411*FP411)+(FO411*FO411)/(AR411*FM411*FM411))</f>
        <v>7.4017036935405186E-4</v>
      </c>
      <c r="HE411" s="15">
        <v>932</v>
      </c>
      <c r="HF411" s="15">
        <f>HE411*0.1</f>
        <v>93.2</v>
      </c>
      <c r="HG411" s="15">
        <f>HF411*SQRT(AR166)</f>
        <v>161.42713526541937</v>
      </c>
      <c r="HH411" s="15">
        <v>1064</v>
      </c>
      <c r="HI411" s="15">
        <f>HH411*0.1</f>
        <v>106.4</v>
      </c>
      <c r="HJ411" s="15">
        <f>HI411*SQRT(AR166)</f>
        <v>184.29020592532854</v>
      </c>
      <c r="HK411" s="15">
        <f t="shared" ref="HK411:HK416" si="377">HH411/HE411</f>
        <v>1.1416309012875536</v>
      </c>
      <c r="HL411" s="15">
        <f t="shared" ref="HL411:HL416" si="378">HH411-HE411</f>
        <v>132</v>
      </c>
      <c r="HM411" s="15">
        <f t="shared" ref="HM411:HM416" si="379">LN(HH411)-LN(HE411)</f>
        <v>0.13245785521599895</v>
      </c>
      <c r="HN411" s="15">
        <f>((HJ411*HJ411)/(AR166*HH411*HH411)+(HG411*HG411)/(AR166*HE411*HE411))</f>
        <v>1.9999999999999997E-2</v>
      </c>
      <c r="HP411" s="15" t="s">
        <v>766</v>
      </c>
      <c r="HV411" s="15">
        <f t="shared" ref="HV411:HV416" si="380">HX411/HW411/100</f>
        <v>45.863644629406842</v>
      </c>
      <c r="HW411" s="15">
        <f t="shared" ref="HW411:HW416" si="381">HM411</f>
        <v>0.13245785521599895</v>
      </c>
      <c r="HX411" s="15">
        <f>BB411</f>
        <v>607.5</v>
      </c>
      <c r="HY411" s="15">
        <f>AZ411</f>
        <v>1012.5000000000001</v>
      </c>
      <c r="HZ411" s="15">
        <f>BA411</f>
        <v>0.34556313993174065</v>
      </c>
      <c r="IA411" s="15">
        <f>BB411</f>
        <v>607.5</v>
      </c>
    </row>
    <row r="412" spans="1:235" s="15" customFormat="1" ht="15.6" x14ac:dyDescent="0.25">
      <c r="A412" s="31">
        <v>410</v>
      </c>
      <c r="B412" s="1">
        <v>73</v>
      </c>
      <c r="C412" s="1">
        <v>84</v>
      </c>
      <c r="D412" s="63" t="s">
        <v>371</v>
      </c>
      <c r="E412" s="1">
        <v>1</v>
      </c>
      <c r="F412" s="15" t="s">
        <v>761</v>
      </c>
      <c r="G412" s="15" t="s">
        <v>1237</v>
      </c>
      <c r="H412" s="15" t="s">
        <v>930</v>
      </c>
      <c r="I412" s="1">
        <v>2020</v>
      </c>
      <c r="J412" s="15" t="s">
        <v>1238</v>
      </c>
      <c r="K412" s="1">
        <v>2019</v>
      </c>
      <c r="L412" s="15" t="s">
        <v>1239</v>
      </c>
      <c r="M412" s="15" t="s">
        <v>480</v>
      </c>
      <c r="N412" s="15" t="s">
        <v>23</v>
      </c>
      <c r="O412" s="31">
        <v>2</v>
      </c>
      <c r="P412" s="15">
        <v>24.18</v>
      </c>
      <c r="Q412" s="15">
        <v>104.06</v>
      </c>
      <c r="U412" s="15" t="s">
        <v>549</v>
      </c>
      <c r="V412" s="31">
        <v>1</v>
      </c>
      <c r="W412" s="16" t="s">
        <v>1167</v>
      </c>
      <c r="X412" s="15" t="s">
        <v>1240</v>
      </c>
      <c r="Y412" s="1">
        <v>9</v>
      </c>
      <c r="Z412" s="15">
        <v>5.3</v>
      </c>
      <c r="AA412" s="15" t="s">
        <v>574</v>
      </c>
      <c r="AB412" s="15">
        <f t="shared" si="351"/>
        <v>5.3</v>
      </c>
      <c r="AC412" s="1">
        <v>3</v>
      </c>
      <c r="AD412" s="15">
        <v>32.159999999999997</v>
      </c>
      <c r="AM412" s="1"/>
      <c r="AP412" s="15" t="s">
        <v>697</v>
      </c>
      <c r="AQ412" s="1">
        <v>1</v>
      </c>
      <c r="AR412" s="1">
        <v>3</v>
      </c>
      <c r="AT412" s="15" t="s">
        <v>1236</v>
      </c>
      <c r="AW412" s="15">
        <v>2250</v>
      </c>
      <c r="AX412" s="15">
        <f t="shared" si="376"/>
        <v>3037.5</v>
      </c>
      <c r="AY412" s="15" t="s">
        <v>766</v>
      </c>
      <c r="AZ412" s="15">
        <f t="shared" si="336"/>
        <v>3037.5</v>
      </c>
      <c r="BA412" s="15">
        <f t="shared" si="337"/>
        <v>1.0366894197952217</v>
      </c>
      <c r="BB412" s="15">
        <f t="shared" si="338"/>
        <v>1822.5</v>
      </c>
      <c r="BP412" s="16"/>
      <c r="BQ412" s="16"/>
      <c r="BR412" s="16"/>
      <c r="BU412" s="16"/>
      <c r="EZ412" s="16"/>
      <c r="FA412" s="16"/>
      <c r="FB412" s="16"/>
      <c r="FC412" s="16"/>
      <c r="FD412" s="16"/>
      <c r="FE412" s="16"/>
      <c r="FF412" s="16"/>
      <c r="FG412" s="16"/>
      <c r="FH412" s="16"/>
      <c r="FI412" s="16"/>
      <c r="FJ412" s="16"/>
      <c r="FK412" s="16">
        <f t="shared" si="352"/>
        <v>5.12</v>
      </c>
      <c r="FL412" s="16">
        <f t="shared" si="353"/>
        <v>5.57</v>
      </c>
      <c r="FM412" s="15">
        <v>5.12</v>
      </c>
      <c r="FN412" s="15">
        <v>0.1</v>
      </c>
      <c r="FO412" s="15">
        <f>FN412*SQRT(AR412)</f>
        <v>0.17320508075688773</v>
      </c>
      <c r="FP412" s="15">
        <v>5.57</v>
      </c>
      <c r="FQ412" s="15">
        <v>0.1</v>
      </c>
      <c r="FR412" s="15">
        <f>FQ412*SQRT(AR412)</f>
        <v>0.17320508075688773</v>
      </c>
      <c r="FS412" s="15">
        <f t="shared" si="348"/>
        <v>1.087890625</v>
      </c>
      <c r="FT412" s="15">
        <f t="shared" si="349"/>
        <v>0.45000000000000018</v>
      </c>
      <c r="FU412" s="15">
        <f t="shared" si="350"/>
        <v>8.4240614887776344E-2</v>
      </c>
      <c r="FV412" s="15">
        <f>((FR412*FR412)/(AR412*FP412*FP412)+(FO412*FO412)/(AR412*FM412*FM412))</f>
        <v>7.0379147457780376E-4</v>
      </c>
      <c r="HE412" s="15">
        <v>932</v>
      </c>
      <c r="HF412" s="15">
        <f>HE412*0.1</f>
        <v>93.2</v>
      </c>
      <c r="HG412" s="15">
        <f>HF412*SQRT(AR167)</f>
        <v>161.42713526541937</v>
      </c>
      <c r="HH412" s="15">
        <v>1204</v>
      </c>
      <c r="HI412" s="15">
        <f>HH412*0.1</f>
        <v>120.4</v>
      </c>
      <c r="HJ412" s="15">
        <f>HI412*SQRT(AR167)</f>
        <v>208.53891723129283</v>
      </c>
      <c r="HK412" s="15">
        <f t="shared" si="377"/>
        <v>1.2918454935622317</v>
      </c>
      <c r="HL412" s="15">
        <f t="shared" si="378"/>
        <v>272</v>
      </c>
      <c r="HM412" s="15">
        <f t="shared" si="379"/>
        <v>0.25607181118317524</v>
      </c>
      <c r="HN412" s="15">
        <f>((HJ412*HJ412)/(AR167*HH412*HH412)+(HG412*HG412)/(AR167*HE412*HE412))</f>
        <v>0.02</v>
      </c>
      <c r="HP412" s="15" t="s">
        <v>766</v>
      </c>
      <c r="HV412" s="15">
        <f t="shared" si="380"/>
        <v>71.171441775616429</v>
      </c>
      <c r="HW412" s="15">
        <f t="shared" si="381"/>
        <v>0.25607181118317524</v>
      </c>
      <c r="HX412" s="15">
        <f>BB412</f>
        <v>1822.5</v>
      </c>
      <c r="HY412" s="15">
        <f>AZ412</f>
        <v>3037.5</v>
      </c>
      <c r="HZ412" s="15">
        <f>BA412</f>
        <v>1.0366894197952217</v>
      </c>
      <c r="IA412" s="15">
        <f>BB412</f>
        <v>1822.5</v>
      </c>
    </row>
    <row r="413" spans="1:235" s="15" customFormat="1" ht="15.6" x14ac:dyDescent="0.25">
      <c r="A413" s="31">
        <v>411</v>
      </c>
      <c r="B413" s="1">
        <v>73</v>
      </c>
      <c r="C413" s="1">
        <v>84</v>
      </c>
      <c r="D413" s="63" t="s">
        <v>372</v>
      </c>
      <c r="E413" s="1">
        <v>1</v>
      </c>
      <c r="F413" s="15" t="s">
        <v>761</v>
      </c>
      <c r="G413" s="15" t="s">
        <v>1237</v>
      </c>
      <c r="H413" s="15" t="s">
        <v>930</v>
      </c>
      <c r="I413" s="1">
        <v>2020</v>
      </c>
      <c r="J413" s="15" t="s">
        <v>1238</v>
      </c>
      <c r="K413" s="1">
        <v>2019</v>
      </c>
      <c r="L413" s="15" t="s">
        <v>1239</v>
      </c>
      <c r="M413" s="15" t="s">
        <v>480</v>
      </c>
      <c r="N413" s="15" t="s">
        <v>23</v>
      </c>
      <c r="O413" s="31">
        <v>2</v>
      </c>
      <c r="P413" s="15">
        <v>24.18</v>
      </c>
      <c r="Q413" s="15">
        <v>104.06</v>
      </c>
      <c r="U413" s="15" t="s">
        <v>549</v>
      </c>
      <c r="V413" s="31">
        <v>1</v>
      </c>
      <c r="W413" s="16" t="s">
        <v>1167</v>
      </c>
      <c r="X413" s="15" t="s">
        <v>1240</v>
      </c>
      <c r="Y413" s="1">
        <v>9</v>
      </c>
      <c r="Z413" s="15">
        <v>5.3</v>
      </c>
      <c r="AA413" s="15" t="s">
        <v>574</v>
      </c>
      <c r="AB413" s="15">
        <f t="shared" si="351"/>
        <v>5.3</v>
      </c>
      <c r="AC413" s="1">
        <v>3</v>
      </c>
      <c r="AD413" s="15">
        <v>32.159999999999997</v>
      </c>
      <c r="AM413" s="1"/>
      <c r="AP413" s="15" t="s">
        <v>697</v>
      </c>
      <c r="AQ413" s="1">
        <v>1</v>
      </c>
      <c r="AR413" s="1">
        <v>3</v>
      </c>
      <c r="AT413" s="15" t="s">
        <v>1236</v>
      </c>
      <c r="AW413" s="15">
        <v>3750</v>
      </c>
      <c r="AX413" s="15">
        <f t="shared" si="376"/>
        <v>5062.5</v>
      </c>
      <c r="AY413" s="15" t="s">
        <v>766</v>
      </c>
      <c r="AZ413" s="15">
        <f t="shared" si="336"/>
        <v>5062.5</v>
      </c>
      <c r="BA413" s="15">
        <f t="shared" si="337"/>
        <v>1.7278156996587029</v>
      </c>
      <c r="BB413" s="15">
        <f t="shared" si="338"/>
        <v>3037.5</v>
      </c>
      <c r="BP413" s="16"/>
      <c r="BQ413" s="16"/>
      <c r="BR413" s="16"/>
      <c r="BU413" s="16"/>
      <c r="EZ413" s="16"/>
      <c r="FA413" s="16"/>
      <c r="FB413" s="16"/>
      <c r="FC413" s="16"/>
      <c r="FD413" s="16"/>
      <c r="FE413" s="16"/>
      <c r="FF413" s="16"/>
      <c r="FG413" s="16"/>
      <c r="FH413" s="16"/>
      <c r="FI413" s="16"/>
      <c r="FJ413" s="16"/>
      <c r="FK413" s="16">
        <f t="shared" si="352"/>
        <v>5.12</v>
      </c>
      <c r="FL413" s="16">
        <f t="shared" si="353"/>
        <v>5.9</v>
      </c>
      <c r="FM413" s="15">
        <v>5.12</v>
      </c>
      <c r="FN413" s="15">
        <v>0.1</v>
      </c>
      <c r="FO413" s="15">
        <f>FN413*SQRT(AR413)</f>
        <v>0.17320508075688773</v>
      </c>
      <c r="FP413" s="15">
        <v>5.9</v>
      </c>
      <c r="FQ413" s="15">
        <v>0.1</v>
      </c>
      <c r="FR413" s="15">
        <f>FQ413*SQRT(AR413)</f>
        <v>0.17320508075688773</v>
      </c>
      <c r="FS413" s="15">
        <f t="shared" si="348"/>
        <v>1.15234375</v>
      </c>
      <c r="FT413" s="15">
        <f t="shared" si="349"/>
        <v>0.78000000000000025</v>
      </c>
      <c r="FU413" s="15">
        <f t="shared" si="350"/>
        <v>0.14179791186025748</v>
      </c>
      <c r="FV413" s="15">
        <f>((FR413*FR413)/(AR413*FP413*FP413)+(FO413*FO413)/(AR413*FM413*FM413))</f>
        <v>6.6874349846712507E-4</v>
      </c>
      <c r="HE413" s="15">
        <v>932</v>
      </c>
      <c r="HF413" s="15">
        <f>HE413*0.1</f>
        <v>93.2</v>
      </c>
      <c r="HG413" s="15">
        <f>HF413*SQRT(AR168)</f>
        <v>161.42713526541937</v>
      </c>
      <c r="HH413" s="15">
        <v>1228</v>
      </c>
      <c r="HI413" s="15">
        <f>HH413*0.1</f>
        <v>122.80000000000001</v>
      </c>
      <c r="HJ413" s="15">
        <f>HI413*SQRT(AR168)</f>
        <v>212.69583916945814</v>
      </c>
      <c r="HK413" s="15">
        <f t="shared" si="377"/>
        <v>1.3175965665236051</v>
      </c>
      <c r="HL413" s="15">
        <f t="shared" si="378"/>
        <v>296</v>
      </c>
      <c r="HM413" s="15">
        <f t="shared" si="379"/>
        <v>0.27580929402149668</v>
      </c>
      <c r="HN413" s="15">
        <f>((HJ413*HJ413)/(AR168*HH413*HH413)+(HG413*HG413)/(AR168*HE413*HE413))</f>
        <v>0.02</v>
      </c>
      <c r="HP413" s="15" t="s">
        <v>766</v>
      </c>
      <c r="HV413" s="15">
        <f t="shared" si="380"/>
        <v>110.13044396405496</v>
      </c>
      <c r="HW413" s="15">
        <f t="shared" si="381"/>
        <v>0.27580929402149668</v>
      </c>
      <c r="HX413" s="15">
        <f>BB413</f>
        <v>3037.5</v>
      </c>
      <c r="HY413" s="15">
        <f>AZ413</f>
        <v>5062.5</v>
      </c>
      <c r="HZ413" s="15">
        <f>BA413</f>
        <v>1.7278156996587029</v>
      </c>
      <c r="IA413" s="15">
        <f>BB413</f>
        <v>3037.5</v>
      </c>
    </row>
    <row r="414" spans="1:235" s="15" customFormat="1" ht="15.6" x14ac:dyDescent="0.25">
      <c r="A414" s="31">
        <v>412</v>
      </c>
      <c r="B414" s="1">
        <v>74</v>
      </c>
      <c r="C414" s="1">
        <v>85</v>
      </c>
      <c r="D414" s="63" t="s">
        <v>373</v>
      </c>
      <c r="E414" s="1">
        <v>1</v>
      </c>
      <c r="F414" s="15" t="s">
        <v>761</v>
      </c>
      <c r="G414" s="15" t="s">
        <v>1243</v>
      </c>
      <c r="H414" s="15" t="s">
        <v>1244</v>
      </c>
      <c r="I414" s="1">
        <v>1981</v>
      </c>
      <c r="J414" s="15" t="s">
        <v>1017</v>
      </c>
      <c r="K414" s="1">
        <v>1980</v>
      </c>
      <c r="L414" s="15" t="s">
        <v>1241</v>
      </c>
      <c r="M414" s="15" t="s">
        <v>1242</v>
      </c>
      <c r="N414" s="63" t="s">
        <v>1201</v>
      </c>
      <c r="O414" s="31">
        <v>2</v>
      </c>
      <c r="P414" s="15">
        <v>-43.64</v>
      </c>
      <c r="Q414" s="15">
        <v>172.46</v>
      </c>
      <c r="U414" s="63" t="s">
        <v>807</v>
      </c>
      <c r="V414" s="66">
        <v>2</v>
      </c>
      <c r="W414" s="16" t="s">
        <v>1245</v>
      </c>
      <c r="X414" s="15" t="s">
        <v>1246</v>
      </c>
      <c r="Y414" s="1">
        <v>8</v>
      </c>
      <c r="Z414" s="15">
        <v>4.2</v>
      </c>
      <c r="AA414" s="15" t="s">
        <v>574</v>
      </c>
      <c r="AB414" s="15">
        <f t="shared" si="351"/>
        <v>4.2</v>
      </c>
      <c r="AC414" s="1">
        <v>1</v>
      </c>
      <c r="AF414" s="15">
        <v>15.1</v>
      </c>
      <c r="AH414" s="15">
        <v>6</v>
      </c>
      <c r="AM414" s="1">
        <v>2</v>
      </c>
      <c r="AP414" s="15" t="s">
        <v>1247</v>
      </c>
      <c r="AQ414" s="57">
        <v>2</v>
      </c>
      <c r="AR414" s="1">
        <v>3</v>
      </c>
      <c r="AT414" s="15" t="s">
        <v>1236</v>
      </c>
      <c r="AW414" s="15">
        <v>900</v>
      </c>
      <c r="AX414" s="15">
        <f t="shared" si="376"/>
        <v>1215</v>
      </c>
      <c r="AY414" s="15" t="s">
        <v>766</v>
      </c>
      <c r="AZ414" s="15">
        <f t="shared" si="336"/>
        <v>1215</v>
      </c>
      <c r="BA414" s="15">
        <f t="shared" si="337"/>
        <v>0.41467576791808869</v>
      </c>
      <c r="BB414" s="15">
        <f t="shared" si="338"/>
        <v>729</v>
      </c>
      <c r="BP414" s="16"/>
      <c r="BQ414" s="16"/>
      <c r="BR414" s="16"/>
      <c r="BU414" s="16"/>
      <c r="EZ414" s="16"/>
      <c r="FA414" s="16"/>
      <c r="FB414" s="16"/>
      <c r="FC414" s="16"/>
      <c r="FD414" s="16"/>
      <c r="FE414" s="16"/>
      <c r="FF414" s="16"/>
      <c r="FG414" s="16"/>
      <c r="FH414" s="16"/>
      <c r="FI414" s="16"/>
      <c r="FJ414" s="16"/>
      <c r="FK414" s="16">
        <f t="shared" si="352"/>
        <v>4</v>
      </c>
      <c r="FL414" s="16">
        <f t="shared" si="353"/>
        <v>4.5999999999999996</v>
      </c>
      <c r="FM414" s="15">
        <v>4</v>
      </c>
      <c r="FN414" s="15">
        <f>FM414*0.05</f>
        <v>0.2</v>
      </c>
      <c r="FO414" s="15">
        <f>FN414*SQRT(AR414)</f>
        <v>0.34641016151377546</v>
      </c>
      <c r="FP414" s="15">
        <v>4.5999999999999996</v>
      </c>
      <c r="FQ414" s="15">
        <f>FP414*0.05</f>
        <v>0.22999999999999998</v>
      </c>
      <c r="FR414" s="15">
        <f>FQ414*SQRT(AR414)</f>
        <v>0.3983716857408417</v>
      </c>
      <c r="FS414" s="15">
        <f t="shared" si="348"/>
        <v>1.1499999999999999</v>
      </c>
      <c r="FT414" s="15">
        <f t="shared" si="349"/>
        <v>0.59999999999999964</v>
      </c>
      <c r="FU414" s="15">
        <f t="shared" si="350"/>
        <v>0.1397619423751586</v>
      </c>
      <c r="FV414" s="15">
        <f>((FR414*FR414)/(AR414*FP414*FP414)+(FO414*FO414)/(AR414*FM414*FM414))</f>
        <v>4.9999999999999992E-3</v>
      </c>
      <c r="GI414" s="15">
        <v>14.8</v>
      </c>
      <c r="GJ414" s="15">
        <f>GI414*0.05</f>
        <v>0.7400000000000001</v>
      </c>
      <c r="GK414" s="15">
        <f>GJ414*SQRT(AR151)</f>
        <v>1.2817175976009694</v>
      </c>
      <c r="GL414" s="15">
        <v>14.7</v>
      </c>
      <c r="GM414" s="15">
        <f>GL414*0.05</f>
        <v>0.73499999999999999</v>
      </c>
      <c r="GN414" s="15">
        <f>GM414*SQRT(AR151)</f>
        <v>1.2730573435631247</v>
      </c>
      <c r="GO414" s="63">
        <f>GL414/GI414</f>
        <v>0.9932432432432432</v>
      </c>
      <c r="GP414" s="63">
        <f>GL414-GI414</f>
        <v>-0.10000000000000142</v>
      </c>
      <c r="GQ414" s="15">
        <f>LN(GL414)-LN(GI414)</f>
        <v>-6.7796869853786745E-3</v>
      </c>
      <c r="GR414" s="15">
        <f>((GN414*GN414)/(AR151*GL414*GL414)+(GK414*GK414)/(AR151*GI414*GI414))</f>
        <v>5.000000000000001E-3</v>
      </c>
      <c r="GT414" s="15">
        <v>13</v>
      </c>
      <c r="GU414" s="15">
        <f>GT414*0.05</f>
        <v>0.65</v>
      </c>
      <c r="GV414" s="15">
        <f>GU414*SQRT(AR141)</f>
        <v>1.1258330249197701</v>
      </c>
      <c r="GW414" s="15">
        <v>37</v>
      </c>
      <c r="GX414" s="15">
        <f>GW414*0.05</f>
        <v>1.85</v>
      </c>
      <c r="GY414" s="15">
        <f>GX414*SQRT(AR141)</f>
        <v>3.2042939940024229</v>
      </c>
      <c r="GZ414" s="63">
        <f>GW414/GT414</f>
        <v>2.8461538461538463</v>
      </c>
      <c r="HA414" s="63">
        <f>GW414-GT414</f>
        <v>24</v>
      </c>
      <c r="HB414" s="15">
        <f>LN(GW414)-LN(GT414)</f>
        <v>1.0459685551826876</v>
      </c>
      <c r="HC414" s="15">
        <f>((GY414*GY414)/(AR141*GW414*GW414)+(GV414*GV414)/(AR141*GT414*GT414))</f>
        <v>4.9999999999999992E-3</v>
      </c>
      <c r="HE414" s="15">
        <v>0.12</v>
      </c>
      <c r="HF414" s="15">
        <f>HE414*0.05</f>
        <v>6.0000000000000001E-3</v>
      </c>
      <c r="HG414" s="15">
        <f>HF414*SQRT(AR169)</f>
        <v>1.0392304845413263E-2</v>
      </c>
      <c r="HH414" s="15">
        <v>0.52</v>
      </c>
      <c r="HI414" s="15">
        <f>HH414*0.05</f>
        <v>2.6000000000000002E-2</v>
      </c>
      <c r="HJ414" s="15">
        <f>HI414*SQRT(AR169)</f>
        <v>4.5033320996790811E-2</v>
      </c>
      <c r="HK414" s="15">
        <f t="shared" si="377"/>
        <v>4.3333333333333339</v>
      </c>
      <c r="HL414" s="15">
        <f t="shared" si="378"/>
        <v>0.4</v>
      </c>
      <c r="HM414" s="15">
        <f t="shared" si="379"/>
        <v>1.4663370687934272</v>
      </c>
      <c r="HN414" s="15">
        <f>((HJ414*HJ414)/(AR169*HH414*HH414)+(HG414*HG414)/(AR169*HE414*HE414))</f>
        <v>5.0000000000000001E-3</v>
      </c>
      <c r="HP414" s="15" t="s">
        <v>809</v>
      </c>
      <c r="HV414" s="15">
        <f t="shared" si="380"/>
        <v>4.9715717860140867</v>
      </c>
      <c r="HW414" s="15">
        <f t="shared" si="381"/>
        <v>1.4663370687934272</v>
      </c>
      <c r="HX414" s="15">
        <f>BB414</f>
        <v>729</v>
      </c>
      <c r="HY414" s="15">
        <f>AZ414</f>
        <v>1215</v>
      </c>
      <c r="HZ414" s="15">
        <f>BA414</f>
        <v>0.41467576791808869</v>
      </c>
      <c r="IA414" s="15">
        <f>BB414</f>
        <v>729</v>
      </c>
    </row>
    <row r="415" spans="1:235" s="15" customFormat="1" ht="15.6" x14ac:dyDescent="0.25">
      <c r="A415" s="31">
        <v>413</v>
      </c>
      <c r="B415" s="1">
        <v>74</v>
      </c>
      <c r="C415" s="1">
        <v>85</v>
      </c>
      <c r="D415" s="63" t="s">
        <v>374</v>
      </c>
      <c r="E415" s="1">
        <v>1</v>
      </c>
      <c r="F415" s="15" t="s">
        <v>761</v>
      </c>
      <c r="G415" s="15" t="s">
        <v>1243</v>
      </c>
      <c r="H415" s="15" t="s">
        <v>1244</v>
      </c>
      <c r="I415" s="1">
        <v>1981</v>
      </c>
      <c r="J415" s="15" t="s">
        <v>1017</v>
      </c>
      <c r="K415" s="1">
        <v>1980</v>
      </c>
      <c r="L415" s="15" t="s">
        <v>1241</v>
      </c>
      <c r="M415" s="15" t="s">
        <v>1242</v>
      </c>
      <c r="N415" s="63" t="s">
        <v>1201</v>
      </c>
      <c r="O415" s="31">
        <v>2</v>
      </c>
      <c r="P415" s="15">
        <v>-43.64</v>
      </c>
      <c r="Q415" s="15">
        <v>172.46</v>
      </c>
      <c r="U415" s="63" t="s">
        <v>807</v>
      </c>
      <c r="V415" s="66">
        <v>2</v>
      </c>
      <c r="W415" s="16" t="s">
        <v>1245</v>
      </c>
      <c r="X415" s="15" t="s">
        <v>1246</v>
      </c>
      <c r="Y415" s="1">
        <v>8</v>
      </c>
      <c r="Z415" s="15">
        <v>4.2</v>
      </c>
      <c r="AA415" s="15" t="s">
        <v>574</v>
      </c>
      <c r="AB415" s="15">
        <f t="shared" si="351"/>
        <v>4.2</v>
      </c>
      <c r="AC415" s="1">
        <v>1</v>
      </c>
      <c r="AF415" s="15">
        <v>15.1</v>
      </c>
      <c r="AH415" s="15">
        <v>6</v>
      </c>
      <c r="AM415" s="1">
        <v>2</v>
      </c>
      <c r="AP415" s="15" t="s">
        <v>1247</v>
      </c>
      <c r="AQ415" s="57">
        <v>2</v>
      </c>
      <c r="AR415" s="1">
        <v>3</v>
      </c>
      <c r="AT415" s="15" t="s">
        <v>1236</v>
      </c>
      <c r="AW415" s="15">
        <v>1725</v>
      </c>
      <c r="AX415" s="15">
        <f t="shared" si="376"/>
        <v>2328.75</v>
      </c>
      <c r="AY415" s="15" t="s">
        <v>766</v>
      </c>
      <c r="AZ415" s="15">
        <f t="shared" si="336"/>
        <v>2328.75</v>
      </c>
      <c r="BA415" s="15">
        <f t="shared" si="337"/>
        <v>0.79479522184300333</v>
      </c>
      <c r="BB415" s="15">
        <f t="shared" si="338"/>
        <v>1397.25</v>
      </c>
      <c r="BP415" s="16"/>
      <c r="BQ415" s="16"/>
      <c r="BR415" s="16"/>
      <c r="BU415" s="16"/>
      <c r="EZ415" s="16"/>
      <c r="FA415" s="16"/>
      <c r="FB415" s="16"/>
      <c r="FC415" s="16"/>
      <c r="FD415" s="16"/>
      <c r="FE415" s="16"/>
      <c r="FF415" s="16"/>
      <c r="FG415" s="16"/>
      <c r="FH415" s="16"/>
      <c r="FI415" s="16"/>
      <c r="FJ415" s="16"/>
      <c r="FK415" s="16">
        <f t="shared" si="352"/>
        <v>4</v>
      </c>
      <c r="FL415" s="16">
        <f t="shared" si="353"/>
        <v>5.0999999999999996</v>
      </c>
      <c r="FM415" s="15">
        <v>4</v>
      </c>
      <c r="FN415" s="15">
        <f>FM415*0.05</f>
        <v>0.2</v>
      </c>
      <c r="FO415" s="15">
        <f>FN415*SQRT(AR415)</f>
        <v>0.34641016151377546</v>
      </c>
      <c r="FP415" s="15">
        <v>5.0999999999999996</v>
      </c>
      <c r="FQ415" s="15">
        <f>FP415*0.05</f>
        <v>0.255</v>
      </c>
      <c r="FR415" s="15">
        <f>FQ415*SQRT(AR415)</f>
        <v>0.44167295593006367</v>
      </c>
      <c r="FS415" s="15">
        <f t="shared" si="348"/>
        <v>1.2749999999999999</v>
      </c>
      <c r="FT415" s="15">
        <f t="shared" si="349"/>
        <v>1.0999999999999996</v>
      </c>
      <c r="FU415" s="15">
        <f t="shared" si="350"/>
        <v>0.24294617861038947</v>
      </c>
      <c r="FV415" s="15">
        <f>((FR415*FR415)/(AR415*FP415*FP415)+(FO415*FO415)/(AR415*FM415*FM415))</f>
        <v>5.0000000000000001E-3</v>
      </c>
      <c r="GI415" s="15">
        <v>14.8</v>
      </c>
      <c r="GJ415" s="15">
        <f>GI415*0.05</f>
        <v>0.7400000000000001</v>
      </c>
      <c r="GK415" s="15">
        <f>GJ415*SQRT(AR152)</f>
        <v>1.2817175976009694</v>
      </c>
      <c r="GL415" s="15">
        <v>14.3</v>
      </c>
      <c r="GM415" s="15">
        <f>GL415*0.05</f>
        <v>0.71500000000000008</v>
      </c>
      <c r="GN415" s="15">
        <f>GM415*SQRT(AR152)</f>
        <v>1.2384163274117472</v>
      </c>
      <c r="GO415" s="63">
        <f>GL415/GI415</f>
        <v>0.96621621621621623</v>
      </c>
      <c r="GP415" s="63">
        <f>GL415-GI415</f>
        <v>-0.5</v>
      </c>
      <c r="GQ415" s="15">
        <f>LN(GL415)-LN(GI415)</f>
        <v>-3.4367643504207734E-2</v>
      </c>
      <c r="GR415" s="15">
        <f>((GN415*GN415)/(AR152*GL415*GL415)+(GK415*GK415)/(AR152*GI415*GI415))</f>
        <v>4.9999999999999992E-3</v>
      </c>
      <c r="GT415" s="15">
        <v>13</v>
      </c>
      <c r="GU415" s="15">
        <f>GT415*0.05</f>
        <v>0.65</v>
      </c>
      <c r="GV415" s="15">
        <f>GU415*SQRT(AR142)</f>
        <v>1.1258330249197701</v>
      </c>
      <c r="GW415" s="15">
        <v>62</v>
      </c>
      <c r="GX415" s="15">
        <f>GW415*0.05</f>
        <v>3.1</v>
      </c>
      <c r="GY415" s="15">
        <f>GX415*SQRT(AR142)</f>
        <v>5.3693575034635197</v>
      </c>
      <c r="GZ415" s="63">
        <f>GW415/GT415</f>
        <v>4.7692307692307692</v>
      </c>
      <c r="HA415" s="63">
        <f>GW415-GT415</f>
        <v>49</v>
      </c>
      <c r="HB415" s="15">
        <f>LN(GW415)-LN(GT415)</f>
        <v>1.5621850275835549</v>
      </c>
      <c r="HC415" s="15">
        <f>((GY415*GY415)/(AR142*GW415*GW415)+(GV415*GV415)/(AR142*GT415*GT415))</f>
        <v>4.9999999999999992E-3</v>
      </c>
      <c r="HE415" s="15">
        <v>0.12</v>
      </c>
      <c r="HF415" s="15">
        <f>HE415*0.05</f>
        <v>6.0000000000000001E-3</v>
      </c>
      <c r="HG415" s="15">
        <f>HF415*SQRT(AR170)</f>
        <v>1.0392304845413263E-2</v>
      </c>
      <c r="HH415" s="15">
        <v>0.6</v>
      </c>
      <c r="HI415" s="15">
        <f>HH415*0.05</f>
        <v>0.03</v>
      </c>
      <c r="HJ415" s="15">
        <f>HI415*SQRT(AR170)</f>
        <v>5.1961524227066312E-2</v>
      </c>
      <c r="HK415" s="15">
        <f t="shared" si="377"/>
        <v>5</v>
      </c>
      <c r="HL415" s="15">
        <f t="shared" si="378"/>
        <v>0.48</v>
      </c>
      <c r="HM415" s="15">
        <f t="shared" si="379"/>
        <v>1.6094379124341003</v>
      </c>
      <c r="HN415" s="15">
        <f>((HJ415*HJ415)/(AR170*HH415*HH415)+(HG415*HG415)/(AR170*HE415*HE415))</f>
        <v>4.9999999999999992E-3</v>
      </c>
      <c r="HP415" s="15" t="s">
        <v>809</v>
      </c>
      <c r="HV415" s="15">
        <f t="shared" si="380"/>
        <v>8.6816023731341758</v>
      </c>
      <c r="HW415" s="15">
        <f t="shared" si="381"/>
        <v>1.6094379124341003</v>
      </c>
      <c r="HX415" s="15">
        <f>BB415</f>
        <v>1397.25</v>
      </c>
      <c r="HY415" s="15">
        <f>AZ415</f>
        <v>2328.75</v>
      </c>
      <c r="HZ415" s="15">
        <f>BA415</f>
        <v>0.79479522184300333</v>
      </c>
      <c r="IA415" s="15">
        <f>BB415</f>
        <v>1397.25</v>
      </c>
    </row>
    <row r="416" spans="1:235" s="15" customFormat="1" ht="15.6" x14ac:dyDescent="0.25">
      <c r="A416" s="31">
        <v>414</v>
      </c>
      <c r="B416" s="1">
        <v>74</v>
      </c>
      <c r="C416" s="1">
        <v>85</v>
      </c>
      <c r="D416" s="63" t="s">
        <v>375</v>
      </c>
      <c r="E416" s="1">
        <v>1</v>
      </c>
      <c r="F416" s="15" t="s">
        <v>761</v>
      </c>
      <c r="G416" s="15" t="s">
        <v>1243</v>
      </c>
      <c r="H416" s="15" t="s">
        <v>1244</v>
      </c>
      <c r="I416" s="1">
        <v>1981</v>
      </c>
      <c r="J416" s="15" t="s">
        <v>1017</v>
      </c>
      <c r="K416" s="1">
        <v>1980</v>
      </c>
      <c r="L416" s="15" t="s">
        <v>1241</v>
      </c>
      <c r="M416" s="15" t="s">
        <v>1242</v>
      </c>
      <c r="N416" s="63" t="s">
        <v>1201</v>
      </c>
      <c r="O416" s="31">
        <v>2</v>
      </c>
      <c r="P416" s="15">
        <v>-43.64</v>
      </c>
      <c r="Q416" s="15">
        <v>172.46</v>
      </c>
      <c r="U416" s="63" t="s">
        <v>807</v>
      </c>
      <c r="V416" s="66">
        <v>2</v>
      </c>
      <c r="W416" s="16" t="s">
        <v>1245</v>
      </c>
      <c r="X416" s="15" t="s">
        <v>1246</v>
      </c>
      <c r="Y416" s="1">
        <v>8</v>
      </c>
      <c r="Z416" s="15">
        <v>4.2</v>
      </c>
      <c r="AA416" s="15" t="s">
        <v>574</v>
      </c>
      <c r="AB416" s="15">
        <f t="shared" si="351"/>
        <v>4.2</v>
      </c>
      <c r="AC416" s="1">
        <v>1</v>
      </c>
      <c r="AF416" s="15">
        <v>15.1</v>
      </c>
      <c r="AH416" s="15">
        <v>6</v>
      </c>
      <c r="AM416" s="1">
        <v>2</v>
      </c>
      <c r="AP416" s="15" t="s">
        <v>1247</v>
      </c>
      <c r="AQ416" s="57">
        <v>2</v>
      </c>
      <c r="AR416" s="1">
        <v>3</v>
      </c>
      <c r="AT416" s="15" t="s">
        <v>1236</v>
      </c>
      <c r="AW416" s="15">
        <v>3000</v>
      </c>
      <c r="AX416" s="15">
        <f t="shared" si="376"/>
        <v>4050.0000000000005</v>
      </c>
      <c r="AY416" s="15" t="s">
        <v>766</v>
      </c>
      <c r="AZ416" s="15">
        <f t="shared" si="336"/>
        <v>4050.0000000000005</v>
      </c>
      <c r="BA416" s="15">
        <f t="shared" si="337"/>
        <v>1.3822525597269626</v>
      </c>
      <c r="BB416" s="15">
        <f t="shared" si="338"/>
        <v>2430</v>
      </c>
      <c r="BP416" s="16"/>
      <c r="BQ416" s="16"/>
      <c r="BR416" s="16"/>
      <c r="BU416" s="16"/>
      <c r="EZ416" s="16"/>
      <c r="FA416" s="16"/>
      <c r="FB416" s="16"/>
      <c r="FC416" s="16"/>
      <c r="FD416" s="16"/>
      <c r="FE416" s="16"/>
      <c r="FF416" s="16"/>
      <c r="FG416" s="16"/>
      <c r="FH416" s="16"/>
      <c r="FI416" s="16"/>
      <c r="FJ416" s="16"/>
      <c r="FK416" s="16">
        <f t="shared" si="352"/>
        <v>4</v>
      </c>
      <c r="FL416" s="16">
        <f t="shared" si="353"/>
        <v>5.6</v>
      </c>
      <c r="FM416" s="15">
        <v>4</v>
      </c>
      <c r="FN416" s="15">
        <f>FM416*0.05</f>
        <v>0.2</v>
      </c>
      <c r="FO416" s="15">
        <f>FN416*SQRT(AR416)</f>
        <v>0.34641016151377546</v>
      </c>
      <c r="FP416" s="15">
        <v>5.6</v>
      </c>
      <c r="FQ416" s="15">
        <f>FP416*0.05</f>
        <v>0.27999999999999997</v>
      </c>
      <c r="FR416" s="15">
        <f>FQ416*SQRT(AR416)</f>
        <v>0.48497422611928559</v>
      </c>
      <c r="FS416" s="15">
        <f t="shared" si="348"/>
        <v>1.4</v>
      </c>
      <c r="FT416" s="15">
        <f t="shared" si="349"/>
        <v>1.5999999999999996</v>
      </c>
      <c r="FU416" s="15">
        <f t="shared" si="350"/>
        <v>0.33647223662121295</v>
      </c>
      <c r="FV416" s="15">
        <f>((FR416*FR416)/(AR416*FP416*FP416)+(FO416*FO416)/(AR416*FM416*FM416))</f>
        <v>4.9999999999999992E-3</v>
      </c>
      <c r="GI416" s="15">
        <v>14.8</v>
      </c>
      <c r="GJ416" s="15">
        <f>GI416*0.05</f>
        <v>0.7400000000000001</v>
      </c>
      <c r="GK416" s="15">
        <f>GJ416*SQRT(AR153)</f>
        <v>1.2817175976009694</v>
      </c>
      <c r="GL416" s="15">
        <v>14.1</v>
      </c>
      <c r="GM416" s="15">
        <f>GL416*0.05</f>
        <v>0.70500000000000007</v>
      </c>
      <c r="GN416" s="15">
        <f>GM416*SQRT(AR153)</f>
        <v>1.2210958193360586</v>
      </c>
      <c r="GO416" s="63">
        <f>GL416/GI416</f>
        <v>0.95270270270270263</v>
      </c>
      <c r="GP416" s="63">
        <f>GL416-GI416</f>
        <v>-0.70000000000000107</v>
      </c>
      <c r="GQ416" s="15">
        <f>LN(GL416)-LN(GI416)</f>
        <v>-4.8452383385946707E-2</v>
      </c>
      <c r="GR416" s="15">
        <f>((GN416*GN416)/(AR153*GL416*GL416)+(GK416*GK416)/(AR153*GI416*GI416))</f>
        <v>5.000000000000001E-3</v>
      </c>
      <c r="GT416" s="15">
        <v>13</v>
      </c>
      <c r="GU416" s="15">
        <f>GT416*0.05</f>
        <v>0.65</v>
      </c>
      <c r="GV416" s="15">
        <f>GU416*SQRT(AR143)</f>
        <v>1.1258330249197701</v>
      </c>
      <c r="GW416" s="15">
        <v>95</v>
      </c>
      <c r="GX416" s="15">
        <f>GW416*0.05</f>
        <v>4.75</v>
      </c>
      <c r="GY416" s="15">
        <f>GX416*SQRT(AR143)</f>
        <v>8.2272413359521668</v>
      </c>
      <c r="GZ416" s="63">
        <f>GW416/GT416</f>
        <v>7.3076923076923075</v>
      </c>
      <c r="HA416" s="63">
        <f>GW416-GT416</f>
        <v>82</v>
      </c>
      <c r="HB416" s="15">
        <f>LN(GW416)-LN(GT416)</f>
        <v>1.988927534139004</v>
      </c>
      <c r="HC416" s="15">
        <f>((GY416*GY416)/(AR143*GW416*GW416)+(GV416*GV416)/(AR143*GT416*GT416))</f>
        <v>4.9999999999999992E-3</v>
      </c>
      <c r="HE416" s="15">
        <v>0.12</v>
      </c>
      <c r="HF416" s="15">
        <f>HE416*0.05</f>
        <v>6.0000000000000001E-3</v>
      </c>
      <c r="HG416" s="15">
        <f>HF416*SQRT(AR171)</f>
        <v>1.0392304845413263E-2</v>
      </c>
      <c r="HH416" s="15">
        <v>0.77</v>
      </c>
      <c r="HI416" s="15">
        <f>HH416*0.05</f>
        <v>3.8500000000000006E-2</v>
      </c>
      <c r="HJ416" s="15">
        <f>HI416*SQRT(AR171)</f>
        <v>6.6683956091401778E-2</v>
      </c>
      <c r="HK416" s="15">
        <f t="shared" si="377"/>
        <v>6.416666666666667</v>
      </c>
      <c r="HL416" s="15">
        <f t="shared" si="378"/>
        <v>0.65</v>
      </c>
      <c r="HM416" s="15">
        <f t="shared" si="379"/>
        <v>1.8588987720656835</v>
      </c>
      <c r="HN416" s="15">
        <f>((HJ416*HJ416)/(AR171*HH416*HH416)+(HG416*HG416)/(AR171*HE416*HE416))</f>
        <v>5.0000000000000001E-3</v>
      </c>
      <c r="HP416" s="15" t="s">
        <v>809</v>
      </c>
      <c r="HV416" s="15">
        <f t="shared" si="380"/>
        <v>13.072255662957298</v>
      </c>
      <c r="HW416" s="15">
        <f t="shared" si="381"/>
        <v>1.8588987720656835</v>
      </c>
      <c r="HX416" s="15">
        <f>BB416</f>
        <v>2430</v>
      </c>
      <c r="HY416" s="15">
        <f>AZ416</f>
        <v>4050.0000000000005</v>
      </c>
      <c r="HZ416" s="15">
        <f>BA416</f>
        <v>1.3822525597269626</v>
      </c>
      <c r="IA416" s="15">
        <f>BB416</f>
        <v>2430</v>
      </c>
    </row>
    <row r="417" spans="1:235" s="15" customFormat="1" x14ac:dyDescent="0.25">
      <c r="A417" s="31">
        <v>415</v>
      </c>
      <c r="B417" s="1">
        <v>75</v>
      </c>
      <c r="C417" s="1">
        <v>86</v>
      </c>
      <c r="D417" s="63" t="s">
        <v>376</v>
      </c>
      <c r="E417" s="1">
        <v>1</v>
      </c>
      <c r="F417" s="15" t="s">
        <v>761</v>
      </c>
      <c r="G417" s="15" t="s">
        <v>1248</v>
      </c>
      <c r="H417" s="15" t="s">
        <v>909</v>
      </c>
      <c r="I417" s="1">
        <v>2009</v>
      </c>
      <c r="J417" s="15" t="s">
        <v>1250</v>
      </c>
      <c r="K417" s="1"/>
      <c r="L417" s="15" t="s">
        <v>1254</v>
      </c>
      <c r="M417" s="15" t="s">
        <v>480</v>
      </c>
      <c r="N417" s="15" t="s">
        <v>23</v>
      </c>
      <c r="O417" s="31">
        <v>2</v>
      </c>
      <c r="P417" s="15">
        <v>29.82</v>
      </c>
      <c r="Q417" s="15">
        <v>106.43</v>
      </c>
      <c r="U417" s="63" t="s">
        <v>807</v>
      </c>
      <c r="V417" s="66">
        <v>2</v>
      </c>
      <c r="W417" s="16" t="s">
        <v>1253</v>
      </c>
      <c r="X417" s="15" t="s">
        <v>1249</v>
      </c>
      <c r="Y417" s="1">
        <v>8</v>
      </c>
      <c r="Z417" s="15">
        <v>5.15</v>
      </c>
      <c r="AA417" s="15" t="s">
        <v>574</v>
      </c>
      <c r="AB417" s="15">
        <f t="shared" si="351"/>
        <v>5.15</v>
      </c>
      <c r="AC417" s="1">
        <v>3</v>
      </c>
      <c r="AP417" s="15" t="s">
        <v>1251</v>
      </c>
      <c r="AQ417" s="1">
        <v>8</v>
      </c>
      <c r="AR417" s="1">
        <v>6</v>
      </c>
      <c r="AT417" s="63" t="s">
        <v>886</v>
      </c>
      <c r="AW417" s="63">
        <v>6</v>
      </c>
      <c r="AX417" s="63">
        <f>AW417*2250</f>
        <v>13500</v>
      </c>
      <c r="AY417" s="15" t="s">
        <v>766</v>
      </c>
      <c r="AZ417" s="15">
        <f t="shared" si="336"/>
        <v>13500</v>
      </c>
      <c r="BA417" s="15">
        <f t="shared" si="337"/>
        <v>4.6075085324232079</v>
      </c>
      <c r="BB417" s="15">
        <f t="shared" si="338"/>
        <v>8100</v>
      </c>
      <c r="BP417" s="16"/>
      <c r="BQ417" s="16"/>
      <c r="BR417" s="16"/>
      <c r="BU417" s="16"/>
      <c r="EZ417" s="16"/>
      <c r="FA417" s="16"/>
      <c r="FB417" s="16"/>
      <c r="FC417" s="16"/>
      <c r="FD417" s="16"/>
      <c r="FE417" s="16"/>
      <c r="FF417" s="16"/>
      <c r="FG417" s="16"/>
      <c r="FH417" s="16"/>
      <c r="FI417" s="16"/>
      <c r="FJ417" s="16"/>
      <c r="FK417" s="16">
        <f t="shared" si="352"/>
        <v>5.45</v>
      </c>
      <c r="FL417" s="16">
        <f t="shared" si="353"/>
        <v>6.54</v>
      </c>
      <c r="FM417" s="15">
        <v>5.45</v>
      </c>
      <c r="FN417" s="15">
        <f>FM417*0.05</f>
        <v>0.27250000000000002</v>
      </c>
      <c r="FO417" s="15">
        <f>FN417*SQRT(AR417)</f>
        <v>0.667485954908416</v>
      </c>
      <c r="FP417" s="15">
        <v>6.54</v>
      </c>
      <c r="FQ417" s="15">
        <f>FP417*0.05</f>
        <v>0.32700000000000001</v>
      </c>
      <c r="FR417" s="15">
        <f>FQ417*SQRT(AR417)</f>
        <v>0.80098314589009922</v>
      </c>
      <c r="FS417" s="15">
        <f t="shared" si="348"/>
        <v>1.2</v>
      </c>
      <c r="FT417" s="15">
        <f t="shared" si="349"/>
        <v>1.0899999999999999</v>
      </c>
      <c r="FU417" s="15">
        <f t="shared" si="350"/>
        <v>0.18232155679395445</v>
      </c>
      <c r="FV417" s="15">
        <f>((FR417*FR417)/(AR417*FP417*FP417)+(FO417*FO417)/(AR417*FM417*FM417))</f>
        <v>4.9999999999999992E-3</v>
      </c>
      <c r="HY417" s="15">
        <f>AZ417</f>
        <v>13500</v>
      </c>
      <c r="HZ417" s="15">
        <f>BA417</f>
        <v>4.6075085324232079</v>
      </c>
      <c r="IA417" s="15">
        <f>BB417</f>
        <v>8100</v>
      </c>
    </row>
    <row r="418" spans="1:235" s="15" customFormat="1" x14ac:dyDescent="0.25">
      <c r="A418" s="31">
        <v>416</v>
      </c>
      <c r="B418" s="1">
        <v>76</v>
      </c>
      <c r="C418" s="1">
        <v>87</v>
      </c>
      <c r="D418" s="63" t="s">
        <v>377</v>
      </c>
      <c r="E418" s="1">
        <v>1</v>
      </c>
      <c r="F418" s="15" t="s">
        <v>761</v>
      </c>
      <c r="G418" s="15" t="s">
        <v>1255</v>
      </c>
      <c r="H418" s="15" t="s">
        <v>1256</v>
      </c>
      <c r="I418" s="1">
        <v>2003</v>
      </c>
      <c r="J418" s="15" t="s">
        <v>1257</v>
      </c>
      <c r="K418" s="1">
        <v>2001</v>
      </c>
      <c r="L418" s="15" t="s">
        <v>1258</v>
      </c>
      <c r="M418" s="15" t="s">
        <v>480</v>
      </c>
      <c r="N418" s="15" t="s">
        <v>23</v>
      </c>
      <c r="O418" s="31">
        <v>2</v>
      </c>
      <c r="P418" s="15">
        <v>26.08</v>
      </c>
      <c r="Q418" s="15">
        <v>119.24</v>
      </c>
      <c r="U418" s="15" t="s">
        <v>549</v>
      </c>
      <c r="V418" s="31">
        <v>1</v>
      </c>
      <c r="W418" s="16" t="s">
        <v>1170</v>
      </c>
      <c r="X418" s="15" t="s">
        <v>586</v>
      </c>
      <c r="Y418" s="1">
        <v>6</v>
      </c>
      <c r="Z418" s="15">
        <v>5.2</v>
      </c>
      <c r="AA418" s="15" t="s">
        <v>574</v>
      </c>
      <c r="AB418" s="15">
        <f t="shared" si="351"/>
        <v>5.2</v>
      </c>
      <c r="AC418" s="1">
        <v>3</v>
      </c>
      <c r="AD418" s="15">
        <v>34.5</v>
      </c>
      <c r="AJ418" s="15">
        <v>32.1</v>
      </c>
      <c r="AM418" s="1">
        <v>3</v>
      </c>
      <c r="AQ418" s="1"/>
      <c r="AR418" s="1">
        <v>3</v>
      </c>
      <c r="AT418" s="15" t="s">
        <v>545</v>
      </c>
      <c r="AW418" s="15">
        <v>375</v>
      </c>
      <c r="AX418" s="15">
        <f>AW418*1.78</f>
        <v>667.5</v>
      </c>
      <c r="AY418" s="15" t="s">
        <v>766</v>
      </c>
      <c r="AZ418" s="15">
        <f t="shared" si="336"/>
        <v>667.5</v>
      </c>
      <c r="BA418" s="15">
        <f t="shared" si="337"/>
        <v>0.22781569965870307</v>
      </c>
      <c r="BB418" s="15">
        <f t="shared" si="338"/>
        <v>400.5</v>
      </c>
      <c r="BP418" s="16"/>
      <c r="BQ418" s="16"/>
      <c r="BR418" s="16"/>
      <c r="BU418" s="16"/>
      <c r="EZ418" s="16"/>
      <c r="FA418" s="16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HE418" s="15">
        <v>2095</v>
      </c>
      <c r="HF418" s="15">
        <f t="shared" ref="HF418:HF441" si="382">HE418*0.05</f>
        <v>104.75</v>
      </c>
      <c r="HG418" s="15">
        <f>HF418*SQRT(AR173)</f>
        <v>181.43232209283988</v>
      </c>
      <c r="HH418" s="15">
        <v>2247</v>
      </c>
      <c r="HI418" s="15">
        <f t="shared" ref="HI418:HI441" si="383">HH418*0.05</f>
        <v>112.35000000000001</v>
      </c>
      <c r="HJ418" s="15">
        <f>HI418*SQRT(AR173)</f>
        <v>194.59590823036336</v>
      </c>
      <c r="HK418" s="15">
        <f t="shared" ref="HK418:HK441" si="384">HH418/HE418</f>
        <v>1.0725536992840095</v>
      </c>
      <c r="HL418" s="15">
        <f t="shared" ref="HL418:HL441" si="385">HH418-HE418</f>
        <v>152</v>
      </c>
      <c r="HM418" s="15">
        <f t="shared" ref="HM418:HM441" si="386">LN(HH418)-LN(HE418)</f>
        <v>7.0042439829091308E-2</v>
      </c>
      <c r="HN418" s="15">
        <f>((HJ418*HJ418)/(AR173*HH418*HH418)+(HG418*HG418)/(AR173*HE418*HE418))</f>
        <v>4.9999999999999992E-3</v>
      </c>
      <c r="HP418" s="15" t="s">
        <v>766</v>
      </c>
      <c r="HV418" s="15">
        <f t="shared" ref="HV418:HV441" si="387">HX418/HW418/100</f>
        <v>57.179618667946087</v>
      </c>
      <c r="HW418" s="15">
        <f t="shared" ref="HW418:HW441" si="388">HM418</f>
        <v>7.0042439829091308E-2</v>
      </c>
      <c r="HX418" s="15">
        <f>BB418</f>
        <v>400.5</v>
      </c>
      <c r="HY418" s="15">
        <f>AZ418</f>
        <v>667.5</v>
      </c>
      <c r="HZ418" s="15">
        <f>BA418</f>
        <v>0.22781569965870307</v>
      </c>
      <c r="IA418" s="15">
        <f>BB418</f>
        <v>400.5</v>
      </c>
    </row>
    <row r="419" spans="1:235" s="15" customFormat="1" x14ac:dyDescent="0.25">
      <c r="A419" s="31">
        <v>417</v>
      </c>
      <c r="B419" s="1">
        <v>76</v>
      </c>
      <c r="C419" s="1">
        <v>87</v>
      </c>
      <c r="D419" s="63" t="s">
        <v>378</v>
      </c>
      <c r="E419" s="1">
        <v>1</v>
      </c>
      <c r="F419" s="15" t="s">
        <v>761</v>
      </c>
      <c r="G419" s="15" t="s">
        <v>1255</v>
      </c>
      <c r="H419" s="15" t="s">
        <v>1256</v>
      </c>
      <c r="I419" s="1">
        <v>2003</v>
      </c>
      <c r="J419" s="15" t="s">
        <v>1257</v>
      </c>
      <c r="K419" s="1">
        <v>2001</v>
      </c>
      <c r="L419" s="15" t="s">
        <v>1258</v>
      </c>
      <c r="M419" s="15" t="s">
        <v>480</v>
      </c>
      <c r="N419" s="15" t="s">
        <v>23</v>
      </c>
      <c r="O419" s="31">
        <v>2</v>
      </c>
      <c r="P419" s="15">
        <v>26.08</v>
      </c>
      <c r="Q419" s="15">
        <v>119.24</v>
      </c>
      <c r="U419" s="15" t="s">
        <v>549</v>
      </c>
      <c r="V419" s="31">
        <v>1</v>
      </c>
      <c r="W419" s="16" t="s">
        <v>1170</v>
      </c>
      <c r="X419" s="15" t="s">
        <v>586</v>
      </c>
      <c r="Y419" s="1">
        <v>6</v>
      </c>
      <c r="Z419" s="15">
        <v>5.2</v>
      </c>
      <c r="AA419" s="15" t="s">
        <v>574</v>
      </c>
      <c r="AB419" s="15">
        <f t="shared" si="351"/>
        <v>5.2</v>
      </c>
      <c r="AC419" s="1">
        <v>3</v>
      </c>
      <c r="AD419" s="15">
        <v>34.5</v>
      </c>
      <c r="AJ419" s="15">
        <v>32.1</v>
      </c>
      <c r="AM419" s="1">
        <v>3</v>
      </c>
      <c r="AQ419" s="1"/>
      <c r="AR419" s="1">
        <v>3</v>
      </c>
      <c r="AT419" s="15" t="s">
        <v>545</v>
      </c>
      <c r="AW419" s="15">
        <v>750</v>
      </c>
      <c r="AX419" s="15">
        <f>AW419*1.78</f>
        <v>1335</v>
      </c>
      <c r="AY419" s="15" t="s">
        <v>766</v>
      </c>
      <c r="AZ419" s="15">
        <f t="shared" si="336"/>
        <v>1335</v>
      </c>
      <c r="BA419" s="15">
        <f t="shared" si="337"/>
        <v>0.45563139931740615</v>
      </c>
      <c r="BB419" s="15">
        <f t="shared" si="338"/>
        <v>801</v>
      </c>
      <c r="BP419" s="16"/>
      <c r="BQ419" s="16"/>
      <c r="BR419" s="16"/>
      <c r="BU419" s="16"/>
      <c r="EZ419" s="16"/>
      <c r="FA419" s="16"/>
      <c r="FB419" s="16"/>
      <c r="FC419" s="16"/>
      <c r="FD419" s="16"/>
      <c r="FE419" s="16"/>
      <c r="FF419" s="16"/>
      <c r="FG419" s="16"/>
      <c r="FH419" s="16"/>
      <c r="FI419" s="16"/>
      <c r="FJ419" s="16"/>
      <c r="FK419" s="16"/>
      <c r="FL419" s="16"/>
      <c r="HE419" s="15">
        <v>2095</v>
      </c>
      <c r="HF419" s="15">
        <f t="shared" si="382"/>
        <v>104.75</v>
      </c>
      <c r="HG419" s="15">
        <f>HF419*SQRT(AR174)</f>
        <v>181.43232209283988</v>
      </c>
      <c r="HH419" s="15">
        <v>2295</v>
      </c>
      <c r="HI419" s="15">
        <f t="shared" si="383"/>
        <v>114.75</v>
      </c>
      <c r="HJ419" s="15">
        <f>HI419*SQRT(AR174)</f>
        <v>198.75283016852865</v>
      </c>
      <c r="HK419" s="15">
        <f t="shared" si="384"/>
        <v>1.0954653937947494</v>
      </c>
      <c r="HL419" s="15">
        <f t="shared" si="385"/>
        <v>200</v>
      </c>
      <c r="HM419" s="15">
        <f t="shared" si="386"/>
        <v>9.1179290138407865E-2</v>
      </c>
      <c r="HN419" s="15">
        <f>((HJ419*HJ419)/(AR174*HH419*HH419)+(HG419*HG419)/(AR174*HE419*HE419))</f>
        <v>4.9999999999999992E-3</v>
      </c>
      <c r="HP419" s="15" t="s">
        <v>766</v>
      </c>
      <c r="HV419" s="15">
        <f t="shared" si="387"/>
        <v>87.848896255290242</v>
      </c>
      <c r="HW419" s="15">
        <f t="shared" si="388"/>
        <v>9.1179290138407865E-2</v>
      </c>
      <c r="HX419" s="15">
        <f>BB419</f>
        <v>801</v>
      </c>
      <c r="HY419" s="15">
        <f>AZ419</f>
        <v>1335</v>
      </c>
      <c r="HZ419" s="15">
        <f>BA419</f>
        <v>0.45563139931740615</v>
      </c>
      <c r="IA419" s="15">
        <f>BB419</f>
        <v>801</v>
      </c>
    </row>
    <row r="420" spans="1:235" s="15" customFormat="1" x14ac:dyDescent="0.25">
      <c r="A420" s="31">
        <v>418</v>
      </c>
      <c r="B420" s="1">
        <v>76</v>
      </c>
      <c r="C420" s="1">
        <v>87</v>
      </c>
      <c r="D420" s="63" t="s">
        <v>379</v>
      </c>
      <c r="E420" s="1">
        <v>1</v>
      </c>
      <c r="F420" s="15" t="s">
        <v>761</v>
      </c>
      <c r="G420" s="15" t="s">
        <v>1255</v>
      </c>
      <c r="H420" s="15" t="s">
        <v>1256</v>
      </c>
      <c r="I420" s="1">
        <v>2003</v>
      </c>
      <c r="J420" s="15" t="s">
        <v>1257</v>
      </c>
      <c r="K420" s="1">
        <v>2001</v>
      </c>
      <c r="L420" s="15" t="s">
        <v>1258</v>
      </c>
      <c r="M420" s="15" t="s">
        <v>480</v>
      </c>
      <c r="N420" s="15" t="s">
        <v>23</v>
      </c>
      <c r="O420" s="31">
        <v>2</v>
      </c>
      <c r="P420" s="15">
        <v>26.08</v>
      </c>
      <c r="Q420" s="15">
        <v>119.24</v>
      </c>
      <c r="U420" s="15" t="s">
        <v>549</v>
      </c>
      <c r="V420" s="31">
        <v>1</v>
      </c>
      <c r="W420" s="16" t="s">
        <v>1170</v>
      </c>
      <c r="X420" s="15" t="s">
        <v>586</v>
      </c>
      <c r="Y420" s="1">
        <v>6</v>
      </c>
      <c r="Z420" s="15">
        <v>5.2</v>
      </c>
      <c r="AA420" s="15" t="s">
        <v>574</v>
      </c>
      <c r="AB420" s="15">
        <f t="shared" si="351"/>
        <v>5.2</v>
      </c>
      <c r="AC420" s="1">
        <v>3</v>
      </c>
      <c r="AD420" s="15">
        <v>34.5</v>
      </c>
      <c r="AJ420" s="15">
        <v>32.1</v>
      </c>
      <c r="AM420" s="1">
        <v>3</v>
      </c>
      <c r="AQ420" s="1"/>
      <c r="AR420" s="1">
        <v>3</v>
      </c>
      <c r="AT420" s="15" t="s">
        <v>545</v>
      </c>
      <c r="AW420" s="15">
        <v>1125</v>
      </c>
      <c r="AX420" s="15">
        <f>AW420*1.78</f>
        <v>2002.5</v>
      </c>
      <c r="AY420" s="15" t="s">
        <v>766</v>
      </c>
      <c r="AZ420" s="15">
        <f t="shared" si="336"/>
        <v>2002.5</v>
      </c>
      <c r="BA420" s="15">
        <f t="shared" si="337"/>
        <v>0.68344709897610911</v>
      </c>
      <c r="BB420" s="15">
        <f t="shared" si="338"/>
        <v>1201.5</v>
      </c>
      <c r="BP420" s="16"/>
      <c r="BQ420" s="16"/>
      <c r="BR420" s="16"/>
      <c r="BU420" s="16"/>
      <c r="EZ420" s="16"/>
      <c r="FA420" s="16"/>
      <c r="FB420" s="16"/>
      <c r="FC420" s="16"/>
      <c r="FD420" s="16"/>
      <c r="FE420" s="16"/>
      <c r="FF420" s="16"/>
      <c r="FG420" s="16"/>
      <c r="FH420" s="16"/>
      <c r="FI420" s="16"/>
      <c r="FJ420" s="16"/>
      <c r="FK420" s="16"/>
      <c r="FL420" s="16"/>
      <c r="HE420" s="15">
        <v>2095</v>
      </c>
      <c r="HF420" s="15">
        <f t="shared" si="382"/>
        <v>104.75</v>
      </c>
      <c r="HG420" s="15">
        <f>HF420*SQRT(AR175)</f>
        <v>181.43232209283988</v>
      </c>
      <c r="HH420" s="15">
        <v>2454</v>
      </c>
      <c r="HI420" s="15">
        <f t="shared" si="383"/>
        <v>122.7</v>
      </c>
      <c r="HJ420" s="15">
        <f>HI420*SQRT(AR175)</f>
        <v>212.52263408870124</v>
      </c>
      <c r="HK420" s="15">
        <f t="shared" si="384"/>
        <v>1.1713603818615752</v>
      </c>
      <c r="HL420" s="15">
        <f t="shared" si="385"/>
        <v>359</v>
      </c>
      <c r="HM420" s="15">
        <f t="shared" si="386"/>
        <v>0.15816579291461874</v>
      </c>
      <c r="HN420" s="15">
        <f>((HJ420*HJ420)/(AR175*HH420*HH420)+(HG420*HG420)/(AR175*HE420*HE420))</f>
        <v>4.9999999999999992E-3</v>
      </c>
      <c r="HP420" s="15" t="s">
        <v>766</v>
      </c>
      <c r="HV420" s="15">
        <f t="shared" si="387"/>
        <v>75.964592460810749</v>
      </c>
      <c r="HW420" s="15">
        <f t="shared" si="388"/>
        <v>0.15816579291461874</v>
      </c>
      <c r="HX420" s="15">
        <f>BB420</f>
        <v>1201.5</v>
      </c>
      <c r="HY420" s="15">
        <f>AZ420</f>
        <v>2002.5</v>
      </c>
      <c r="HZ420" s="15">
        <f>BA420</f>
        <v>0.68344709897610911</v>
      </c>
      <c r="IA420" s="15">
        <f>BB420</f>
        <v>1201.5</v>
      </c>
    </row>
    <row r="421" spans="1:235" s="15" customFormat="1" x14ac:dyDescent="0.25">
      <c r="A421" s="31">
        <v>419</v>
      </c>
      <c r="B421" s="1">
        <v>76</v>
      </c>
      <c r="C421" s="1">
        <v>87</v>
      </c>
      <c r="D421" s="63" t="s">
        <v>380</v>
      </c>
      <c r="E421" s="1">
        <v>1</v>
      </c>
      <c r="F421" s="15" t="s">
        <v>761</v>
      </c>
      <c r="G421" s="15" t="s">
        <v>1255</v>
      </c>
      <c r="H421" s="15" t="s">
        <v>1256</v>
      </c>
      <c r="I421" s="1">
        <v>2003</v>
      </c>
      <c r="J421" s="15" t="s">
        <v>1257</v>
      </c>
      <c r="K421" s="1">
        <v>2001</v>
      </c>
      <c r="L421" s="15" t="s">
        <v>1258</v>
      </c>
      <c r="M421" s="15" t="s">
        <v>480</v>
      </c>
      <c r="N421" s="15" t="s">
        <v>23</v>
      </c>
      <c r="O421" s="31">
        <v>2</v>
      </c>
      <c r="P421" s="15">
        <v>26.08</v>
      </c>
      <c r="Q421" s="15">
        <v>119.24</v>
      </c>
      <c r="U421" s="15" t="s">
        <v>549</v>
      </c>
      <c r="V421" s="31">
        <v>1</v>
      </c>
      <c r="W421" s="16" t="s">
        <v>1170</v>
      </c>
      <c r="X421" s="15" t="s">
        <v>586</v>
      </c>
      <c r="Y421" s="1">
        <v>6</v>
      </c>
      <c r="Z421" s="15">
        <v>5.2</v>
      </c>
      <c r="AA421" s="15" t="s">
        <v>574</v>
      </c>
      <c r="AB421" s="15">
        <f t="shared" si="351"/>
        <v>5.2</v>
      </c>
      <c r="AC421" s="1">
        <v>3</v>
      </c>
      <c r="AD421" s="15">
        <v>34.5</v>
      </c>
      <c r="AJ421" s="15">
        <v>32.1</v>
      </c>
      <c r="AM421" s="1">
        <v>3</v>
      </c>
      <c r="AQ421" s="1"/>
      <c r="AR421" s="1">
        <v>3</v>
      </c>
      <c r="AT421" s="15" t="s">
        <v>545</v>
      </c>
      <c r="AW421" s="15">
        <v>1500</v>
      </c>
      <c r="AX421" s="15">
        <f>AW421*1.78</f>
        <v>2670</v>
      </c>
      <c r="AY421" s="15" t="s">
        <v>766</v>
      </c>
      <c r="AZ421" s="15">
        <f t="shared" si="336"/>
        <v>2670</v>
      </c>
      <c r="BA421" s="15">
        <f t="shared" si="337"/>
        <v>0.9112627986348123</v>
      </c>
      <c r="BB421" s="15">
        <f t="shared" si="338"/>
        <v>1602</v>
      </c>
      <c r="BP421" s="16"/>
      <c r="BQ421" s="16"/>
      <c r="BR421" s="16"/>
      <c r="BU421" s="16"/>
      <c r="EZ421" s="16"/>
      <c r="FA421" s="16"/>
      <c r="FB421" s="16"/>
      <c r="FC421" s="16"/>
      <c r="FD421" s="16"/>
      <c r="FE421" s="16"/>
      <c r="FF421" s="16"/>
      <c r="FG421" s="16"/>
      <c r="FH421" s="16"/>
      <c r="FI421" s="16"/>
      <c r="FJ421" s="16"/>
      <c r="FK421" s="16"/>
      <c r="FL421" s="16"/>
      <c r="HE421" s="15">
        <v>2095</v>
      </c>
      <c r="HF421" s="15">
        <f t="shared" si="382"/>
        <v>104.75</v>
      </c>
      <c r="HG421" s="15">
        <f>HF421*SQRT(AR176)</f>
        <v>181.43232209283988</v>
      </c>
      <c r="HH421" s="15">
        <v>2481</v>
      </c>
      <c r="HI421" s="15">
        <f t="shared" si="383"/>
        <v>124.05000000000001</v>
      </c>
      <c r="HJ421" s="15">
        <f>HI421*SQRT(AR176)</f>
        <v>214.86090267891925</v>
      </c>
      <c r="HK421" s="15">
        <f t="shared" si="384"/>
        <v>1.1842482100238663</v>
      </c>
      <c r="HL421" s="15">
        <f t="shared" si="385"/>
        <v>386</v>
      </c>
      <c r="HM421" s="15">
        <f t="shared" si="386"/>
        <v>0.16910815133556323</v>
      </c>
      <c r="HN421" s="15">
        <f>((HJ421*HJ421)/(AR176*HH421*HH421)+(HG421*HG421)/(AR176*HE421*HE421))</f>
        <v>4.9999999999999992E-3</v>
      </c>
      <c r="HP421" s="15" t="s">
        <v>766</v>
      </c>
      <c r="HV421" s="15">
        <f t="shared" si="387"/>
        <v>94.732275608709912</v>
      </c>
      <c r="HW421" s="15">
        <f t="shared" si="388"/>
        <v>0.16910815133556323</v>
      </c>
      <c r="HX421" s="15">
        <f>BB421</f>
        <v>1602</v>
      </c>
      <c r="HY421" s="15">
        <f>AZ421</f>
        <v>2670</v>
      </c>
      <c r="HZ421" s="15">
        <f>BA421</f>
        <v>0.9112627986348123</v>
      </c>
      <c r="IA421" s="15">
        <f>BB421</f>
        <v>1602</v>
      </c>
    </row>
    <row r="422" spans="1:235" s="15" customFormat="1" ht="15.6" x14ac:dyDescent="0.25">
      <c r="A422" s="31">
        <v>420</v>
      </c>
      <c r="B422" s="1">
        <v>76</v>
      </c>
      <c r="C422" s="1">
        <v>88</v>
      </c>
      <c r="D422" s="63" t="s">
        <v>381</v>
      </c>
      <c r="E422" s="1">
        <v>1</v>
      </c>
      <c r="F422" s="15" t="s">
        <v>761</v>
      </c>
      <c r="G422" s="15" t="s">
        <v>1255</v>
      </c>
      <c r="H422" s="15" t="s">
        <v>1256</v>
      </c>
      <c r="I422" s="1">
        <v>2003</v>
      </c>
      <c r="J422" s="15" t="s">
        <v>1257</v>
      </c>
      <c r="K422" s="1">
        <v>2001</v>
      </c>
      <c r="L422" s="15" t="s">
        <v>1258</v>
      </c>
      <c r="M422" s="15" t="s">
        <v>480</v>
      </c>
      <c r="N422" s="15" t="s">
        <v>23</v>
      </c>
      <c r="O422" s="31">
        <v>2</v>
      </c>
      <c r="P422" s="15">
        <v>26.08</v>
      </c>
      <c r="Q422" s="15">
        <v>119.24</v>
      </c>
      <c r="T422" s="67"/>
      <c r="U422" s="63" t="s">
        <v>807</v>
      </c>
      <c r="V422" s="66">
        <v>2</v>
      </c>
      <c r="W422" s="16" t="s">
        <v>1253</v>
      </c>
      <c r="X422" s="15" t="s">
        <v>586</v>
      </c>
      <c r="Y422" s="1">
        <v>6</v>
      </c>
      <c r="Z422" s="15">
        <v>5</v>
      </c>
      <c r="AA422" s="15" t="s">
        <v>574</v>
      </c>
      <c r="AB422" s="15">
        <f t="shared" si="351"/>
        <v>5</v>
      </c>
      <c r="AC422" s="1">
        <v>2</v>
      </c>
      <c r="AD422" s="15">
        <v>21.2</v>
      </c>
      <c r="AJ422" s="15">
        <v>36.4</v>
      </c>
      <c r="AM422" s="1">
        <v>3</v>
      </c>
      <c r="AQ422" s="1"/>
      <c r="AR422" s="1">
        <v>12</v>
      </c>
      <c r="AT422" s="15" t="s">
        <v>545</v>
      </c>
      <c r="AW422" s="15">
        <v>0.2</v>
      </c>
      <c r="AX422" s="15">
        <f t="shared" ref="AX422:AX427" si="389">AW422*1.78*2250</f>
        <v>801.00000000000011</v>
      </c>
      <c r="AY422" s="15" t="s">
        <v>766</v>
      </c>
      <c r="AZ422" s="15">
        <f t="shared" si="336"/>
        <v>801.00000000000011</v>
      </c>
      <c r="BA422" s="15">
        <f t="shared" si="337"/>
        <v>0.27337883959044368</v>
      </c>
      <c r="BB422" s="15">
        <f t="shared" si="338"/>
        <v>480.6</v>
      </c>
      <c r="BP422" s="16"/>
      <c r="BQ422" s="16"/>
      <c r="BR422" s="16"/>
      <c r="BU422" s="16"/>
      <c r="EZ422" s="16"/>
      <c r="FA422" s="16"/>
      <c r="FB422" s="16"/>
      <c r="FC422" s="16"/>
      <c r="FD422" s="16"/>
      <c r="FE422" s="16"/>
      <c r="FF422" s="16"/>
      <c r="FG422" s="16"/>
      <c r="FH422" s="16"/>
      <c r="FI422" s="16"/>
      <c r="FJ422" s="16"/>
      <c r="FK422" s="16">
        <f t="shared" ref="FK422:FK485" si="390">FM422</f>
        <v>5</v>
      </c>
      <c r="FL422" s="16">
        <f t="shared" ref="FL422:FL485" si="391">FP422</f>
        <v>5.6</v>
      </c>
      <c r="FM422" s="15">
        <v>5</v>
      </c>
      <c r="FN422" s="15">
        <f t="shared" ref="FN422:FN441" si="392">FM422*0.05</f>
        <v>0.25</v>
      </c>
      <c r="FO422" s="15">
        <f>FN422*SQRT(AR422)</f>
        <v>0.8660254037844386</v>
      </c>
      <c r="FP422" s="15">
        <v>5.6</v>
      </c>
      <c r="FQ422" s="15">
        <f t="shared" ref="FQ422:FQ441" si="393">FP422*0.05</f>
        <v>0.27999999999999997</v>
      </c>
      <c r="FR422" s="15">
        <f>FQ422*SQRT(AR422)</f>
        <v>0.96994845223857118</v>
      </c>
      <c r="FS422" s="15">
        <f t="shared" ref="FS422:FS485" si="394">FP422/FM422</f>
        <v>1.1199999999999999</v>
      </c>
      <c r="FT422" s="15">
        <f t="shared" ref="FT422:FT485" si="395">FP422-FM422</f>
        <v>0.59999999999999964</v>
      </c>
      <c r="FU422" s="15">
        <f t="shared" ref="FU422:FU485" si="396">LN(FP422)-LN(FM422)</f>
        <v>0.11332868530700324</v>
      </c>
      <c r="FV422" s="15">
        <f>((FR422*FR422)/(AR422*FP422*FP422)+(FO422*FO422)/(AR422*FM422*FM422))</f>
        <v>4.9999999999999992E-3</v>
      </c>
      <c r="HE422" s="15">
        <v>103.12</v>
      </c>
      <c r="HF422" s="15">
        <f t="shared" si="382"/>
        <v>5.1560000000000006</v>
      </c>
      <c r="HG422" s="15">
        <f>HF422*SQRT(AR177)</f>
        <v>8.9304539638251317</v>
      </c>
      <c r="HH422" s="15">
        <v>106.77</v>
      </c>
      <c r="HI422" s="15">
        <f t="shared" si="383"/>
        <v>5.3384999999999998</v>
      </c>
      <c r="HJ422" s="15">
        <f>HI422*SQRT(AR177)</f>
        <v>9.2465532362064504</v>
      </c>
      <c r="HK422" s="15">
        <f t="shared" si="384"/>
        <v>1.0353956555469355</v>
      </c>
      <c r="HL422" s="15">
        <f t="shared" si="385"/>
        <v>3.6499999999999915</v>
      </c>
      <c r="HM422" s="15">
        <f t="shared" si="386"/>
        <v>3.4783629559278495E-2</v>
      </c>
      <c r="HN422" s="15">
        <f>((HJ422*HJ422)/(AR177*HH422*HH422)+(HG422*HG422)/(AR177*HE422*HE422))</f>
        <v>4.9999999999999992E-3</v>
      </c>
      <c r="HP422" s="15" t="s">
        <v>1259</v>
      </c>
      <c r="HV422" s="15">
        <f t="shared" si="387"/>
        <v>138.16844477973706</v>
      </c>
      <c r="HW422" s="15">
        <f t="shared" si="388"/>
        <v>3.4783629559278495E-2</v>
      </c>
      <c r="HX422" s="15">
        <f>BB422</f>
        <v>480.6</v>
      </c>
      <c r="HY422" s="15">
        <f>AZ422</f>
        <v>801.00000000000011</v>
      </c>
      <c r="HZ422" s="15">
        <f>BA422</f>
        <v>0.27337883959044368</v>
      </c>
      <c r="IA422" s="15">
        <f>BB422</f>
        <v>480.6</v>
      </c>
    </row>
    <row r="423" spans="1:235" s="15" customFormat="1" x14ac:dyDescent="0.25">
      <c r="A423" s="31">
        <v>421</v>
      </c>
      <c r="B423" s="1">
        <v>76</v>
      </c>
      <c r="C423" s="1">
        <v>88</v>
      </c>
      <c r="D423" s="63" t="s">
        <v>382</v>
      </c>
      <c r="E423" s="1">
        <v>1</v>
      </c>
      <c r="F423" s="15" t="s">
        <v>761</v>
      </c>
      <c r="G423" s="15" t="s">
        <v>1255</v>
      </c>
      <c r="H423" s="15" t="s">
        <v>1256</v>
      </c>
      <c r="I423" s="1">
        <v>2003</v>
      </c>
      <c r="J423" s="15" t="s">
        <v>1257</v>
      </c>
      <c r="K423" s="1">
        <v>2001</v>
      </c>
      <c r="L423" s="15" t="s">
        <v>1258</v>
      </c>
      <c r="M423" s="15" t="s">
        <v>480</v>
      </c>
      <c r="N423" s="15" t="s">
        <v>23</v>
      </c>
      <c r="O423" s="31">
        <v>2</v>
      </c>
      <c r="P423" s="15">
        <v>26.08</v>
      </c>
      <c r="Q423" s="15">
        <v>119.24</v>
      </c>
      <c r="U423" s="63" t="s">
        <v>807</v>
      </c>
      <c r="V423" s="66">
        <v>2</v>
      </c>
      <c r="W423" s="16" t="s">
        <v>1253</v>
      </c>
      <c r="X423" s="15" t="s">
        <v>586</v>
      </c>
      <c r="Y423" s="1">
        <v>6</v>
      </c>
      <c r="Z423" s="15">
        <v>5</v>
      </c>
      <c r="AA423" s="15" t="s">
        <v>574</v>
      </c>
      <c r="AB423" s="15">
        <f t="shared" si="351"/>
        <v>5</v>
      </c>
      <c r="AC423" s="1">
        <v>2</v>
      </c>
      <c r="AD423" s="15">
        <v>21.2</v>
      </c>
      <c r="AJ423" s="15">
        <v>36.4</v>
      </c>
      <c r="AM423" s="1">
        <v>3</v>
      </c>
      <c r="AQ423" s="1"/>
      <c r="AR423" s="1">
        <v>12</v>
      </c>
      <c r="AT423" s="15" t="s">
        <v>545</v>
      </c>
      <c r="AW423" s="15">
        <v>0.4</v>
      </c>
      <c r="AX423" s="15">
        <f t="shared" si="389"/>
        <v>1602.0000000000002</v>
      </c>
      <c r="AY423" s="15" t="s">
        <v>766</v>
      </c>
      <c r="AZ423" s="15">
        <f t="shared" si="336"/>
        <v>1602.0000000000002</v>
      </c>
      <c r="BA423" s="15">
        <f t="shared" si="337"/>
        <v>0.54675767918088736</v>
      </c>
      <c r="BB423" s="15">
        <f t="shared" si="338"/>
        <v>961.2</v>
      </c>
      <c r="BP423" s="16"/>
      <c r="BQ423" s="16"/>
      <c r="BR423" s="16"/>
      <c r="BU423" s="16"/>
      <c r="EZ423" s="16"/>
      <c r="FA423" s="16"/>
      <c r="FB423" s="16"/>
      <c r="FC423" s="16"/>
      <c r="FD423" s="16"/>
      <c r="FE423" s="16"/>
      <c r="FF423" s="16"/>
      <c r="FG423" s="16"/>
      <c r="FH423" s="16"/>
      <c r="FI423" s="16"/>
      <c r="FJ423" s="16"/>
      <c r="FK423" s="16">
        <f t="shared" si="390"/>
        <v>5</v>
      </c>
      <c r="FL423" s="16">
        <f t="shared" si="391"/>
        <v>6.1</v>
      </c>
      <c r="FM423" s="15">
        <v>5</v>
      </c>
      <c r="FN423" s="15">
        <f t="shared" si="392"/>
        <v>0.25</v>
      </c>
      <c r="FO423" s="15">
        <f>FN423*SQRT(AR423)</f>
        <v>0.8660254037844386</v>
      </c>
      <c r="FP423" s="15">
        <v>6.1</v>
      </c>
      <c r="FQ423" s="15">
        <f t="shared" si="393"/>
        <v>0.30499999999999999</v>
      </c>
      <c r="FR423" s="15">
        <f>FQ423*SQRT(AR423)</f>
        <v>1.0565509926170151</v>
      </c>
      <c r="FS423" s="15">
        <f t="shared" si="394"/>
        <v>1.22</v>
      </c>
      <c r="FT423" s="15">
        <f t="shared" si="395"/>
        <v>1.0999999999999996</v>
      </c>
      <c r="FU423" s="15">
        <f t="shared" si="396"/>
        <v>0.19885085874516517</v>
      </c>
      <c r="FV423" s="15">
        <f>((FR423*FR423)/(AR423*FP423*FP423)+(FO423*FO423)/(AR423*FM423*FM423))</f>
        <v>4.9999999999999992E-3</v>
      </c>
      <c r="HE423" s="15">
        <v>103.12</v>
      </c>
      <c r="HF423" s="15">
        <f t="shared" si="382"/>
        <v>5.1560000000000006</v>
      </c>
      <c r="HG423" s="15">
        <f>HF423*SQRT(AR178)</f>
        <v>8.9304539638251317</v>
      </c>
      <c r="HH423" s="15">
        <v>110.91</v>
      </c>
      <c r="HI423" s="15">
        <f t="shared" si="383"/>
        <v>5.5455000000000005</v>
      </c>
      <c r="HJ423" s="15">
        <f>HI423*SQRT(AR178)</f>
        <v>9.6050877533732102</v>
      </c>
      <c r="HK423" s="15">
        <f t="shared" si="384"/>
        <v>1.0755430566330488</v>
      </c>
      <c r="HL423" s="15">
        <f t="shared" si="385"/>
        <v>7.789999999999992</v>
      </c>
      <c r="HM423" s="15">
        <f t="shared" si="386"/>
        <v>7.2825702985717555E-2</v>
      </c>
      <c r="HN423" s="15">
        <f>((HJ423*HJ423)/(AR178*HH423*HH423)+(HG423*HG423)/(AR178*HE423*HE423))</f>
        <v>5.0000000000000001E-3</v>
      </c>
      <c r="HP423" s="15" t="s">
        <v>1259</v>
      </c>
      <c r="HV423" s="15">
        <f t="shared" si="387"/>
        <v>131.98636753132459</v>
      </c>
      <c r="HW423" s="15">
        <f t="shared" si="388"/>
        <v>7.2825702985717555E-2</v>
      </c>
      <c r="HX423" s="15">
        <f>BB423</f>
        <v>961.2</v>
      </c>
      <c r="HY423" s="15">
        <f>AZ423</f>
        <v>1602.0000000000002</v>
      </c>
      <c r="HZ423" s="15">
        <f>BA423</f>
        <v>0.54675767918088736</v>
      </c>
      <c r="IA423" s="15">
        <f>BB423</f>
        <v>961.2</v>
      </c>
    </row>
    <row r="424" spans="1:235" s="15" customFormat="1" x14ac:dyDescent="0.25">
      <c r="A424" s="31">
        <v>422</v>
      </c>
      <c r="B424" s="1">
        <v>76</v>
      </c>
      <c r="C424" s="1">
        <v>88</v>
      </c>
      <c r="D424" s="63" t="s">
        <v>383</v>
      </c>
      <c r="E424" s="1">
        <v>1</v>
      </c>
      <c r="F424" s="15" t="s">
        <v>761</v>
      </c>
      <c r="G424" s="15" t="s">
        <v>1255</v>
      </c>
      <c r="H424" s="15" t="s">
        <v>1256</v>
      </c>
      <c r="I424" s="1">
        <v>2003</v>
      </c>
      <c r="J424" s="15" t="s">
        <v>1257</v>
      </c>
      <c r="K424" s="1">
        <v>2001</v>
      </c>
      <c r="L424" s="15" t="s">
        <v>1258</v>
      </c>
      <c r="M424" s="15" t="s">
        <v>480</v>
      </c>
      <c r="N424" s="15" t="s">
        <v>23</v>
      </c>
      <c r="O424" s="31">
        <v>2</v>
      </c>
      <c r="P424" s="15">
        <v>26.08</v>
      </c>
      <c r="Q424" s="15">
        <v>119.24</v>
      </c>
      <c r="U424" s="63" t="s">
        <v>807</v>
      </c>
      <c r="V424" s="66">
        <v>2</v>
      </c>
      <c r="W424" s="16" t="s">
        <v>1253</v>
      </c>
      <c r="X424" s="15" t="s">
        <v>586</v>
      </c>
      <c r="Y424" s="1">
        <v>6</v>
      </c>
      <c r="Z424" s="15">
        <v>5</v>
      </c>
      <c r="AA424" s="15" t="s">
        <v>574</v>
      </c>
      <c r="AB424" s="15">
        <f t="shared" si="351"/>
        <v>5</v>
      </c>
      <c r="AC424" s="1">
        <v>2</v>
      </c>
      <c r="AD424" s="15">
        <v>21.2</v>
      </c>
      <c r="AJ424" s="15">
        <v>36.4</v>
      </c>
      <c r="AM424" s="1">
        <v>3</v>
      </c>
      <c r="AQ424" s="1"/>
      <c r="AR424" s="1">
        <v>12</v>
      </c>
      <c r="AT424" s="15" t="s">
        <v>545</v>
      </c>
      <c r="AW424" s="15">
        <v>0.6</v>
      </c>
      <c r="AX424" s="15">
        <f t="shared" si="389"/>
        <v>2403</v>
      </c>
      <c r="AY424" s="15" t="s">
        <v>766</v>
      </c>
      <c r="AZ424" s="15">
        <f t="shared" si="336"/>
        <v>2403</v>
      </c>
      <c r="BA424" s="15">
        <f t="shared" si="337"/>
        <v>0.82013651877133098</v>
      </c>
      <c r="BB424" s="15">
        <f t="shared" si="338"/>
        <v>1441.8</v>
      </c>
      <c r="BP424" s="16"/>
      <c r="BQ424" s="16"/>
      <c r="BR424" s="16"/>
      <c r="BU424" s="16"/>
      <c r="EZ424" s="16"/>
      <c r="FA424" s="16"/>
      <c r="FB424" s="16"/>
      <c r="FC424" s="16"/>
      <c r="FD424" s="16"/>
      <c r="FE424" s="16"/>
      <c r="FF424" s="16"/>
      <c r="FG424" s="16"/>
      <c r="FH424" s="16"/>
      <c r="FI424" s="16"/>
      <c r="FJ424" s="16"/>
      <c r="FK424" s="16">
        <f t="shared" si="390"/>
        <v>5</v>
      </c>
      <c r="FL424" s="16">
        <f t="shared" si="391"/>
        <v>6.6</v>
      </c>
      <c r="FM424" s="15">
        <v>5</v>
      </c>
      <c r="FN424" s="15">
        <f t="shared" si="392"/>
        <v>0.25</v>
      </c>
      <c r="FO424" s="15">
        <f>FN424*SQRT(AR424)</f>
        <v>0.8660254037844386</v>
      </c>
      <c r="FP424" s="15">
        <v>6.6</v>
      </c>
      <c r="FQ424" s="15">
        <f t="shared" si="393"/>
        <v>0.33</v>
      </c>
      <c r="FR424" s="15">
        <f>FQ424*SQRT(AR424)</f>
        <v>1.143153532995459</v>
      </c>
      <c r="FS424" s="15">
        <f t="shared" si="394"/>
        <v>1.3199999999999998</v>
      </c>
      <c r="FT424" s="15">
        <f t="shared" si="395"/>
        <v>1.5999999999999996</v>
      </c>
      <c r="FU424" s="15">
        <f t="shared" si="396"/>
        <v>0.27763173659827944</v>
      </c>
      <c r="FV424" s="15">
        <f>((FR424*FR424)/(AR424*FP424*FP424)+(FO424*FO424)/(AR424*FM424*FM424))</f>
        <v>5.0000000000000001E-3</v>
      </c>
      <c r="HE424" s="15">
        <v>103.12</v>
      </c>
      <c r="HF424" s="15">
        <f t="shared" si="382"/>
        <v>5.1560000000000006</v>
      </c>
      <c r="HG424" s="15">
        <f>HF424*SQRT(AR179)</f>
        <v>8.9304539638251317</v>
      </c>
      <c r="HH424" s="15">
        <v>107.98</v>
      </c>
      <c r="HI424" s="15">
        <f t="shared" si="383"/>
        <v>5.3990000000000009</v>
      </c>
      <c r="HJ424" s="15">
        <f>HI424*SQRT(AR179)</f>
        <v>9.3513423100643696</v>
      </c>
      <c r="HK424" s="15">
        <f t="shared" si="384"/>
        <v>1.0471295577967417</v>
      </c>
      <c r="HL424" s="15">
        <f t="shared" si="385"/>
        <v>4.8599999999999994</v>
      </c>
      <c r="HM424" s="15">
        <f t="shared" si="386"/>
        <v>4.6052666159208222E-2</v>
      </c>
      <c r="HN424" s="15">
        <f>((HJ424*HJ424)/(AR179*HH424*HH424)+(HG424*HG424)/(AR179*HE424*HE424))</f>
        <v>5.000000000000001E-3</v>
      </c>
      <c r="HP424" s="15" t="s">
        <v>1259</v>
      </c>
      <c r="HV424" s="15">
        <f t="shared" si="387"/>
        <v>313.07633634403862</v>
      </c>
      <c r="HW424" s="15">
        <f t="shared" si="388"/>
        <v>4.6052666159208222E-2</v>
      </c>
      <c r="HX424" s="15">
        <f>BB424</f>
        <v>1441.8</v>
      </c>
      <c r="HY424" s="15">
        <f>AZ424</f>
        <v>2403</v>
      </c>
      <c r="HZ424" s="15">
        <f>BA424</f>
        <v>0.82013651877133098</v>
      </c>
      <c r="IA424" s="15">
        <f>BB424</f>
        <v>1441.8</v>
      </c>
    </row>
    <row r="425" spans="1:235" s="15" customFormat="1" x14ac:dyDescent="0.25">
      <c r="A425" s="31">
        <v>423</v>
      </c>
      <c r="B425" s="1">
        <v>76</v>
      </c>
      <c r="C425" s="1">
        <v>88</v>
      </c>
      <c r="D425" s="63" t="s">
        <v>384</v>
      </c>
      <c r="E425" s="1">
        <v>1</v>
      </c>
      <c r="F425" s="15" t="s">
        <v>761</v>
      </c>
      <c r="G425" s="15" t="s">
        <v>1255</v>
      </c>
      <c r="H425" s="15" t="s">
        <v>1256</v>
      </c>
      <c r="I425" s="1">
        <v>2003</v>
      </c>
      <c r="J425" s="15" t="s">
        <v>1257</v>
      </c>
      <c r="K425" s="1">
        <v>2001</v>
      </c>
      <c r="L425" s="15" t="s">
        <v>1258</v>
      </c>
      <c r="M425" s="15" t="s">
        <v>480</v>
      </c>
      <c r="N425" s="15" t="s">
        <v>23</v>
      </c>
      <c r="O425" s="31">
        <v>2</v>
      </c>
      <c r="P425" s="15">
        <v>26.08</v>
      </c>
      <c r="Q425" s="15">
        <v>119.24</v>
      </c>
      <c r="U425" s="63" t="s">
        <v>807</v>
      </c>
      <c r="V425" s="66">
        <v>2</v>
      </c>
      <c r="W425" s="16" t="s">
        <v>1253</v>
      </c>
      <c r="X425" s="15" t="s">
        <v>586</v>
      </c>
      <c r="Y425" s="1">
        <v>6</v>
      </c>
      <c r="Z425" s="15">
        <v>5</v>
      </c>
      <c r="AA425" s="15" t="s">
        <v>574</v>
      </c>
      <c r="AB425" s="15">
        <f t="shared" si="351"/>
        <v>5</v>
      </c>
      <c r="AC425" s="1">
        <v>2</v>
      </c>
      <c r="AD425" s="15">
        <v>21.2</v>
      </c>
      <c r="AJ425" s="15">
        <v>36.4</v>
      </c>
      <c r="AM425" s="1">
        <v>3</v>
      </c>
      <c r="AQ425" s="1"/>
      <c r="AR425" s="1">
        <v>12</v>
      </c>
      <c r="AT425" s="15" t="s">
        <v>545</v>
      </c>
      <c r="AW425" s="15">
        <v>1</v>
      </c>
      <c r="AX425" s="15">
        <f t="shared" si="389"/>
        <v>4005</v>
      </c>
      <c r="AY425" s="15" t="s">
        <v>766</v>
      </c>
      <c r="AZ425" s="15">
        <f t="shared" si="336"/>
        <v>4005</v>
      </c>
      <c r="BA425" s="15">
        <f t="shared" si="337"/>
        <v>1.3668941979522182</v>
      </c>
      <c r="BB425" s="15">
        <f t="shared" si="338"/>
        <v>2403</v>
      </c>
      <c r="BP425" s="16"/>
      <c r="BQ425" s="16"/>
      <c r="BR425" s="16"/>
      <c r="BU425" s="16"/>
      <c r="EZ425" s="16"/>
      <c r="FA425" s="16"/>
      <c r="FB425" s="16"/>
      <c r="FC425" s="16"/>
      <c r="FD425" s="16"/>
      <c r="FE425" s="16"/>
      <c r="FF425" s="16"/>
      <c r="FG425" s="16"/>
      <c r="FH425" s="16"/>
      <c r="FI425" s="16"/>
      <c r="FJ425" s="16"/>
      <c r="FK425" s="16">
        <f t="shared" si="390"/>
        <v>5</v>
      </c>
      <c r="FL425" s="16">
        <f t="shared" si="391"/>
        <v>7</v>
      </c>
      <c r="FM425" s="15">
        <v>5</v>
      </c>
      <c r="FN425" s="15">
        <f t="shared" si="392"/>
        <v>0.25</v>
      </c>
      <c r="FO425" s="15">
        <f>FN425*SQRT(AR425)</f>
        <v>0.8660254037844386</v>
      </c>
      <c r="FP425" s="15">
        <v>7</v>
      </c>
      <c r="FQ425" s="15">
        <f t="shared" si="393"/>
        <v>0.35000000000000003</v>
      </c>
      <c r="FR425" s="15">
        <f>FQ425*SQRT(AR425)</f>
        <v>1.2124355652982142</v>
      </c>
      <c r="FS425" s="15">
        <f t="shared" si="394"/>
        <v>1.4</v>
      </c>
      <c r="FT425" s="15">
        <f t="shared" si="395"/>
        <v>2</v>
      </c>
      <c r="FU425" s="15">
        <f t="shared" si="396"/>
        <v>0.33647223662121295</v>
      </c>
      <c r="FV425" s="15">
        <f>((FR425*FR425)/(AR425*FP425*FP425)+(FO425*FO425)/(AR425*FM425*FM425))</f>
        <v>5.0000000000000001E-3</v>
      </c>
      <c r="HE425" s="15">
        <v>103.12</v>
      </c>
      <c r="HF425" s="15">
        <f t="shared" si="382"/>
        <v>5.1560000000000006</v>
      </c>
      <c r="HG425" s="15">
        <f>HF425*SQRT(AR180)</f>
        <v>8.9304539638251317</v>
      </c>
      <c r="HH425" s="15">
        <v>107.17</v>
      </c>
      <c r="HI425" s="15">
        <f t="shared" si="383"/>
        <v>5.3585000000000003</v>
      </c>
      <c r="HJ425" s="15">
        <f>HI425*SQRT(AR180)</f>
        <v>9.2811942523578281</v>
      </c>
      <c r="HK425" s="15">
        <f t="shared" si="384"/>
        <v>1.0392746314972847</v>
      </c>
      <c r="HL425" s="15">
        <f t="shared" si="385"/>
        <v>4.0499999999999972</v>
      </c>
      <c r="HM425" s="15">
        <f t="shared" si="386"/>
        <v>3.8523000093973359E-2</v>
      </c>
      <c r="HN425" s="15">
        <f>((HJ425*HJ425)/(AR180*HH425*HH425)+(HG425*HG425)/(AR180*HE425*HE425))</f>
        <v>4.9999999999999992E-3</v>
      </c>
      <c r="HP425" s="15" t="s">
        <v>1259</v>
      </c>
      <c r="HV425" s="15">
        <f t="shared" si="387"/>
        <v>623.783192933598</v>
      </c>
      <c r="HW425" s="15">
        <f t="shared" si="388"/>
        <v>3.8523000093973359E-2</v>
      </c>
      <c r="HX425" s="15">
        <f>BB425</f>
        <v>2403</v>
      </c>
      <c r="HY425" s="15">
        <f>AZ425</f>
        <v>4005</v>
      </c>
      <c r="HZ425" s="15">
        <f>BA425</f>
        <v>1.3668941979522182</v>
      </c>
      <c r="IA425" s="15">
        <f>BB425</f>
        <v>2403</v>
      </c>
    </row>
    <row r="426" spans="1:235" s="15" customFormat="1" x14ac:dyDescent="0.25">
      <c r="A426" s="31">
        <v>424</v>
      </c>
      <c r="B426" s="1">
        <v>76</v>
      </c>
      <c r="C426" s="1">
        <v>88</v>
      </c>
      <c r="D426" s="63" t="s">
        <v>385</v>
      </c>
      <c r="E426" s="1">
        <v>1</v>
      </c>
      <c r="F426" s="15" t="s">
        <v>761</v>
      </c>
      <c r="G426" s="15" t="s">
        <v>1255</v>
      </c>
      <c r="H426" s="15" t="s">
        <v>1256</v>
      </c>
      <c r="I426" s="1">
        <v>2003</v>
      </c>
      <c r="J426" s="15" t="s">
        <v>1257</v>
      </c>
      <c r="K426" s="1">
        <v>2001</v>
      </c>
      <c r="L426" s="15" t="s">
        <v>1258</v>
      </c>
      <c r="M426" s="15" t="s">
        <v>480</v>
      </c>
      <c r="N426" s="15" t="s">
        <v>23</v>
      </c>
      <c r="O426" s="31">
        <v>2</v>
      </c>
      <c r="P426" s="15">
        <v>26.08</v>
      </c>
      <c r="Q426" s="15">
        <v>119.24</v>
      </c>
      <c r="U426" s="63" t="s">
        <v>807</v>
      </c>
      <c r="V426" s="66">
        <v>2</v>
      </c>
      <c r="W426" s="16" t="s">
        <v>1253</v>
      </c>
      <c r="X426" s="15" t="s">
        <v>586</v>
      </c>
      <c r="Y426" s="1">
        <v>6</v>
      </c>
      <c r="Z426" s="15">
        <v>5</v>
      </c>
      <c r="AA426" s="15" t="s">
        <v>574</v>
      </c>
      <c r="AB426" s="15">
        <f t="shared" si="351"/>
        <v>5</v>
      </c>
      <c r="AC426" s="1">
        <v>2</v>
      </c>
      <c r="AD426" s="15">
        <v>21.2</v>
      </c>
      <c r="AJ426" s="15">
        <v>36.4</v>
      </c>
      <c r="AM426" s="1">
        <v>3</v>
      </c>
      <c r="AQ426" s="1"/>
      <c r="AR426" s="1">
        <v>12</v>
      </c>
      <c r="AT426" s="15" t="s">
        <v>545</v>
      </c>
      <c r="AW426" s="15">
        <v>1.5</v>
      </c>
      <c r="AX426" s="15">
        <f t="shared" si="389"/>
        <v>6007.5</v>
      </c>
      <c r="AY426" s="15" t="s">
        <v>766</v>
      </c>
      <c r="AZ426" s="15">
        <f t="shared" ref="AZ426:AZ435" si="397">AX426</f>
        <v>6007.5</v>
      </c>
      <c r="BA426" s="15">
        <f t="shared" ref="BA426:BA435" si="398">AZ426/2.93/1000</f>
        <v>2.0503412969283277</v>
      </c>
      <c r="BB426" s="15">
        <f t="shared" ref="BB426:BB435" si="399">AZ426*0.6</f>
        <v>3604.5</v>
      </c>
      <c r="BP426" s="16"/>
      <c r="BQ426" s="16"/>
      <c r="BR426" s="16"/>
      <c r="BU426" s="16"/>
      <c r="EZ426" s="16"/>
      <c r="FA426" s="16"/>
      <c r="FB426" s="16"/>
      <c r="FC426" s="16"/>
      <c r="FD426" s="16"/>
      <c r="FE426" s="16"/>
      <c r="FF426" s="16"/>
      <c r="FG426" s="16"/>
      <c r="FH426" s="16"/>
      <c r="FI426" s="16"/>
      <c r="FJ426" s="16"/>
      <c r="FK426" s="16">
        <f t="shared" si="390"/>
        <v>5</v>
      </c>
      <c r="FL426" s="16">
        <f t="shared" si="391"/>
        <v>7.5</v>
      </c>
      <c r="FM426" s="15">
        <v>5</v>
      </c>
      <c r="FN426" s="15">
        <f t="shared" si="392"/>
        <v>0.25</v>
      </c>
      <c r="FO426" s="15">
        <f>FN426*SQRT(AR426)</f>
        <v>0.8660254037844386</v>
      </c>
      <c r="FP426" s="15">
        <v>7.5</v>
      </c>
      <c r="FQ426" s="15">
        <f t="shared" si="393"/>
        <v>0.375</v>
      </c>
      <c r="FR426" s="15">
        <f>FQ426*SQRT(AR426)</f>
        <v>1.299038105676658</v>
      </c>
      <c r="FS426" s="15">
        <f t="shared" si="394"/>
        <v>1.5</v>
      </c>
      <c r="FT426" s="15">
        <f t="shared" si="395"/>
        <v>2.5</v>
      </c>
      <c r="FU426" s="15">
        <f t="shared" si="396"/>
        <v>0.40546510810816438</v>
      </c>
      <c r="FV426" s="15">
        <f>((FR426*FR426)/(AR426*FP426*FP426)+(FO426*FO426)/(AR426*FM426*FM426))</f>
        <v>4.9999999999999992E-3</v>
      </c>
      <c r="HE426" s="15">
        <v>103.12</v>
      </c>
      <c r="HF426" s="15">
        <f t="shared" si="382"/>
        <v>5.1560000000000006</v>
      </c>
      <c r="HG426" s="15">
        <f>HF426*SQRT(AR181)</f>
        <v>8.9304539638251317</v>
      </c>
      <c r="HH426" s="15">
        <v>98.13</v>
      </c>
      <c r="HI426" s="15">
        <f t="shared" si="383"/>
        <v>4.9065000000000003</v>
      </c>
      <c r="HJ426" s="15">
        <f>HI426*SQRT(AR181)</f>
        <v>8.4983072873366972</v>
      </c>
      <c r="HK426" s="15">
        <f t="shared" si="384"/>
        <v>0.95160977501939481</v>
      </c>
      <c r="HL426" s="15">
        <f t="shared" si="385"/>
        <v>-4.9900000000000091</v>
      </c>
      <c r="HM426" s="15">
        <f t="shared" si="386"/>
        <v>-4.9600228412530534E-2</v>
      </c>
      <c r="HN426" s="15">
        <f>((HJ426*HJ426)/(AR181*HH426*HH426)+(HG426*HG426)/(AR181*HE426*HE426))</f>
        <v>5.000000000000001E-3</v>
      </c>
      <c r="HP426" s="15" t="s">
        <v>1259</v>
      </c>
      <c r="HV426" s="15">
        <f t="shared" si="387"/>
        <v>-726.71036310981845</v>
      </c>
      <c r="HW426" s="15">
        <f t="shared" si="388"/>
        <v>-4.9600228412530534E-2</v>
      </c>
      <c r="HX426" s="15">
        <f>BB426</f>
        <v>3604.5</v>
      </c>
      <c r="HY426" s="15">
        <f>AZ426</f>
        <v>6007.5</v>
      </c>
      <c r="HZ426" s="15">
        <f>BA426</f>
        <v>2.0503412969283277</v>
      </c>
      <c r="IA426" s="15">
        <f>BB426</f>
        <v>3604.5</v>
      </c>
    </row>
    <row r="427" spans="1:235" s="15" customFormat="1" x14ac:dyDescent="0.25">
      <c r="A427" s="31">
        <v>425</v>
      </c>
      <c r="B427" s="1">
        <v>76</v>
      </c>
      <c r="C427" s="1">
        <v>88</v>
      </c>
      <c r="D427" s="63" t="s">
        <v>1260</v>
      </c>
      <c r="E427" s="1">
        <v>1</v>
      </c>
      <c r="F427" s="15" t="s">
        <v>761</v>
      </c>
      <c r="G427" s="15" t="s">
        <v>1255</v>
      </c>
      <c r="H427" s="15" t="s">
        <v>1256</v>
      </c>
      <c r="I427" s="1">
        <v>2003</v>
      </c>
      <c r="J427" s="15" t="s">
        <v>1257</v>
      </c>
      <c r="K427" s="1">
        <v>2001</v>
      </c>
      <c r="L427" s="15" t="s">
        <v>1258</v>
      </c>
      <c r="M427" s="15" t="s">
        <v>480</v>
      </c>
      <c r="N427" s="15" t="s">
        <v>23</v>
      </c>
      <c r="O427" s="31">
        <v>2</v>
      </c>
      <c r="P427" s="15">
        <v>26.08</v>
      </c>
      <c r="Q427" s="15">
        <v>119.24</v>
      </c>
      <c r="U427" s="63" t="s">
        <v>807</v>
      </c>
      <c r="V427" s="66">
        <v>2</v>
      </c>
      <c r="W427" s="16" t="s">
        <v>1253</v>
      </c>
      <c r="X427" s="15" t="s">
        <v>586</v>
      </c>
      <c r="Y427" s="1">
        <v>6</v>
      </c>
      <c r="Z427" s="15">
        <v>5</v>
      </c>
      <c r="AA427" s="15" t="s">
        <v>574</v>
      </c>
      <c r="AB427" s="15">
        <f t="shared" si="351"/>
        <v>5</v>
      </c>
      <c r="AC427" s="1">
        <v>2</v>
      </c>
      <c r="AD427" s="15">
        <v>21.2</v>
      </c>
      <c r="AJ427" s="15">
        <v>36.4</v>
      </c>
      <c r="AM427" s="1">
        <v>3</v>
      </c>
      <c r="AQ427" s="1"/>
      <c r="AR427" s="1">
        <v>12</v>
      </c>
      <c r="AT427" s="15" t="s">
        <v>545</v>
      </c>
      <c r="AW427" s="15">
        <v>2.5</v>
      </c>
      <c r="AX427" s="15">
        <f t="shared" si="389"/>
        <v>10012.5</v>
      </c>
      <c r="AY427" s="15" t="s">
        <v>766</v>
      </c>
      <c r="AZ427" s="15">
        <f t="shared" si="397"/>
        <v>10012.5</v>
      </c>
      <c r="BA427" s="15">
        <f t="shared" si="398"/>
        <v>3.4172354948805461</v>
      </c>
      <c r="BB427" s="15">
        <f t="shared" si="399"/>
        <v>6007.5</v>
      </c>
      <c r="BP427" s="16"/>
      <c r="BQ427" s="16"/>
      <c r="BR427" s="16"/>
      <c r="BU427" s="16"/>
      <c r="EZ427" s="16"/>
      <c r="FA427" s="16"/>
      <c r="FB427" s="16"/>
      <c r="FC427" s="16"/>
      <c r="FD427" s="16"/>
      <c r="FE427" s="16"/>
      <c r="FF427" s="16"/>
      <c r="FG427" s="16"/>
      <c r="FH427" s="16"/>
      <c r="FI427" s="16"/>
      <c r="FJ427" s="16"/>
      <c r="FK427" s="16">
        <f t="shared" si="390"/>
        <v>5</v>
      </c>
      <c r="FL427" s="16">
        <f t="shared" si="391"/>
        <v>8.3000000000000007</v>
      </c>
      <c r="FM427" s="15">
        <v>5</v>
      </c>
      <c r="FN427" s="15">
        <f t="shared" si="392"/>
        <v>0.25</v>
      </c>
      <c r="FO427" s="15">
        <f>FN427*SQRT(AR427)</f>
        <v>0.8660254037844386</v>
      </c>
      <c r="FP427" s="15">
        <v>8.3000000000000007</v>
      </c>
      <c r="FQ427" s="15">
        <f t="shared" si="393"/>
        <v>0.41500000000000004</v>
      </c>
      <c r="FR427" s="15">
        <f>FQ427*SQRT(AR427)</f>
        <v>1.4376021702821682</v>
      </c>
      <c r="FS427" s="15">
        <f t="shared" si="394"/>
        <v>1.6600000000000001</v>
      </c>
      <c r="FT427" s="15">
        <f t="shared" si="395"/>
        <v>3.3000000000000007</v>
      </c>
      <c r="FU427" s="15">
        <f t="shared" si="396"/>
        <v>0.50681760236845208</v>
      </c>
      <c r="FV427" s="15">
        <f>((FR427*FR427)/(AR427*FP427*FP427)+(FO427*FO427)/(AR427*FM427*FM427))</f>
        <v>4.9999999999999992E-3</v>
      </c>
      <c r="HE427" s="15">
        <v>103.12</v>
      </c>
      <c r="HF427" s="15">
        <f t="shared" si="382"/>
        <v>5.1560000000000006</v>
      </c>
      <c r="HG427" s="15">
        <f>HF427*SQRT(AR182)</f>
        <v>8.9304539638251317</v>
      </c>
      <c r="HH427" s="15">
        <v>92.41</v>
      </c>
      <c r="HI427" s="15">
        <f t="shared" si="383"/>
        <v>4.6204999999999998</v>
      </c>
      <c r="HJ427" s="15">
        <f>HI427*SQRT(AR182)</f>
        <v>8.0029407563719968</v>
      </c>
      <c r="HK427" s="15">
        <f t="shared" si="384"/>
        <v>0.89614041892940255</v>
      </c>
      <c r="HL427" s="15">
        <f t="shared" si="385"/>
        <v>-10.710000000000008</v>
      </c>
      <c r="HM427" s="15">
        <f t="shared" si="386"/>
        <v>-0.10965816073098367</v>
      </c>
      <c r="HN427" s="15">
        <f>((HJ427*HJ427)/(AR182*HH427*HH427)+(HG427*HG427)/(AR182*HE427*HE427))</f>
        <v>4.9999999999999992E-3</v>
      </c>
      <c r="HP427" s="15" t="s">
        <v>1259</v>
      </c>
      <c r="HV427" s="15">
        <f t="shared" si="387"/>
        <v>-547.83884390854951</v>
      </c>
      <c r="HW427" s="15">
        <f t="shared" si="388"/>
        <v>-0.10965816073098367</v>
      </c>
      <c r="HX427" s="15">
        <f>BB427</f>
        <v>6007.5</v>
      </c>
      <c r="HY427" s="15">
        <f>AZ427</f>
        <v>10012.5</v>
      </c>
      <c r="HZ427" s="15">
        <f>BA427</f>
        <v>3.4172354948805461</v>
      </c>
      <c r="IA427" s="15">
        <f>BB427</f>
        <v>6007.5</v>
      </c>
    </row>
    <row r="428" spans="1:235" s="15" customFormat="1" x14ac:dyDescent="0.25">
      <c r="A428" s="31">
        <v>426</v>
      </c>
      <c r="B428" s="1">
        <v>77</v>
      </c>
      <c r="C428" s="1">
        <v>89</v>
      </c>
      <c r="D428" s="63" t="s">
        <v>386</v>
      </c>
      <c r="E428" s="1">
        <v>1</v>
      </c>
      <c r="F428" s="15" t="s">
        <v>761</v>
      </c>
      <c r="G428" s="15" t="s">
        <v>1261</v>
      </c>
      <c r="H428" s="15" t="s">
        <v>1262</v>
      </c>
      <c r="I428" s="1">
        <v>2006</v>
      </c>
      <c r="J428" s="15" t="s">
        <v>1263</v>
      </c>
      <c r="K428" s="1" t="s">
        <v>537</v>
      </c>
      <c r="L428" s="15" t="s">
        <v>1264</v>
      </c>
      <c r="M428" s="15" t="s">
        <v>1265</v>
      </c>
      <c r="N428" s="15" t="s">
        <v>538</v>
      </c>
      <c r="O428" s="31">
        <v>1</v>
      </c>
      <c r="P428" s="15">
        <v>3.5</v>
      </c>
      <c r="Q428" s="15">
        <v>11.33</v>
      </c>
      <c r="R428" s="15">
        <v>560</v>
      </c>
      <c r="S428" s="15">
        <v>1800</v>
      </c>
      <c r="U428" s="15" t="s">
        <v>549</v>
      </c>
      <c r="V428" s="31">
        <v>1</v>
      </c>
      <c r="W428" s="16" t="s">
        <v>1226</v>
      </c>
      <c r="X428" s="15" t="s">
        <v>731</v>
      </c>
      <c r="Y428" s="1">
        <v>12</v>
      </c>
      <c r="Z428" s="15">
        <v>4.76</v>
      </c>
      <c r="AA428" s="15" t="s">
        <v>574</v>
      </c>
      <c r="AB428" s="15">
        <f t="shared" si="351"/>
        <v>4.76</v>
      </c>
      <c r="AC428" s="1">
        <v>2</v>
      </c>
      <c r="AF428" s="15">
        <v>3.69</v>
      </c>
      <c r="AM428" s="1"/>
      <c r="AQ428" s="1"/>
      <c r="AR428" s="1">
        <v>6</v>
      </c>
      <c r="AT428" s="15" t="s">
        <v>993</v>
      </c>
      <c r="AW428" s="15">
        <v>500</v>
      </c>
      <c r="AX428" s="15">
        <f t="shared" ref="AX428:AX435" si="400">AW428*1.09</f>
        <v>545</v>
      </c>
      <c r="AY428" s="15" t="s">
        <v>766</v>
      </c>
      <c r="AZ428" s="15">
        <f t="shared" si="397"/>
        <v>545</v>
      </c>
      <c r="BA428" s="15">
        <f t="shared" si="398"/>
        <v>0.18600682593856654</v>
      </c>
      <c r="BB428" s="15">
        <f t="shared" si="399"/>
        <v>327</v>
      </c>
      <c r="BP428" s="16"/>
      <c r="BQ428" s="16"/>
      <c r="BR428" s="16"/>
      <c r="BU428" s="16"/>
      <c r="EZ428" s="16"/>
      <c r="FA428" s="16"/>
      <c r="FB428" s="16"/>
      <c r="FC428" s="16"/>
      <c r="FD428" s="16"/>
      <c r="FE428" s="16"/>
      <c r="FF428" s="16"/>
      <c r="FG428" s="16"/>
      <c r="FH428" s="16"/>
      <c r="FI428" s="16"/>
      <c r="FJ428" s="16"/>
      <c r="FK428" s="16">
        <f t="shared" si="390"/>
        <v>4.54</v>
      </c>
      <c r="FL428" s="16">
        <f t="shared" si="391"/>
        <v>4.7699999999999996</v>
      </c>
      <c r="FM428" s="15">
        <v>4.54</v>
      </c>
      <c r="FN428" s="15">
        <f t="shared" si="392"/>
        <v>0.22700000000000001</v>
      </c>
      <c r="FO428" s="15">
        <f>FN428*SQRT(AR428)</f>
        <v>0.55603417161178137</v>
      </c>
      <c r="FP428" s="15">
        <v>4.7699999999999996</v>
      </c>
      <c r="FQ428" s="15">
        <f t="shared" si="393"/>
        <v>0.23849999999999999</v>
      </c>
      <c r="FR428" s="15">
        <f>FQ428*SQRT(AR428)</f>
        <v>0.58420330365378792</v>
      </c>
      <c r="FS428" s="15">
        <f t="shared" si="394"/>
        <v>1.0506607929515417</v>
      </c>
      <c r="FT428" s="15">
        <f t="shared" si="395"/>
        <v>0.22999999999999954</v>
      </c>
      <c r="FU428" s="15">
        <f t="shared" si="396"/>
        <v>4.9419292846993201E-2</v>
      </c>
      <c r="FV428" s="15">
        <f>((FR428*FR428)/(AR428*FP428*FP428)+(FO428*FO428)/(AR428*FM428*FM428))</f>
        <v>4.9999999999999992E-3</v>
      </c>
      <c r="GI428" s="15">
        <v>4.04</v>
      </c>
      <c r="GJ428" s="15">
        <f t="shared" ref="GJ428:GJ441" si="401">GI428*0.05</f>
        <v>0.20200000000000001</v>
      </c>
      <c r="GK428" s="15">
        <f>GJ428*SQRT(AR151)</f>
        <v>0.34987426312891323</v>
      </c>
      <c r="GL428" s="15">
        <v>4.12</v>
      </c>
      <c r="GM428" s="15">
        <f t="shared" ref="GM428:GM441" si="402">GL428*0.05</f>
        <v>0.20600000000000002</v>
      </c>
      <c r="GN428" s="15">
        <f>GM428*SQRT(AR151)</f>
        <v>0.35680246635918872</v>
      </c>
      <c r="GO428" s="63">
        <f t="shared" ref="GO428:GO441" si="403">GL428/GI428</f>
        <v>1.0198019801980198</v>
      </c>
      <c r="GP428" s="63">
        <f t="shared" ref="GP428:GP441" si="404">GL428-GI428</f>
        <v>8.0000000000000071E-2</v>
      </c>
      <c r="GQ428" s="15">
        <f t="shared" ref="GQ428:GQ441" si="405">LN(GL428)-LN(GI428)</f>
        <v>1.9608471388376403E-2</v>
      </c>
      <c r="GR428" s="15">
        <f>((GN428*GN428)/(AR151*GL428*GL428)+(GK428*GK428)/(AR151*GI428*GI428))</f>
        <v>5.0000000000000001E-3</v>
      </c>
      <c r="GT428" s="15">
        <f>(0.42+0.13)*100/GI428</f>
        <v>13.613861386138616</v>
      </c>
      <c r="GU428" s="15">
        <f t="shared" ref="GU428:GU441" si="406">GT428*0.05</f>
        <v>0.68069306930693085</v>
      </c>
      <c r="GV428" s="15">
        <f>GU428*SQRT(AR141)</f>
        <v>1.1789949803996074</v>
      </c>
      <c r="GW428" s="15">
        <f>(1.21+0.73)*100/GL428</f>
        <v>47.087378640776699</v>
      </c>
      <c r="GX428" s="15">
        <f t="shared" ref="GX428:GX441" si="407">GW428*0.05</f>
        <v>2.354368932038835</v>
      </c>
      <c r="GY428" s="15">
        <f>GX428*SQRT(AR141)</f>
        <v>4.0778866100529392</v>
      </c>
      <c r="GZ428" s="63">
        <f t="shared" ref="GZ428:GZ441" si="408">GW428/GT428</f>
        <v>3.4587819947043243</v>
      </c>
      <c r="HA428" s="63">
        <f t="shared" ref="HA428:HA441" si="409">GW428-GT428</f>
        <v>33.473517254638082</v>
      </c>
      <c r="HB428" s="15">
        <f t="shared" ref="HB428:HB441" si="410">LN(GW428)-LN(GT428)</f>
        <v>1.2409165024424804</v>
      </c>
      <c r="HC428" s="15">
        <f>((GY428*GY428)/(AR141*GW428*GW428)+(GV428*GV428)/(AR141*GT428*GT428))</f>
        <v>5.000000000000001E-3</v>
      </c>
      <c r="HE428" s="15">
        <v>2095</v>
      </c>
      <c r="HF428" s="15">
        <f t="shared" si="382"/>
        <v>104.75</v>
      </c>
      <c r="HG428" s="15">
        <f>HF428*SQRT(AR183)</f>
        <v>181.43232209283988</v>
      </c>
      <c r="HH428" s="15">
        <v>3817</v>
      </c>
      <c r="HI428" s="15">
        <f t="shared" si="383"/>
        <v>190.85000000000002</v>
      </c>
      <c r="HJ428" s="15">
        <f>HI428*SQRT(AR183)</f>
        <v>330.56189662452027</v>
      </c>
      <c r="HK428" s="15">
        <f t="shared" si="384"/>
        <v>1.8219570405727923</v>
      </c>
      <c r="HL428" s="15">
        <f t="shared" si="385"/>
        <v>1722</v>
      </c>
      <c r="HM428" s="15">
        <f t="shared" si="386"/>
        <v>0.59991122038899114</v>
      </c>
      <c r="HN428" s="15">
        <f>((HJ428*HJ428)/(AR183*HH428*HH428)+(HG428*HG428)/(AR183*HE428*HE428))</f>
        <v>5.0000000000000001E-3</v>
      </c>
      <c r="HP428" s="15" t="s">
        <v>766</v>
      </c>
      <c r="HV428" s="15">
        <f t="shared" si="387"/>
        <v>5.4508065341396419</v>
      </c>
      <c r="HW428" s="15">
        <f t="shared" si="388"/>
        <v>0.59991122038899114</v>
      </c>
      <c r="HX428" s="15">
        <f>BB428</f>
        <v>327</v>
      </c>
      <c r="HY428" s="15">
        <f>AZ428</f>
        <v>545</v>
      </c>
      <c r="HZ428" s="15">
        <f>BA428</f>
        <v>0.18600682593856654</v>
      </c>
      <c r="IA428" s="15">
        <f>BB428</f>
        <v>327</v>
      </c>
    </row>
    <row r="429" spans="1:235" s="15" customFormat="1" x14ac:dyDescent="0.25">
      <c r="A429" s="31">
        <v>427</v>
      </c>
      <c r="B429" s="1">
        <v>77</v>
      </c>
      <c r="C429" s="1">
        <v>89</v>
      </c>
      <c r="D429" s="63" t="s">
        <v>387</v>
      </c>
      <c r="E429" s="1">
        <v>1</v>
      </c>
      <c r="F429" s="15" t="s">
        <v>761</v>
      </c>
      <c r="G429" s="15" t="s">
        <v>1261</v>
      </c>
      <c r="H429" s="15" t="s">
        <v>1262</v>
      </c>
      <c r="I429" s="1">
        <v>2006</v>
      </c>
      <c r="J429" s="15" t="s">
        <v>1263</v>
      </c>
      <c r="K429" s="1" t="s">
        <v>537</v>
      </c>
      <c r="L429" s="15" t="s">
        <v>1264</v>
      </c>
      <c r="M429" s="15" t="s">
        <v>1265</v>
      </c>
      <c r="N429" s="15" t="s">
        <v>538</v>
      </c>
      <c r="O429" s="31">
        <v>1</v>
      </c>
      <c r="P429" s="15">
        <v>3.5</v>
      </c>
      <c r="Q429" s="15">
        <v>11.33</v>
      </c>
      <c r="R429" s="15">
        <v>560</v>
      </c>
      <c r="S429" s="15">
        <v>1800</v>
      </c>
      <c r="U429" s="15" t="s">
        <v>549</v>
      </c>
      <c r="V429" s="31">
        <v>1</v>
      </c>
      <c r="W429" s="16" t="s">
        <v>1226</v>
      </c>
      <c r="X429" s="15" t="s">
        <v>731</v>
      </c>
      <c r="Y429" s="1">
        <v>12</v>
      </c>
      <c r="Z429" s="15">
        <v>4.76</v>
      </c>
      <c r="AA429" s="15" t="s">
        <v>574</v>
      </c>
      <c r="AB429" s="15">
        <f t="shared" si="351"/>
        <v>4.76</v>
      </c>
      <c r="AC429" s="1">
        <v>2</v>
      </c>
      <c r="AF429" s="15">
        <v>3.69</v>
      </c>
      <c r="AM429" s="1"/>
      <c r="AQ429" s="1"/>
      <c r="AR429" s="1">
        <v>6</v>
      </c>
      <c r="AT429" s="15" t="s">
        <v>993</v>
      </c>
      <c r="AW429" s="15">
        <v>500</v>
      </c>
      <c r="AX429" s="15">
        <f t="shared" si="400"/>
        <v>545</v>
      </c>
      <c r="AY429" s="15" t="s">
        <v>766</v>
      </c>
      <c r="AZ429" s="15">
        <f t="shared" si="397"/>
        <v>545</v>
      </c>
      <c r="BA429" s="15">
        <f t="shared" si="398"/>
        <v>0.18600682593856654</v>
      </c>
      <c r="BB429" s="15">
        <f t="shared" si="399"/>
        <v>327</v>
      </c>
      <c r="BP429" s="16"/>
      <c r="BQ429" s="16"/>
      <c r="BR429" s="16"/>
      <c r="BU429" s="16"/>
      <c r="EZ429" s="16"/>
      <c r="FA429" s="16"/>
      <c r="FB429" s="16"/>
      <c r="FC429" s="16"/>
      <c r="FD429" s="16"/>
      <c r="FE429" s="16"/>
      <c r="FF429" s="16"/>
      <c r="FG429" s="16"/>
      <c r="FH429" s="16"/>
      <c r="FI429" s="16"/>
      <c r="FJ429" s="16"/>
      <c r="FK429" s="16">
        <f t="shared" si="390"/>
        <v>4.45</v>
      </c>
      <c r="FL429" s="16">
        <f t="shared" si="391"/>
        <v>4.9000000000000004</v>
      </c>
      <c r="FM429" s="15">
        <v>4.45</v>
      </c>
      <c r="FN429" s="15">
        <f t="shared" si="392"/>
        <v>0.22250000000000003</v>
      </c>
      <c r="FO429" s="15">
        <f>FN429*SQRT(AR429)</f>
        <v>0.54501146776925713</v>
      </c>
      <c r="FP429" s="15">
        <v>4.9000000000000004</v>
      </c>
      <c r="FQ429" s="15">
        <f t="shared" si="393"/>
        <v>0.24500000000000002</v>
      </c>
      <c r="FR429" s="15">
        <f>FQ429*SQRT(AR429)</f>
        <v>0.60012498698187866</v>
      </c>
      <c r="FS429" s="15">
        <f t="shared" si="394"/>
        <v>1.101123595505618</v>
      </c>
      <c r="FT429" s="15">
        <f t="shared" si="395"/>
        <v>0.45000000000000018</v>
      </c>
      <c r="FU429" s="15">
        <f t="shared" si="396"/>
        <v>9.6331108938432219E-2</v>
      </c>
      <c r="FV429" s="15">
        <f>((FR429*FR429)/(AR429*FP429*FP429)+(FO429*FO429)/(AR429*FM429*FM429))</f>
        <v>4.9999999999999992E-3</v>
      </c>
      <c r="GI429" s="15">
        <v>3.9</v>
      </c>
      <c r="GJ429" s="15">
        <f t="shared" si="401"/>
        <v>0.19500000000000001</v>
      </c>
      <c r="GK429" s="15">
        <f>GJ429*SQRT(AR152)</f>
        <v>0.33774990747593109</v>
      </c>
      <c r="GL429" s="15">
        <v>4.16</v>
      </c>
      <c r="GM429" s="15">
        <f t="shared" si="402"/>
        <v>0.20800000000000002</v>
      </c>
      <c r="GN429" s="15">
        <f>GM429*SQRT(AR152)</f>
        <v>0.36026656797432649</v>
      </c>
      <c r="GO429" s="63">
        <f t="shared" si="403"/>
        <v>1.0666666666666667</v>
      </c>
      <c r="GP429" s="63">
        <f t="shared" si="404"/>
        <v>0.26000000000000023</v>
      </c>
      <c r="GQ429" s="15">
        <f t="shared" si="405"/>
        <v>6.4538521137571303E-2</v>
      </c>
      <c r="GR429" s="15">
        <f>((GN429*GN429)/(AR152*GL429*GL429)+(GK429*GK429)/(AR152*GI429*GI429))</f>
        <v>5.000000000000001E-3</v>
      </c>
      <c r="GT429" s="15">
        <f>(0.43+0.14)*100/GI429</f>
        <v>14.615384615384617</v>
      </c>
      <c r="GU429" s="15">
        <f t="shared" si="406"/>
        <v>0.73076923076923084</v>
      </c>
      <c r="GV429" s="15">
        <f>GU429*SQRT(AR142)</f>
        <v>1.2657294363003335</v>
      </c>
      <c r="GW429" s="15">
        <f>(1.33+0.85)*100/GL429</f>
        <v>52.40384615384616</v>
      </c>
      <c r="GX429" s="15">
        <f t="shared" si="407"/>
        <v>2.6201923076923084</v>
      </c>
      <c r="GY429" s="15">
        <f>GX429*SQRT(AR142)</f>
        <v>4.5383062025242227</v>
      </c>
      <c r="GZ429" s="63">
        <f t="shared" si="408"/>
        <v>3.5855263157894739</v>
      </c>
      <c r="HA429" s="63">
        <f t="shared" si="409"/>
        <v>37.788461538461547</v>
      </c>
      <c r="HB429" s="15">
        <f t="shared" si="410"/>
        <v>1.2769052738169679</v>
      </c>
      <c r="HC429" s="15">
        <f>((GY429*GY429)/(AR142*GW429*GW429)+(GV429*GV429)/(AR142*GT429*GT429))</f>
        <v>5.0000000000000001E-3</v>
      </c>
      <c r="HE429" s="15">
        <v>2247</v>
      </c>
      <c r="HF429" s="15">
        <f t="shared" si="382"/>
        <v>112.35000000000001</v>
      </c>
      <c r="HG429" s="15">
        <f>HF429*SQRT(AR184)</f>
        <v>194.59590823036336</v>
      </c>
      <c r="HH429" s="15">
        <v>4331</v>
      </c>
      <c r="HI429" s="15">
        <f t="shared" si="383"/>
        <v>216.55</v>
      </c>
      <c r="HJ429" s="15">
        <f>HI429*SQRT(AR184)</f>
        <v>375.07560237904039</v>
      </c>
      <c r="HK429" s="15">
        <f t="shared" si="384"/>
        <v>1.92745883400089</v>
      </c>
      <c r="HL429" s="15">
        <f t="shared" si="385"/>
        <v>2084</v>
      </c>
      <c r="HM429" s="15">
        <f t="shared" si="386"/>
        <v>0.65620246902929757</v>
      </c>
      <c r="HN429" s="15">
        <f>((HJ429*HJ429)/(AR184*HH429*HH429)+(HG429*HG429)/(AR184*HE429*HE429))</f>
        <v>5.0000000000000001E-3</v>
      </c>
      <c r="HP429" s="15" t="s">
        <v>766</v>
      </c>
      <c r="HV429" s="15">
        <f t="shared" si="387"/>
        <v>4.9832180681020937</v>
      </c>
      <c r="HW429" s="15">
        <f t="shared" si="388"/>
        <v>0.65620246902929757</v>
      </c>
      <c r="HX429" s="15">
        <f>BB429</f>
        <v>327</v>
      </c>
      <c r="HY429" s="15">
        <f>AZ429</f>
        <v>545</v>
      </c>
      <c r="HZ429" s="15">
        <f>BA429</f>
        <v>0.18600682593856654</v>
      </c>
      <c r="IA429" s="15">
        <f>BB429</f>
        <v>327</v>
      </c>
    </row>
    <row r="430" spans="1:235" s="15" customFormat="1" x14ac:dyDescent="0.25">
      <c r="A430" s="31">
        <v>428</v>
      </c>
      <c r="B430" s="1">
        <v>77</v>
      </c>
      <c r="C430" s="1">
        <v>89</v>
      </c>
      <c r="D430" s="63" t="s">
        <v>388</v>
      </c>
      <c r="E430" s="1">
        <v>1</v>
      </c>
      <c r="F430" s="15" t="s">
        <v>761</v>
      </c>
      <c r="G430" s="15" t="s">
        <v>1261</v>
      </c>
      <c r="H430" s="15" t="s">
        <v>1262</v>
      </c>
      <c r="I430" s="1">
        <v>2006</v>
      </c>
      <c r="J430" s="15" t="s">
        <v>1263</v>
      </c>
      <c r="K430" s="1" t="s">
        <v>537</v>
      </c>
      <c r="L430" s="15" t="s">
        <v>1264</v>
      </c>
      <c r="M430" s="15" t="s">
        <v>1265</v>
      </c>
      <c r="N430" s="15" t="s">
        <v>538</v>
      </c>
      <c r="O430" s="31">
        <v>1</v>
      </c>
      <c r="P430" s="15">
        <v>3.5</v>
      </c>
      <c r="Q430" s="15">
        <v>11.33</v>
      </c>
      <c r="R430" s="15">
        <v>560</v>
      </c>
      <c r="S430" s="15">
        <v>1800</v>
      </c>
      <c r="U430" s="15" t="s">
        <v>549</v>
      </c>
      <c r="V430" s="31">
        <v>1</v>
      </c>
      <c r="W430" s="16" t="s">
        <v>1226</v>
      </c>
      <c r="X430" s="15" t="s">
        <v>731</v>
      </c>
      <c r="Y430" s="1">
        <v>12</v>
      </c>
      <c r="Z430" s="15">
        <v>4.76</v>
      </c>
      <c r="AA430" s="15" t="s">
        <v>574</v>
      </c>
      <c r="AB430" s="15">
        <f t="shared" si="351"/>
        <v>4.76</v>
      </c>
      <c r="AC430" s="1">
        <v>2</v>
      </c>
      <c r="AF430" s="15">
        <v>3.69</v>
      </c>
      <c r="AM430" s="1"/>
      <c r="AQ430" s="1"/>
      <c r="AR430" s="1">
        <v>6</v>
      </c>
      <c r="AT430" s="15" t="s">
        <v>993</v>
      </c>
      <c r="AW430" s="15">
        <v>500</v>
      </c>
      <c r="AX430" s="15">
        <f t="shared" si="400"/>
        <v>545</v>
      </c>
      <c r="AY430" s="15" t="s">
        <v>766</v>
      </c>
      <c r="AZ430" s="15">
        <f t="shared" si="397"/>
        <v>545</v>
      </c>
      <c r="BA430" s="15">
        <f t="shared" si="398"/>
        <v>0.18600682593856654</v>
      </c>
      <c r="BB430" s="15">
        <f t="shared" si="399"/>
        <v>327</v>
      </c>
      <c r="BP430" s="16"/>
      <c r="BQ430" s="16"/>
      <c r="BR430" s="16"/>
      <c r="BU430" s="16"/>
      <c r="EZ430" s="16"/>
      <c r="FA430" s="16"/>
      <c r="FB430" s="16"/>
      <c r="FC430" s="16"/>
      <c r="FD430" s="16"/>
      <c r="FE430" s="16"/>
      <c r="FF430" s="16"/>
      <c r="FG430" s="16"/>
      <c r="FH430" s="16"/>
      <c r="FI430" s="16"/>
      <c r="FJ430" s="16"/>
      <c r="FK430" s="16">
        <f t="shared" si="390"/>
        <v>4.6100000000000003</v>
      </c>
      <c r="FL430" s="16">
        <f t="shared" si="391"/>
        <v>4.96</v>
      </c>
      <c r="FM430" s="15">
        <v>4.6100000000000003</v>
      </c>
      <c r="FN430" s="15">
        <f t="shared" si="392"/>
        <v>0.23050000000000004</v>
      </c>
      <c r="FO430" s="15">
        <f>FN430*SQRT(AR430)</f>
        <v>0.56460738571152258</v>
      </c>
      <c r="FP430" s="15">
        <v>4.96</v>
      </c>
      <c r="FQ430" s="15">
        <f t="shared" si="393"/>
        <v>0.248</v>
      </c>
      <c r="FR430" s="15">
        <f>FQ430*SQRT(AR430)</f>
        <v>0.60747345621022808</v>
      </c>
      <c r="FS430" s="15">
        <f t="shared" si="394"/>
        <v>1.0759219088937093</v>
      </c>
      <c r="FT430" s="15">
        <f t="shared" si="395"/>
        <v>0.34999999999999964</v>
      </c>
      <c r="FU430" s="15">
        <f t="shared" si="396"/>
        <v>7.3177883728278825E-2</v>
      </c>
      <c r="FV430" s="15">
        <f>((FR430*FR430)/(AR430*FP430*FP430)+(FO430*FO430)/(AR430*FM430*FM430))</f>
        <v>4.9999999999999992E-3</v>
      </c>
      <c r="GI430" s="15">
        <v>4.0199999999999996</v>
      </c>
      <c r="GJ430" s="15">
        <f t="shared" si="401"/>
        <v>0.20099999999999998</v>
      </c>
      <c r="GK430" s="15">
        <f>GJ430*SQRT(AR153)</f>
        <v>0.34814221232134429</v>
      </c>
      <c r="GL430" s="15">
        <v>4.0199999999999996</v>
      </c>
      <c r="GM430" s="15">
        <f t="shared" si="402"/>
        <v>0.20099999999999998</v>
      </c>
      <c r="GN430" s="15">
        <f>GM430*SQRT(AR153)</f>
        <v>0.34814221232134429</v>
      </c>
      <c r="GO430" s="63">
        <f t="shared" si="403"/>
        <v>1</v>
      </c>
      <c r="GP430" s="63">
        <f t="shared" si="404"/>
        <v>0</v>
      </c>
      <c r="GQ430" s="15">
        <f t="shared" si="405"/>
        <v>0</v>
      </c>
      <c r="GR430" s="15">
        <f>((GN430*GN430)/(AR153*GL430*GL430)+(GK430*GK430)/(AR153*GI430*GI430))</f>
        <v>5.0000000000000001E-3</v>
      </c>
      <c r="GT430" s="15">
        <f>(0.78+0.21)*100/GI430</f>
        <v>24.626865671641795</v>
      </c>
      <c r="GU430" s="15">
        <f t="shared" si="406"/>
        <v>1.2313432835820899</v>
      </c>
      <c r="GV430" s="15">
        <f>GU430*SQRT(AR143)</f>
        <v>2.1327491287228719</v>
      </c>
      <c r="GW430" s="15">
        <f>(1.38+0.8)*100/GL430</f>
        <v>54.228855721393032</v>
      </c>
      <c r="GX430" s="15">
        <f t="shared" si="407"/>
        <v>2.7114427860696519</v>
      </c>
      <c r="GY430" s="15">
        <f>GX430*SQRT(AR143)</f>
        <v>4.6963566672887467</v>
      </c>
      <c r="GZ430" s="63">
        <f t="shared" si="408"/>
        <v>2.2020202020202015</v>
      </c>
      <c r="HA430" s="63">
        <f t="shared" si="409"/>
        <v>29.601990049751237</v>
      </c>
      <c r="HB430" s="15">
        <f t="shared" si="410"/>
        <v>0.78937521265449861</v>
      </c>
      <c r="HC430" s="15">
        <f>((GY430*GY430)/(AR143*GW430*GW430)+(GV430*GV430)/(AR143*GT430*GT430))</f>
        <v>5.000000000000001E-3</v>
      </c>
      <c r="HE430" s="15">
        <v>3627</v>
      </c>
      <c r="HF430" s="15">
        <f t="shared" si="382"/>
        <v>181.35000000000002</v>
      </c>
      <c r="HG430" s="15">
        <f>HF430*SQRT(AR185)</f>
        <v>314.1074139526159</v>
      </c>
      <c r="HH430" s="15">
        <v>4856</v>
      </c>
      <c r="HI430" s="15">
        <f t="shared" si="383"/>
        <v>242.8</v>
      </c>
      <c r="HJ430" s="15">
        <f>HI430*SQRT(AR185)</f>
        <v>420.54193607772339</v>
      </c>
      <c r="HK430" s="15">
        <f t="shared" si="384"/>
        <v>1.3388475323959195</v>
      </c>
      <c r="HL430" s="15">
        <f t="shared" si="385"/>
        <v>1229</v>
      </c>
      <c r="HM430" s="15">
        <f t="shared" si="386"/>
        <v>0.29180919345643197</v>
      </c>
      <c r="HN430" s="15">
        <f>((HJ430*HJ430)/(AR185*HH430*HH430)+(HG430*HG430)/(AR185*HE430*HE430))</f>
        <v>5.0000000000000001E-3</v>
      </c>
      <c r="HP430" s="15" t="s">
        <v>766</v>
      </c>
      <c r="HV430" s="15">
        <f t="shared" si="387"/>
        <v>11.205952633867998</v>
      </c>
      <c r="HW430" s="15">
        <f t="shared" si="388"/>
        <v>0.29180919345643197</v>
      </c>
      <c r="HX430" s="15">
        <f>BB430</f>
        <v>327</v>
      </c>
      <c r="HY430" s="15">
        <f>AZ430</f>
        <v>545</v>
      </c>
      <c r="HZ430" s="15">
        <f>BA430</f>
        <v>0.18600682593856654</v>
      </c>
      <c r="IA430" s="15">
        <f>BB430</f>
        <v>327</v>
      </c>
    </row>
    <row r="431" spans="1:235" s="15" customFormat="1" x14ac:dyDescent="0.25">
      <c r="A431" s="31">
        <v>429</v>
      </c>
      <c r="B431" s="1">
        <v>77</v>
      </c>
      <c r="C431" s="1">
        <v>89</v>
      </c>
      <c r="D431" s="63" t="s">
        <v>389</v>
      </c>
      <c r="E431" s="1">
        <v>1</v>
      </c>
      <c r="F431" s="15" t="s">
        <v>761</v>
      </c>
      <c r="G431" s="15" t="s">
        <v>1261</v>
      </c>
      <c r="H431" s="15" t="s">
        <v>1262</v>
      </c>
      <c r="I431" s="1">
        <v>2006</v>
      </c>
      <c r="J431" s="15" t="s">
        <v>1263</v>
      </c>
      <c r="K431" s="1" t="s">
        <v>537</v>
      </c>
      <c r="L431" s="15" t="s">
        <v>1264</v>
      </c>
      <c r="M431" s="15" t="s">
        <v>1265</v>
      </c>
      <c r="N431" s="15" t="s">
        <v>538</v>
      </c>
      <c r="O431" s="31">
        <v>1</v>
      </c>
      <c r="P431" s="15">
        <v>3.5</v>
      </c>
      <c r="Q431" s="15">
        <v>11.33</v>
      </c>
      <c r="R431" s="15">
        <v>560</v>
      </c>
      <c r="S431" s="15">
        <v>1800</v>
      </c>
      <c r="U431" s="15" t="s">
        <v>549</v>
      </c>
      <c r="V431" s="31">
        <v>1</v>
      </c>
      <c r="W431" s="16" t="s">
        <v>1226</v>
      </c>
      <c r="X431" s="15" t="s">
        <v>731</v>
      </c>
      <c r="Y431" s="1">
        <v>12</v>
      </c>
      <c r="Z431" s="15">
        <v>4.76</v>
      </c>
      <c r="AA431" s="15" t="s">
        <v>574</v>
      </c>
      <c r="AB431" s="15">
        <f t="shared" si="351"/>
        <v>4.76</v>
      </c>
      <c r="AC431" s="1">
        <v>2</v>
      </c>
      <c r="AF431" s="15">
        <v>3.69</v>
      </c>
      <c r="AM431" s="1"/>
      <c r="AQ431" s="1"/>
      <c r="AR431" s="1">
        <v>6</v>
      </c>
      <c r="AT431" s="15" t="s">
        <v>993</v>
      </c>
      <c r="AW431" s="15">
        <v>500</v>
      </c>
      <c r="AX431" s="15">
        <f t="shared" si="400"/>
        <v>545</v>
      </c>
      <c r="AY431" s="15" t="s">
        <v>766</v>
      </c>
      <c r="AZ431" s="15">
        <f t="shared" si="397"/>
        <v>545</v>
      </c>
      <c r="BA431" s="15">
        <f t="shared" si="398"/>
        <v>0.18600682593856654</v>
      </c>
      <c r="BB431" s="15">
        <f t="shared" si="399"/>
        <v>327</v>
      </c>
      <c r="BP431" s="16"/>
      <c r="BQ431" s="16"/>
      <c r="BR431" s="16"/>
      <c r="BU431" s="16"/>
      <c r="EZ431" s="16"/>
      <c r="FA431" s="16"/>
      <c r="FB431" s="16"/>
      <c r="FC431" s="16"/>
      <c r="FD431" s="16"/>
      <c r="FE431" s="16"/>
      <c r="FF431" s="16"/>
      <c r="FG431" s="16"/>
      <c r="FH431" s="16"/>
      <c r="FI431" s="16"/>
      <c r="FJ431" s="16"/>
      <c r="FK431" s="16">
        <f t="shared" si="390"/>
        <v>4.76</v>
      </c>
      <c r="FL431" s="16">
        <f t="shared" si="391"/>
        <v>5.09</v>
      </c>
      <c r="FM431" s="15">
        <v>4.76</v>
      </c>
      <c r="FN431" s="15">
        <f t="shared" si="392"/>
        <v>0.23799999999999999</v>
      </c>
      <c r="FO431" s="15">
        <f>FN431*SQRT(AR431)</f>
        <v>0.58297855878239635</v>
      </c>
      <c r="FP431" s="15">
        <v>5.09</v>
      </c>
      <c r="FQ431" s="15">
        <f t="shared" si="393"/>
        <v>0.2545</v>
      </c>
      <c r="FR431" s="15">
        <f>FQ431*SQRT(AR431)</f>
        <v>0.62339513953831882</v>
      </c>
      <c r="FS431" s="15">
        <f t="shared" si="394"/>
        <v>1.069327731092437</v>
      </c>
      <c r="FT431" s="15">
        <f t="shared" si="395"/>
        <v>0.33000000000000007</v>
      </c>
      <c r="FU431" s="15">
        <f t="shared" si="396"/>
        <v>6.7030162319102748E-2</v>
      </c>
      <c r="FV431" s="15">
        <f>((FR431*FR431)/(AR431*FP431*FP431)+(FO431*FO431)/(AR431*FM431*FM431))</f>
        <v>5.0000000000000001E-3</v>
      </c>
      <c r="GI431" s="15">
        <v>3.94</v>
      </c>
      <c r="GJ431" s="15">
        <f t="shared" si="401"/>
        <v>0.19700000000000001</v>
      </c>
      <c r="GK431" s="15">
        <f>GJ431*SQRT(AR154)</f>
        <v>0.3412140090910688</v>
      </c>
      <c r="GL431" s="15">
        <v>4.55</v>
      </c>
      <c r="GM431" s="15">
        <f t="shared" si="402"/>
        <v>0.22750000000000001</v>
      </c>
      <c r="GN431" s="15">
        <f>GM431*SQRT(AR154)</f>
        <v>0.39404155872191959</v>
      </c>
      <c r="GO431" s="63">
        <f t="shared" si="403"/>
        <v>1.1548223350253808</v>
      </c>
      <c r="GP431" s="63">
        <f t="shared" si="404"/>
        <v>0.60999999999999988</v>
      </c>
      <c r="GQ431" s="15">
        <f t="shared" si="405"/>
        <v>0.14394650965301659</v>
      </c>
      <c r="GR431" s="15">
        <f>((GN431*GN431)/(AR154*GL431*GL431)+(GK431*GK431)/(AR154*GI431*GI431))</f>
        <v>5.000000000000001E-3</v>
      </c>
      <c r="GT431" s="15">
        <f>(0.96+0.2)*100/GI431</f>
        <v>29.44162436548223</v>
      </c>
      <c r="GU431" s="15">
        <f t="shared" si="406"/>
        <v>1.4720812182741116</v>
      </c>
      <c r="GV431" s="15">
        <f>GU431*SQRT(AR144)</f>
        <v>2.5497194629186515</v>
      </c>
      <c r="GW431" s="15">
        <f>(1.62+1.01)*100/GL431</f>
        <v>57.802197802197803</v>
      </c>
      <c r="GX431" s="15">
        <f t="shared" si="407"/>
        <v>2.8901098901098905</v>
      </c>
      <c r="GY431" s="15">
        <f>GX431*SQRT(AR144)</f>
        <v>5.005817169127635</v>
      </c>
      <c r="GZ431" s="63">
        <f t="shared" si="408"/>
        <v>1.9632815460401669</v>
      </c>
      <c r="HA431" s="63">
        <f t="shared" si="409"/>
        <v>28.360573436715573</v>
      </c>
      <c r="HB431" s="15">
        <f t="shared" si="410"/>
        <v>0.67461733141838343</v>
      </c>
      <c r="HC431" s="15">
        <f>((GY431*GY431)/(AR144*GW431*GW431)+(GV431*GV431)/(AR144*GT431*GT431))</f>
        <v>5.0000000000000001E-3</v>
      </c>
      <c r="HE431" s="15">
        <v>3932</v>
      </c>
      <c r="HF431" s="15">
        <f t="shared" si="382"/>
        <v>196.60000000000002</v>
      </c>
      <c r="HG431" s="15">
        <f>HF431*SQRT(AR186)</f>
        <v>340.52118876804127</v>
      </c>
      <c r="HH431" s="15">
        <v>4855</v>
      </c>
      <c r="HI431" s="15">
        <f t="shared" si="383"/>
        <v>242.75</v>
      </c>
      <c r="HJ431" s="15">
        <f>HI431*SQRT(AR186)</f>
        <v>420.45533353734493</v>
      </c>
      <c r="HK431" s="15">
        <f t="shared" si="384"/>
        <v>1.2347405900305188</v>
      </c>
      <c r="HL431" s="15">
        <f t="shared" si="385"/>
        <v>923</v>
      </c>
      <c r="HM431" s="15">
        <f t="shared" si="386"/>
        <v>0.21086089945836761</v>
      </c>
      <c r="HN431" s="15">
        <f>((HJ431*HJ431)/(AR186*HH431*HH431)+(HG431*HG431)/(AR186*HE431*HE431))</f>
        <v>4.9999999999999992E-3</v>
      </c>
      <c r="HP431" s="15" t="s">
        <v>766</v>
      </c>
      <c r="HV431" s="15">
        <f t="shared" si="387"/>
        <v>15.507853795556958</v>
      </c>
      <c r="HW431" s="15">
        <f t="shared" si="388"/>
        <v>0.21086089945836761</v>
      </c>
      <c r="HX431" s="15">
        <f>BB431</f>
        <v>327</v>
      </c>
      <c r="HY431" s="15">
        <f>AZ431</f>
        <v>545</v>
      </c>
      <c r="HZ431" s="15">
        <f>BA431</f>
        <v>0.18600682593856654</v>
      </c>
      <c r="IA431" s="15">
        <f>BB431</f>
        <v>327</v>
      </c>
    </row>
    <row r="432" spans="1:235" s="15" customFormat="1" x14ac:dyDescent="0.25">
      <c r="A432" s="31">
        <v>430</v>
      </c>
      <c r="B432" s="1">
        <v>77</v>
      </c>
      <c r="C432" s="1">
        <v>89</v>
      </c>
      <c r="D432" s="63" t="s">
        <v>390</v>
      </c>
      <c r="E432" s="1">
        <v>1</v>
      </c>
      <c r="F432" s="15" t="s">
        <v>761</v>
      </c>
      <c r="G432" s="15" t="s">
        <v>1261</v>
      </c>
      <c r="H432" s="15" t="s">
        <v>1262</v>
      </c>
      <c r="I432" s="1">
        <v>2006</v>
      </c>
      <c r="J432" s="15" t="s">
        <v>1263</v>
      </c>
      <c r="K432" s="1" t="s">
        <v>537</v>
      </c>
      <c r="L432" s="15" t="s">
        <v>1264</v>
      </c>
      <c r="M432" s="15" t="s">
        <v>1265</v>
      </c>
      <c r="N432" s="15" t="s">
        <v>538</v>
      </c>
      <c r="O432" s="31">
        <v>1</v>
      </c>
      <c r="P432" s="15">
        <v>3.5</v>
      </c>
      <c r="Q432" s="15">
        <v>11.33</v>
      </c>
      <c r="R432" s="15">
        <v>560</v>
      </c>
      <c r="S432" s="15">
        <v>1800</v>
      </c>
      <c r="U432" s="15" t="s">
        <v>549</v>
      </c>
      <c r="V432" s="31">
        <v>1</v>
      </c>
      <c r="W432" s="16" t="s">
        <v>1226</v>
      </c>
      <c r="X432" s="15" t="s">
        <v>731</v>
      </c>
      <c r="Y432" s="1">
        <v>12</v>
      </c>
      <c r="Z432" s="15">
        <v>4.76</v>
      </c>
      <c r="AA432" s="15" t="s">
        <v>574</v>
      </c>
      <c r="AB432" s="15">
        <f t="shared" si="351"/>
        <v>4.76</v>
      </c>
      <c r="AC432" s="1">
        <v>2</v>
      </c>
      <c r="AF432" s="15">
        <v>3.69</v>
      </c>
      <c r="AM432" s="1"/>
      <c r="AQ432" s="1"/>
      <c r="AR432" s="1">
        <v>6</v>
      </c>
      <c r="AT432" s="15" t="s">
        <v>993</v>
      </c>
      <c r="AW432" s="15">
        <v>500</v>
      </c>
      <c r="AX432" s="15">
        <f t="shared" si="400"/>
        <v>545</v>
      </c>
      <c r="AY432" s="15" t="s">
        <v>766</v>
      </c>
      <c r="AZ432" s="15">
        <f t="shared" si="397"/>
        <v>545</v>
      </c>
      <c r="BA432" s="15">
        <f t="shared" si="398"/>
        <v>0.18600682593856654</v>
      </c>
      <c r="BB432" s="15">
        <f t="shared" si="399"/>
        <v>327</v>
      </c>
      <c r="BP432" s="16"/>
      <c r="BQ432" s="16"/>
      <c r="BR432" s="16"/>
      <c r="BU432" s="16"/>
      <c r="EZ432" s="16"/>
      <c r="FA432" s="16"/>
      <c r="FB432" s="16"/>
      <c r="FC432" s="16"/>
      <c r="FD432" s="16"/>
      <c r="FE432" s="16"/>
      <c r="FF432" s="16"/>
      <c r="FG432" s="16"/>
      <c r="FH432" s="16"/>
      <c r="FI432" s="16"/>
      <c r="FJ432" s="16"/>
      <c r="FK432" s="16">
        <f t="shared" si="390"/>
        <v>4.75</v>
      </c>
      <c r="FL432" s="16">
        <f t="shared" si="391"/>
        <v>4.9400000000000004</v>
      </c>
      <c r="FM432" s="15">
        <v>4.75</v>
      </c>
      <c r="FN432" s="15">
        <f t="shared" si="392"/>
        <v>0.23750000000000002</v>
      </c>
      <c r="FO432" s="15">
        <f>FN432*SQRT(AR432)</f>
        <v>0.58175381391100478</v>
      </c>
      <c r="FP432" s="15">
        <v>4.9400000000000004</v>
      </c>
      <c r="FQ432" s="15">
        <f t="shared" si="393"/>
        <v>0.24700000000000003</v>
      </c>
      <c r="FR432" s="15">
        <f>FQ432*SQRT(AR432)</f>
        <v>0.60502396646744505</v>
      </c>
      <c r="FS432" s="15">
        <f t="shared" si="394"/>
        <v>1.04</v>
      </c>
      <c r="FT432" s="15">
        <f t="shared" si="395"/>
        <v>0.19000000000000039</v>
      </c>
      <c r="FU432" s="15">
        <f t="shared" si="396"/>
        <v>3.922071315328135E-2</v>
      </c>
      <c r="FV432" s="15">
        <f>((FR432*FR432)/(AR432*FP432*FP432)+(FO432*FO432)/(AR432*FM432*FM432))</f>
        <v>5.000000000000001E-3</v>
      </c>
      <c r="GI432" s="15">
        <v>3.47</v>
      </c>
      <c r="GJ432" s="15">
        <f t="shared" si="401"/>
        <v>0.17350000000000002</v>
      </c>
      <c r="GK432" s="15">
        <f>GJ432*SQRT(AR155)</f>
        <v>0.30051081511320021</v>
      </c>
      <c r="GL432" s="15">
        <v>4.0199999999999996</v>
      </c>
      <c r="GM432" s="15">
        <f t="shared" si="402"/>
        <v>0.20099999999999998</v>
      </c>
      <c r="GN432" s="15">
        <f>GM432*SQRT(AR155)</f>
        <v>0.34814221232134429</v>
      </c>
      <c r="GO432" s="63">
        <f t="shared" si="403"/>
        <v>1.1585014409221901</v>
      </c>
      <c r="GP432" s="63">
        <f t="shared" si="404"/>
        <v>0.54999999999999938</v>
      </c>
      <c r="GQ432" s="15">
        <f t="shared" si="405"/>
        <v>0.14712730867216162</v>
      </c>
      <c r="GR432" s="15">
        <f>((GN432*GN432)/(AR155*GL432*GL432)+(GK432*GK432)/(AR155*GI432*GI432))</f>
        <v>5.0000000000000001E-3</v>
      </c>
      <c r="GT432" s="15">
        <f>(0.61+0.18)*100/GI432</f>
        <v>22.766570605187319</v>
      </c>
      <c r="GU432" s="15">
        <f t="shared" si="406"/>
        <v>1.138328530259366</v>
      </c>
      <c r="GV432" s="15">
        <f>GU432*SQRT(AR145)</f>
        <v>1.9716428501144279</v>
      </c>
      <c r="GW432" s="15">
        <f>(1.28+0.79)*100/GL432</f>
        <v>51.492537313432848</v>
      </c>
      <c r="GX432" s="15">
        <f t="shared" si="407"/>
        <v>2.5746268656716427</v>
      </c>
      <c r="GY432" s="15">
        <f>GX432*SQRT(AR145)</f>
        <v>4.4593845418750959</v>
      </c>
      <c r="GZ432" s="63">
        <f t="shared" si="408"/>
        <v>2.2617608161723037</v>
      </c>
      <c r="HA432" s="63">
        <f t="shared" si="409"/>
        <v>28.725966708245529</v>
      </c>
      <c r="HB432" s="15">
        <f t="shared" si="410"/>
        <v>0.8161436321261859</v>
      </c>
      <c r="HC432" s="15">
        <f>((GY432*GY432)/(AR145*GW432*GW432)+(GV432*GV432)/(AR145*GT432*GT432))</f>
        <v>5.0000000000000001E-3</v>
      </c>
      <c r="HE432" s="15">
        <v>3236</v>
      </c>
      <c r="HF432" s="15">
        <f t="shared" si="382"/>
        <v>161.80000000000001</v>
      </c>
      <c r="HG432" s="15">
        <f>HF432*SQRT(AR187)</f>
        <v>280.24582066464433</v>
      </c>
      <c r="HH432" s="15">
        <v>4498</v>
      </c>
      <c r="HI432" s="15">
        <f t="shared" si="383"/>
        <v>224.9</v>
      </c>
      <c r="HJ432" s="15">
        <f>HI432*SQRT(AR187)</f>
        <v>389.53822662224047</v>
      </c>
      <c r="HK432" s="15">
        <f t="shared" si="384"/>
        <v>1.3899876390605685</v>
      </c>
      <c r="HL432" s="15">
        <f t="shared" si="385"/>
        <v>1262</v>
      </c>
      <c r="HM432" s="15">
        <f t="shared" si="386"/>
        <v>0.32929485434087979</v>
      </c>
      <c r="HN432" s="15">
        <f>((HJ432*HJ432)/(AR187*HH432*HH432)+(HG432*HG432)/(AR187*HE432*HE432))</f>
        <v>4.9999999999999992E-3</v>
      </c>
      <c r="HP432" s="15" t="s">
        <v>766</v>
      </c>
      <c r="HV432" s="15">
        <f t="shared" si="387"/>
        <v>9.9303100455221749</v>
      </c>
      <c r="HW432" s="15">
        <f t="shared" si="388"/>
        <v>0.32929485434087979</v>
      </c>
      <c r="HX432" s="15">
        <f>BB432</f>
        <v>327</v>
      </c>
      <c r="HY432" s="15">
        <f>AZ432</f>
        <v>545</v>
      </c>
      <c r="HZ432" s="15">
        <f>BA432</f>
        <v>0.18600682593856654</v>
      </c>
      <c r="IA432" s="15">
        <f>BB432</f>
        <v>327</v>
      </c>
    </row>
    <row r="433" spans="1:235" s="15" customFormat="1" x14ac:dyDescent="0.25">
      <c r="A433" s="31">
        <v>431</v>
      </c>
      <c r="B433" s="1">
        <v>77</v>
      </c>
      <c r="C433" s="1">
        <v>89</v>
      </c>
      <c r="D433" s="63" t="s">
        <v>391</v>
      </c>
      <c r="E433" s="1">
        <v>1</v>
      </c>
      <c r="F433" s="15" t="s">
        <v>761</v>
      </c>
      <c r="G433" s="15" t="s">
        <v>1261</v>
      </c>
      <c r="H433" s="15" t="s">
        <v>1262</v>
      </c>
      <c r="I433" s="1">
        <v>2007</v>
      </c>
      <c r="J433" s="15" t="s">
        <v>1263</v>
      </c>
      <c r="K433" s="1" t="s">
        <v>1269</v>
      </c>
      <c r="L433" s="15" t="s">
        <v>1264</v>
      </c>
      <c r="M433" s="15" t="s">
        <v>1265</v>
      </c>
      <c r="N433" s="15" t="s">
        <v>538</v>
      </c>
      <c r="O433" s="31">
        <v>1</v>
      </c>
      <c r="P433" s="15">
        <v>3.5</v>
      </c>
      <c r="Q433" s="15">
        <v>11.33</v>
      </c>
      <c r="R433" s="15">
        <v>560</v>
      </c>
      <c r="S433" s="15">
        <v>1800</v>
      </c>
      <c r="U433" s="15" t="s">
        <v>549</v>
      </c>
      <c r="V433" s="31">
        <v>1</v>
      </c>
      <c r="W433" s="16" t="s">
        <v>1226</v>
      </c>
      <c r="X433" s="15" t="s">
        <v>731</v>
      </c>
      <c r="Y433" s="1">
        <v>12</v>
      </c>
      <c r="Z433" s="15">
        <v>5.76</v>
      </c>
      <c r="AA433" s="15" t="s">
        <v>574</v>
      </c>
      <c r="AB433" s="15">
        <f t="shared" si="351"/>
        <v>5.76</v>
      </c>
      <c r="AC433" s="1">
        <v>4</v>
      </c>
      <c r="AF433" s="15">
        <v>3.69</v>
      </c>
      <c r="AM433" s="1"/>
      <c r="AQ433" s="1"/>
      <c r="AR433" s="1">
        <v>6</v>
      </c>
      <c r="AT433" s="15" t="s">
        <v>993</v>
      </c>
      <c r="AW433" s="15">
        <v>500</v>
      </c>
      <c r="AX433" s="15">
        <f t="shared" si="400"/>
        <v>545</v>
      </c>
      <c r="AY433" s="15" t="s">
        <v>766</v>
      </c>
      <c r="AZ433" s="15">
        <f t="shared" si="397"/>
        <v>545</v>
      </c>
      <c r="BA433" s="15">
        <f t="shared" si="398"/>
        <v>0.18600682593856654</v>
      </c>
      <c r="BB433" s="15">
        <f t="shared" si="399"/>
        <v>327</v>
      </c>
      <c r="BP433" s="16"/>
      <c r="BQ433" s="16"/>
      <c r="BR433" s="16"/>
      <c r="BU433" s="16"/>
      <c r="EZ433" s="16"/>
      <c r="FA433" s="16"/>
      <c r="FB433" s="16"/>
      <c r="FC433" s="16"/>
      <c r="FD433" s="16"/>
      <c r="FE433" s="16"/>
      <c r="FF433" s="16"/>
      <c r="FG433" s="16"/>
      <c r="FH433" s="16"/>
      <c r="FI433" s="16"/>
      <c r="FJ433" s="16"/>
      <c r="FK433" s="16">
        <f t="shared" si="390"/>
        <v>4.51</v>
      </c>
      <c r="FL433" s="16">
        <f t="shared" si="391"/>
        <v>4.88</v>
      </c>
      <c r="FM433" s="15">
        <v>4.51</v>
      </c>
      <c r="FN433" s="15">
        <f t="shared" si="392"/>
        <v>0.22550000000000001</v>
      </c>
      <c r="FO433" s="15">
        <f>FN433*SQRT(AR433)</f>
        <v>0.55235993699760666</v>
      </c>
      <c r="FP433" s="15">
        <v>4.88</v>
      </c>
      <c r="FQ433" s="15">
        <f t="shared" si="393"/>
        <v>0.24399999999999999</v>
      </c>
      <c r="FR433" s="15">
        <f>FQ433*SQRT(AR433)</f>
        <v>0.59767549723909541</v>
      </c>
      <c r="FS433" s="15">
        <f t="shared" si="394"/>
        <v>1.082039911308204</v>
      </c>
      <c r="FT433" s="15">
        <f t="shared" si="395"/>
        <v>0.37000000000000011</v>
      </c>
      <c r="FU433" s="15">
        <f t="shared" si="396"/>
        <v>7.8848066350468704E-2</v>
      </c>
      <c r="FV433" s="15">
        <f>((FR433*FR433)/(AR433*FP433*FP433)+(FO433*FO433)/(AR433*FM433*FM433))</f>
        <v>4.9999999999999992E-3</v>
      </c>
      <c r="GI433" s="15">
        <v>3.82</v>
      </c>
      <c r="GJ433" s="15">
        <f t="shared" si="401"/>
        <v>0.191</v>
      </c>
      <c r="GK433" s="15">
        <f>GJ433*SQRT(AR156)</f>
        <v>0.33082170424565555</v>
      </c>
      <c r="GL433" s="15">
        <v>4.07</v>
      </c>
      <c r="GM433" s="15">
        <f t="shared" si="402"/>
        <v>0.20350000000000001</v>
      </c>
      <c r="GN433" s="15">
        <f>GM433*SQRT(AR156)</f>
        <v>0.35247233934026656</v>
      </c>
      <c r="GO433" s="15">
        <f t="shared" si="403"/>
        <v>1.0654450261780106</v>
      </c>
      <c r="GP433" s="15">
        <f t="shared" si="404"/>
        <v>0.25000000000000044</v>
      </c>
      <c r="GQ433" s="15">
        <f t="shared" si="405"/>
        <v>6.3392576836019954E-2</v>
      </c>
      <c r="GR433" s="15">
        <f>((GN433*GN433)/(AR156*GL433*GL433)+(GK433*GK433)/(AR156*GI433*GI433))</f>
        <v>5.0000000000000001E-3</v>
      </c>
      <c r="GT433" s="15">
        <f>(0.64+0.14)*100/GI433</f>
        <v>20.418848167539267</v>
      </c>
      <c r="GU433" s="15">
        <f t="shared" si="406"/>
        <v>1.0209424083769634</v>
      </c>
      <c r="GV433" s="15">
        <f>GU433*SQRT(AR146)</f>
        <v>1.7683241229106339</v>
      </c>
      <c r="GW433" s="15">
        <f>(1.4+0.84)*100/GL433</f>
        <v>55.036855036855023</v>
      </c>
      <c r="GX433" s="15">
        <f t="shared" si="407"/>
        <v>2.7518427518427515</v>
      </c>
      <c r="GY433" s="15">
        <f>GX433*SQRT(AR146)</f>
        <v>4.7663314606317995</v>
      </c>
      <c r="GZ433" s="63">
        <f t="shared" si="408"/>
        <v>2.6953946953946946</v>
      </c>
      <c r="HA433" s="63">
        <f t="shared" si="409"/>
        <v>34.618006869315757</v>
      </c>
      <c r="HB433" s="15">
        <f t="shared" si="410"/>
        <v>0.99154464832942812</v>
      </c>
      <c r="HC433" s="15">
        <f>((GY433*GY433)/(AR146*GW433*GW433)+(GV433*GV433)/(AR146*GT433*GT433))</f>
        <v>5.000000000000001E-3</v>
      </c>
      <c r="HE433" s="15">
        <v>1305</v>
      </c>
      <c r="HF433" s="15">
        <f t="shared" si="382"/>
        <v>65.25</v>
      </c>
      <c r="HG433" s="15">
        <f>HF433*SQRT(AR188)</f>
        <v>113.01631519386923</v>
      </c>
      <c r="HH433" s="15">
        <v>4031</v>
      </c>
      <c r="HI433" s="15">
        <f t="shared" si="383"/>
        <v>201.55</v>
      </c>
      <c r="HJ433" s="15">
        <f>HI433*SQRT(AR188)</f>
        <v>349.09484026550723</v>
      </c>
      <c r="HK433" s="15">
        <f t="shared" si="384"/>
        <v>3.088888888888889</v>
      </c>
      <c r="HL433" s="15">
        <f t="shared" si="385"/>
        <v>2726</v>
      </c>
      <c r="HM433" s="15">
        <f t="shared" si="386"/>
        <v>1.1278114433603719</v>
      </c>
      <c r="HN433" s="15">
        <f>((HJ433*HJ433)/(AR188*HH433*HH433)+(HG433*HG433)/(AR188*HE433*HE433))</f>
        <v>4.9999999999999992E-3</v>
      </c>
      <c r="HP433" s="15" t="s">
        <v>766</v>
      </c>
      <c r="HV433" s="15">
        <f t="shared" si="387"/>
        <v>2.8994208378103239</v>
      </c>
      <c r="HW433" s="15">
        <f t="shared" si="388"/>
        <v>1.1278114433603719</v>
      </c>
      <c r="HX433" s="15">
        <f>BB433</f>
        <v>327</v>
      </c>
      <c r="HY433" s="15">
        <f>AZ433</f>
        <v>545</v>
      </c>
      <c r="HZ433" s="15">
        <f>BA433</f>
        <v>0.18600682593856654</v>
      </c>
      <c r="IA433" s="15">
        <f>BB433</f>
        <v>327</v>
      </c>
    </row>
    <row r="434" spans="1:235" s="15" customFormat="1" x14ac:dyDescent="0.25">
      <c r="A434" s="31">
        <v>432</v>
      </c>
      <c r="B434" s="1">
        <v>77</v>
      </c>
      <c r="C434" s="1">
        <v>89</v>
      </c>
      <c r="D434" s="63" t="s">
        <v>392</v>
      </c>
      <c r="E434" s="1">
        <v>1</v>
      </c>
      <c r="F434" s="15" t="s">
        <v>761</v>
      </c>
      <c r="G434" s="15" t="s">
        <v>1261</v>
      </c>
      <c r="H434" s="15" t="s">
        <v>1262</v>
      </c>
      <c r="I434" s="1">
        <v>2007</v>
      </c>
      <c r="J434" s="15" t="s">
        <v>1263</v>
      </c>
      <c r="K434" s="1" t="s">
        <v>1269</v>
      </c>
      <c r="L434" s="15" t="s">
        <v>1264</v>
      </c>
      <c r="M434" s="15" t="s">
        <v>1265</v>
      </c>
      <c r="N434" s="15" t="s">
        <v>538</v>
      </c>
      <c r="O434" s="31">
        <v>1</v>
      </c>
      <c r="P434" s="15">
        <v>3.5</v>
      </c>
      <c r="Q434" s="15">
        <v>11.33</v>
      </c>
      <c r="R434" s="15">
        <v>560</v>
      </c>
      <c r="S434" s="15">
        <v>1800</v>
      </c>
      <c r="U434" s="15" t="s">
        <v>549</v>
      </c>
      <c r="V434" s="31">
        <v>1</v>
      </c>
      <c r="W434" s="16" t="s">
        <v>1226</v>
      </c>
      <c r="X434" s="15" t="s">
        <v>731</v>
      </c>
      <c r="Y434" s="1">
        <v>12</v>
      </c>
      <c r="Z434" s="15">
        <v>5.76</v>
      </c>
      <c r="AA434" s="15" t="s">
        <v>574</v>
      </c>
      <c r="AB434" s="15">
        <f t="shared" si="351"/>
        <v>5.76</v>
      </c>
      <c r="AC434" s="1">
        <v>4</v>
      </c>
      <c r="AF434" s="15">
        <v>3.69</v>
      </c>
      <c r="AM434" s="1"/>
      <c r="AQ434" s="1"/>
      <c r="AR434" s="1">
        <v>6</v>
      </c>
      <c r="AT434" s="15" t="s">
        <v>993</v>
      </c>
      <c r="AW434" s="15">
        <v>500</v>
      </c>
      <c r="AX434" s="15">
        <f t="shared" si="400"/>
        <v>545</v>
      </c>
      <c r="AY434" s="15" t="s">
        <v>766</v>
      </c>
      <c r="AZ434" s="15">
        <f t="shared" si="397"/>
        <v>545</v>
      </c>
      <c r="BA434" s="15">
        <f t="shared" si="398"/>
        <v>0.18600682593856654</v>
      </c>
      <c r="BB434" s="15">
        <f t="shared" si="399"/>
        <v>327</v>
      </c>
      <c r="BP434" s="16"/>
      <c r="BQ434" s="16"/>
      <c r="BR434" s="16"/>
      <c r="BU434" s="16"/>
      <c r="EZ434" s="16"/>
      <c r="FA434" s="16"/>
      <c r="FB434" s="16"/>
      <c r="FC434" s="16"/>
      <c r="FD434" s="16"/>
      <c r="FE434" s="16"/>
      <c r="FF434" s="16"/>
      <c r="FG434" s="16"/>
      <c r="FH434" s="16"/>
      <c r="FI434" s="16"/>
      <c r="FJ434" s="16"/>
      <c r="FK434" s="16">
        <f t="shared" si="390"/>
        <v>4.47</v>
      </c>
      <c r="FL434" s="16">
        <f t="shared" si="391"/>
        <v>4.8</v>
      </c>
      <c r="FM434" s="15">
        <v>4.47</v>
      </c>
      <c r="FN434" s="15">
        <f t="shared" si="392"/>
        <v>0.2235</v>
      </c>
      <c r="FO434" s="15">
        <f>FN434*SQRT(AR434)</f>
        <v>0.54746095751204027</v>
      </c>
      <c r="FP434" s="15">
        <v>4.8</v>
      </c>
      <c r="FQ434" s="15">
        <f t="shared" si="393"/>
        <v>0.24</v>
      </c>
      <c r="FR434" s="15">
        <f>FQ434*SQRT(AR434)</f>
        <v>0.58787753826796263</v>
      </c>
      <c r="FS434" s="15">
        <f t="shared" si="394"/>
        <v>1.0738255033557047</v>
      </c>
      <c r="FT434" s="15">
        <f t="shared" si="395"/>
        <v>0.33000000000000007</v>
      </c>
      <c r="FU434" s="15">
        <f t="shared" si="396"/>
        <v>7.1227509288367852E-2</v>
      </c>
      <c r="FV434" s="15">
        <f>((FR434*FR434)/(AR434*FP434*FP434)+(FO434*FO434)/(AR434*FM434*FM434))</f>
        <v>4.9999999999999992E-3</v>
      </c>
      <c r="GI434" s="15">
        <v>3.88</v>
      </c>
      <c r="GJ434" s="15">
        <f t="shared" si="401"/>
        <v>0.19400000000000001</v>
      </c>
      <c r="GK434" s="15">
        <f>GJ434*SQRT(AR157)</f>
        <v>0.3360178566683622</v>
      </c>
      <c r="GL434" s="15">
        <v>4.0999999999999996</v>
      </c>
      <c r="GM434" s="15">
        <f t="shared" si="402"/>
        <v>0.20499999999999999</v>
      </c>
      <c r="GN434" s="15">
        <f>GM434*SQRT(AR157)</f>
        <v>0.35507041555161978</v>
      </c>
      <c r="GO434" s="15">
        <f t="shared" si="403"/>
        <v>1.0567010309278351</v>
      </c>
      <c r="GP434" s="15">
        <f t="shared" si="404"/>
        <v>0.21999999999999975</v>
      </c>
      <c r="GQ434" s="15">
        <f t="shared" si="405"/>
        <v>5.5151820075080016E-2</v>
      </c>
      <c r="GR434" s="15">
        <f>((GN434*GN434)/(AR157*GL434*GL434)+(GK434*GK434)/(AR157*GI434*GI434))</f>
        <v>4.9999999999999992E-3</v>
      </c>
      <c r="GT434" s="15">
        <f>(0.12+0.54)*100/GI434</f>
        <v>17.010309278350515</v>
      </c>
      <c r="GU434" s="15">
        <f t="shared" si="406"/>
        <v>0.85051546391752586</v>
      </c>
      <c r="GV434" s="15">
        <f>GU434*SQRT(AR147)</f>
        <v>1.4731359961281689</v>
      </c>
      <c r="GW434" s="15">
        <f>(1.21+0.84)*100/GL434</f>
        <v>50</v>
      </c>
      <c r="GX434" s="15">
        <f t="shared" si="407"/>
        <v>2.5</v>
      </c>
      <c r="GY434" s="15">
        <f>GX434*SQRT(AR147)</f>
        <v>4.3301270189221928</v>
      </c>
      <c r="GZ434" s="63">
        <f t="shared" si="408"/>
        <v>2.9393939393939394</v>
      </c>
      <c r="HA434" s="63">
        <f t="shared" si="409"/>
        <v>32.989690721649481</v>
      </c>
      <c r="HB434" s="15">
        <f t="shared" si="410"/>
        <v>1.0782034170369026</v>
      </c>
      <c r="HC434" s="15">
        <f>((GY434*GY434)/(AR147*GW434*GW434)+(GV434*GV434)/(AR147*GT434*GT434))</f>
        <v>5.000000000000001E-3</v>
      </c>
      <c r="HE434" s="15">
        <v>1849</v>
      </c>
      <c r="HF434" s="15">
        <f t="shared" si="382"/>
        <v>92.45</v>
      </c>
      <c r="HG434" s="15">
        <f>HF434*SQRT(AR189)</f>
        <v>160.12809715974271</v>
      </c>
      <c r="HH434" s="15">
        <v>3618</v>
      </c>
      <c r="HI434" s="15">
        <f t="shared" si="383"/>
        <v>180.9</v>
      </c>
      <c r="HJ434" s="15">
        <f>HI434*SQRT(AR189)</f>
        <v>313.32799108920989</v>
      </c>
      <c r="HK434" s="15">
        <f t="shared" si="384"/>
        <v>1.9567333693888589</v>
      </c>
      <c r="HL434" s="15">
        <f t="shared" si="385"/>
        <v>1769</v>
      </c>
      <c r="HM434" s="15">
        <f t="shared" si="386"/>
        <v>0.67127643456811636</v>
      </c>
      <c r="HN434" s="15">
        <f>((HJ434*HJ434)/(AR189*HH434*HH434)+(HG434*HG434)/(AR189*HE434*HE434))</f>
        <v>4.9999999999999992E-3</v>
      </c>
      <c r="HP434" s="15" t="s">
        <v>766</v>
      </c>
      <c r="HV434" s="15">
        <f t="shared" si="387"/>
        <v>4.8713165420499855</v>
      </c>
      <c r="HW434" s="15">
        <f t="shared" si="388"/>
        <v>0.67127643456811636</v>
      </c>
      <c r="HX434" s="15">
        <f>BB434</f>
        <v>327</v>
      </c>
      <c r="HY434" s="15">
        <f>AZ434</f>
        <v>545</v>
      </c>
      <c r="HZ434" s="15">
        <f>BA434</f>
        <v>0.18600682593856654</v>
      </c>
      <c r="IA434" s="15">
        <f>BB434</f>
        <v>327</v>
      </c>
    </row>
    <row r="435" spans="1:235" s="15" customFormat="1" x14ac:dyDescent="0.25">
      <c r="A435" s="31">
        <v>433</v>
      </c>
      <c r="B435" s="1">
        <v>77</v>
      </c>
      <c r="C435" s="1">
        <v>89</v>
      </c>
      <c r="D435" s="63" t="s">
        <v>393</v>
      </c>
      <c r="E435" s="1">
        <v>1</v>
      </c>
      <c r="F435" s="15" t="s">
        <v>761</v>
      </c>
      <c r="G435" s="15" t="s">
        <v>1261</v>
      </c>
      <c r="H435" s="15" t="s">
        <v>1262</v>
      </c>
      <c r="I435" s="1">
        <v>2007</v>
      </c>
      <c r="J435" s="15" t="s">
        <v>1263</v>
      </c>
      <c r="K435" s="1" t="s">
        <v>1269</v>
      </c>
      <c r="L435" s="15" t="s">
        <v>1264</v>
      </c>
      <c r="M435" s="15" t="s">
        <v>1265</v>
      </c>
      <c r="N435" s="15" t="s">
        <v>538</v>
      </c>
      <c r="O435" s="31">
        <v>1</v>
      </c>
      <c r="P435" s="15">
        <v>3.5</v>
      </c>
      <c r="Q435" s="15">
        <v>11.33</v>
      </c>
      <c r="R435" s="15">
        <v>560</v>
      </c>
      <c r="S435" s="15">
        <v>1800</v>
      </c>
      <c r="U435" s="15" t="s">
        <v>549</v>
      </c>
      <c r="V435" s="31">
        <v>1</v>
      </c>
      <c r="W435" s="16" t="s">
        <v>1226</v>
      </c>
      <c r="X435" s="15" t="s">
        <v>731</v>
      </c>
      <c r="Y435" s="1">
        <v>12</v>
      </c>
      <c r="Z435" s="15">
        <v>5.76</v>
      </c>
      <c r="AA435" s="15" t="s">
        <v>574</v>
      </c>
      <c r="AB435" s="15">
        <f t="shared" si="351"/>
        <v>5.76</v>
      </c>
      <c r="AC435" s="1">
        <v>4</v>
      </c>
      <c r="AF435" s="15">
        <v>3.69</v>
      </c>
      <c r="AM435" s="1"/>
      <c r="AQ435" s="1"/>
      <c r="AR435" s="1">
        <v>6</v>
      </c>
      <c r="AT435" s="15" t="s">
        <v>993</v>
      </c>
      <c r="AW435" s="15">
        <v>500</v>
      </c>
      <c r="AX435" s="15">
        <f t="shared" si="400"/>
        <v>545</v>
      </c>
      <c r="AY435" s="15" t="s">
        <v>766</v>
      </c>
      <c r="AZ435" s="15">
        <f t="shared" si="397"/>
        <v>545</v>
      </c>
      <c r="BA435" s="15">
        <f t="shared" si="398"/>
        <v>0.18600682593856654</v>
      </c>
      <c r="BB435" s="15">
        <f t="shared" si="399"/>
        <v>327</v>
      </c>
      <c r="BP435" s="16"/>
      <c r="BQ435" s="16"/>
      <c r="BR435" s="16"/>
      <c r="BU435" s="16"/>
      <c r="EZ435" s="16"/>
      <c r="FA435" s="16"/>
      <c r="FB435" s="16"/>
      <c r="FC435" s="16"/>
      <c r="FD435" s="16"/>
      <c r="FE435" s="16"/>
      <c r="FF435" s="16"/>
      <c r="FG435" s="16"/>
      <c r="FH435" s="16"/>
      <c r="FI435" s="16"/>
      <c r="FJ435" s="16"/>
      <c r="FK435" s="16">
        <f t="shared" si="390"/>
        <v>4.54</v>
      </c>
      <c r="FL435" s="16">
        <f t="shared" si="391"/>
        <v>4.88</v>
      </c>
      <c r="FM435" s="15">
        <v>4.54</v>
      </c>
      <c r="FN435" s="15">
        <f t="shared" si="392"/>
        <v>0.22700000000000001</v>
      </c>
      <c r="FO435" s="15">
        <f>FN435*SQRT(AR435)</f>
        <v>0.55603417161178137</v>
      </c>
      <c r="FP435" s="15">
        <v>4.88</v>
      </c>
      <c r="FQ435" s="15">
        <f t="shared" si="393"/>
        <v>0.24399999999999999</v>
      </c>
      <c r="FR435" s="15">
        <f>FQ435*SQRT(AR435)</f>
        <v>0.59767549723909541</v>
      </c>
      <c r="FS435" s="15">
        <f t="shared" si="394"/>
        <v>1.0748898678414096</v>
      </c>
      <c r="FT435" s="15">
        <f t="shared" si="395"/>
        <v>0.33999999999999986</v>
      </c>
      <c r="FU435" s="15">
        <f t="shared" si="396"/>
        <v>7.2218207811799218E-2</v>
      </c>
      <c r="FV435" s="15">
        <f>((FR435*FR435)/(AR435*FP435*FP435)+(FO435*FO435)/(AR435*FM435*FM435))</f>
        <v>4.9999999999999984E-3</v>
      </c>
      <c r="GI435" s="15">
        <v>4.08</v>
      </c>
      <c r="GJ435" s="15">
        <f t="shared" si="401"/>
        <v>0.20400000000000001</v>
      </c>
      <c r="GK435" s="15">
        <f>GJ435*SQRT(AR158)</f>
        <v>0.35333836474405095</v>
      </c>
      <c r="GL435" s="15">
        <v>4.38</v>
      </c>
      <c r="GM435" s="15">
        <f t="shared" si="402"/>
        <v>0.219</v>
      </c>
      <c r="GN435" s="15">
        <f>GM435*SQRT(AR158)</f>
        <v>0.37931912685758412</v>
      </c>
      <c r="GO435" s="15">
        <f t="shared" si="403"/>
        <v>1.0735294117647058</v>
      </c>
      <c r="GP435" s="15">
        <f t="shared" si="404"/>
        <v>0.29999999999999982</v>
      </c>
      <c r="GQ435" s="15">
        <f t="shared" si="405"/>
        <v>7.0951735972284435E-2</v>
      </c>
      <c r="GR435" s="15">
        <f>((GN435*GN435)/(AR158*GL435*GL435)+(GK435*GK435)/(AR158*GI435*GI435))</f>
        <v>4.9999999999999992E-3</v>
      </c>
      <c r="GT435" s="15">
        <f>(0.72+0.16)*100/GI435</f>
        <v>21.56862745098039</v>
      </c>
      <c r="GU435" s="15">
        <f t="shared" si="406"/>
        <v>1.0784313725490196</v>
      </c>
      <c r="GV435" s="15">
        <f>GU435*SQRT(AR148)</f>
        <v>1.867897929731142</v>
      </c>
      <c r="GW435" s="15">
        <f>(1.3+0.88)*100/GL435</f>
        <v>49.771689497716906</v>
      </c>
      <c r="GX435" s="15">
        <f t="shared" si="407"/>
        <v>2.4885844748858457</v>
      </c>
      <c r="GY435" s="15">
        <f>GX435*SQRT(AR148)</f>
        <v>4.3103547494293988</v>
      </c>
      <c r="GZ435" s="63">
        <f t="shared" si="408"/>
        <v>2.3075965130759659</v>
      </c>
      <c r="HA435" s="63">
        <f t="shared" si="409"/>
        <v>28.203062046736516</v>
      </c>
      <c r="HB435" s="15">
        <f t="shared" si="410"/>
        <v>0.83620651233859844</v>
      </c>
      <c r="HC435" s="15">
        <f>((GY435*GY435)/(AR148*GW435*GW435)+(GV435*GV435)/(AR148*GT435*GT435))</f>
        <v>4.9999999999999992E-3</v>
      </c>
      <c r="HE435" s="15">
        <v>3380</v>
      </c>
      <c r="HF435" s="15">
        <f t="shared" si="382"/>
        <v>169</v>
      </c>
      <c r="HG435" s="15">
        <f>HF435*SQRT(AR190)</f>
        <v>292.71658647914023</v>
      </c>
      <c r="HH435" s="15">
        <v>4549</v>
      </c>
      <c r="HI435" s="15">
        <f t="shared" si="383"/>
        <v>227.45000000000002</v>
      </c>
      <c r="HJ435" s="15">
        <f>HI435*SQRT(AR190)</f>
        <v>393.95495618154115</v>
      </c>
      <c r="HK435" s="15">
        <f t="shared" si="384"/>
        <v>1.3458579881656805</v>
      </c>
      <c r="HL435" s="15">
        <f t="shared" si="385"/>
        <v>1169</v>
      </c>
      <c r="HM435" s="15">
        <f t="shared" si="386"/>
        <v>0.29703171909293857</v>
      </c>
      <c r="HN435" s="15">
        <f>((HJ435*HJ435)/(AR190*HH435*HH435)+(HG435*HG435)/(AR190*HE435*HE435))</f>
        <v>4.9999999999999992E-3</v>
      </c>
      <c r="HP435" s="15" t="s">
        <v>766</v>
      </c>
      <c r="HV435" s="15">
        <f t="shared" si="387"/>
        <v>11.008925275676859</v>
      </c>
      <c r="HW435" s="15">
        <f t="shared" si="388"/>
        <v>0.29703171909293857</v>
      </c>
      <c r="HX435" s="15">
        <f>BB435</f>
        <v>327</v>
      </c>
      <c r="HY435" s="15">
        <f>AZ435</f>
        <v>545</v>
      </c>
      <c r="HZ435" s="15">
        <f>BA435</f>
        <v>0.18600682593856654</v>
      </c>
      <c r="IA435" s="15">
        <f>BB435</f>
        <v>327</v>
      </c>
    </row>
    <row r="436" spans="1:235" x14ac:dyDescent="0.25">
      <c r="A436" s="31">
        <v>434</v>
      </c>
      <c r="B436" s="1">
        <v>77</v>
      </c>
      <c r="C436" s="1">
        <v>89</v>
      </c>
      <c r="D436" s="63" t="s">
        <v>394</v>
      </c>
      <c r="E436" s="1">
        <v>4</v>
      </c>
      <c r="F436" s="15" t="s">
        <v>1019</v>
      </c>
      <c r="G436" s="15" t="s">
        <v>1261</v>
      </c>
      <c r="H436" s="15" t="s">
        <v>1262</v>
      </c>
      <c r="I436" s="1">
        <v>2007</v>
      </c>
      <c r="J436" s="15" t="s">
        <v>1263</v>
      </c>
      <c r="K436" s="1" t="s">
        <v>1269</v>
      </c>
      <c r="L436" s="15" t="s">
        <v>1264</v>
      </c>
      <c r="M436" s="15" t="s">
        <v>1265</v>
      </c>
      <c r="N436" s="15" t="s">
        <v>538</v>
      </c>
      <c r="O436" s="31">
        <v>1</v>
      </c>
      <c r="P436" s="15">
        <v>3.5</v>
      </c>
      <c r="Q436" s="15">
        <v>11.33</v>
      </c>
      <c r="R436" s="15">
        <v>560</v>
      </c>
      <c r="S436" s="15">
        <v>1800</v>
      </c>
      <c r="T436" s="15"/>
      <c r="U436" s="15" t="s">
        <v>549</v>
      </c>
      <c r="V436" s="31">
        <v>1</v>
      </c>
      <c r="W436" s="16" t="s">
        <v>1226</v>
      </c>
      <c r="X436" s="15" t="s">
        <v>731</v>
      </c>
      <c r="Y436" s="1">
        <v>12</v>
      </c>
      <c r="Z436" s="15">
        <v>5.76</v>
      </c>
      <c r="AA436" s="15" t="s">
        <v>574</v>
      </c>
      <c r="AB436" s="15">
        <f t="shared" si="351"/>
        <v>5.76</v>
      </c>
      <c r="AC436" s="1">
        <v>4</v>
      </c>
      <c r="AF436" s="15">
        <v>3.69</v>
      </c>
      <c r="AR436" s="1">
        <v>6</v>
      </c>
      <c r="BG436" s="23" t="s">
        <v>1267</v>
      </c>
      <c r="BS436" s="15">
        <v>1000</v>
      </c>
      <c r="BT436" s="15">
        <f t="shared" ref="BT436:BT441" si="411">BS436</f>
        <v>1000</v>
      </c>
      <c r="BU436" s="15" t="s">
        <v>766</v>
      </c>
      <c r="BY436" s="15">
        <f t="shared" ref="BY436:BY441" si="412">BT436</f>
        <v>1000</v>
      </c>
      <c r="BZ436" s="15">
        <f t="shared" ref="BZ436:BZ441" si="413">BY436/1.1/1000</f>
        <v>0.90909090909090906</v>
      </c>
      <c r="CA436" s="15">
        <f t="shared" ref="CA436:CA441" si="414">BY436*2</f>
        <v>2000</v>
      </c>
      <c r="EW436" s="18"/>
      <c r="EX436" s="18"/>
      <c r="EY436" s="18"/>
      <c r="FK436" s="16">
        <f t="shared" si="390"/>
        <v>4.54</v>
      </c>
      <c r="FL436" s="16">
        <f t="shared" si="391"/>
        <v>4.6100000000000003</v>
      </c>
      <c r="FM436" s="15">
        <v>4.54</v>
      </c>
      <c r="FN436" s="15">
        <f t="shared" si="392"/>
        <v>0.22700000000000001</v>
      </c>
      <c r="FO436" s="15">
        <f>FN436*SQRT(AR436)</f>
        <v>0.55603417161178137</v>
      </c>
      <c r="FP436" s="15">
        <v>4.6100000000000003</v>
      </c>
      <c r="FQ436" s="15">
        <f t="shared" si="393"/>
        <v>0.23050000000000004</v>
      </c>
      <c r="FR436" s="15">
        <f>FQ436*SQRT(AR436)</f>
        <v>0.56460738571152258</v>
      </c>
      <c r="FS436" s="15">
        <f t="shared" si="394"/>
        <v>1.0154185022026432</v>
      </c>
      <c r="FT436" s="15">
        <f t="shared" si="395"/>
        <v>7.0000000000000284E-2</v>
      </c>
      <c r="FU436" s="15">
        <f t="shared" si="396"/>
        <v>1.5300844955300708E-2</v>
      </c>
      <c r="FV436" s="15">
        <f>((FR436*FR436)/(AR436*FP436*FP436)+(FO436*FO436)/(AR436*FM436*FM436))</f>
        <v>4.9999999999999992E-3</v>
      </c>
      <c r="GH436" s="15"/>
      <c r="GI436" s="15">
        <v>4.04</v>
      </c>
      <c r="GJ436" s="15">
        <f t="shared" si="401"/>
        <v>0.20200000000000001</v>
      </c>
      <c r="GK436" s="15">
        <f>GJ436*SQRT(AR159)</f>
        <v>0.34987426312891323</v>
      </c>
      <c r="GL436" s="15">
        <v>4.08</v>
      </c>
      <c r="GM436" s="15">
        <f t="shared" si="402"/>
        <v>0.20400000000000001</v>
      </c>
      <c r="GN436" s="15">
        <f>GM436*SQRT(AR159)</f>
        <v>0.35333836474405095</v>
      </c>
      <c r="GO436" s="15">
        <f t="shared" si="403"/>
        <v>1.0099009900990099</v>
      </c>
      <c r="GP436" s="15">
        <f t="shared" si="404"/>
        <v>4.0000000000000036E-2</v>
      </c>
      <c r="GQ436" s="15">
        <f t="shared" si="405"/>
        <v>9.8522964430116655E-3</v>
      </c>
      <c r="GR436" s="15">
        <f>((GN436*GN436)/(AR159*GL436*GL436)+(GK436*GK436)/(AR159*GI436*GI436))</f>
        <v>4.9999999999999992E-3</v>
      </c>
      <c r="GS436" s="15"/>
      <c r="GT436" s="68">
        <f>(0.42+0.13)*100/GI436</f>
        <v>13.613861386138616</v>
      </c>
      <c r="GU436" s="15">
        <f t="shared" si="406"/>
        <v>0.68069306930693085</v>
      </c>
      <c r="GV436" s="15">
        <f>GU436*SQRT(AR149)</f>
        <v>1.1789949803996074</v>
      </c>
      <c r="GW436" s="15">
        <f>(0.78+0.21)*100/GL436</f>
        <v>24.264705882352942</v>
      </c>
      <c r="GX436" s="15">
        <f t="shared" si="407"/>
        <v>1.2132352941176472</v>
      </c>
      <c r="GY436" s="15">
        <f>GX436*SQRT(AR149)</f>
        <v>2.1013851709475349</v>
      </c>
      <c r="GZ436" s="63">
        <f t="shared" si="408"/>
        <v>1.7823529411764703</v>
      </c>
      <c r="HA436" s="63">
        <f t="shared" si="409"/>
        <v>10.650844496214326</v>
      </c>
      <c r="HB436" s="15">
        <f t="shared" si="410"/>
        <v>0.57793436845910717</v>
      </c>
      <c r="HC436" s="15">
        <f>((GY436*GY436)/(AR149*GW436*GW436)+(GV436*GV436)/(AR149*GT436*GT436))</f>
        <v>5.0000000000000001E-3</v>
      </c>
      <c r="HD436" s="15"/>
      <c r="HE436" s="15">
        <v>1305</v>
      </c>
      <c r="HF436" s="15">
        <f t="shared" si="382"/>
        <v>65.25</v>
      </c>
      <c r="HG436" s="15">
        <f>HF436*SQRT(AR191)</f>
        <v>113.01631519386923</v>
      </c>
      <c r="HH436" s="15">
        <v>3380</v>
      </c>
      <c r="HI436" s="15">
        <f t="shared" si="383"/>
        <v>169</v>
      </c>
      <c r="HJ436" s="15">
        <f>HI436*SQRT(AR191)</f>
        <v>292.71658647914023</v>
      </c>
      <c r="HK436" s="15">
        <f t="shared" si="384"/>
        <v>2.5900383141762453</v>
      </c>
      <c r="HL436" s="15">
        <f t="shared" si="385"/>
        <v>2075</v>
      </c>
      <c r="HM436" s="15">
        <f t="shared" si="386"/>
        <v>0.95167266872027056</v>
      </c>
      <c r="HN436" s="15">
        <f>((HJ436*HJ436)/(AR191*HH436*HH436)+(HG436*HG436)/(AR191*HE436*HE436))</f>
        <v>4.9999999999999992E-3</v>
      </c>
      <c r="HP436" s="15" t="s">
        <v>766</v>
      </c>
      <c r="HV436" s="15">
        <f t="shared" si="387"/>
        <v>21.015629278178512</v>
      </c>
      <c r="HW436" s="15">
        <f t="shared" si="388"/>
        <v>0.95167266872027056</v>
      </c>
      <c r="HX436" s="15">
        <f>CA436</f>
        <v>2000</v>
      </c>
      <c r="HY436" s="15">
        <f>BY436</f>
        <v>1000</v>
      </c>
      <c r="HZ436" s="15">
        <f>BZ436</f>
        <v>0.90909090909090906</v>
      </c>
      <c r="IA436" s="15">
        <f>CA436</f>
        <v>2000</v>
      </c>
    </row>
    <row r="437" spans="1:235" x14ac:dyDescent="0.25">
      <c r="A437" s="31">
        <v>435</v>
      </c>
      <c r="B437" s="1">
        <v>77</v>
      </c>
      <c r="C437" s="1">
        <v>89</v>
      </c>
      <c r="D437" s="63" t="s">
        <v>395</v>
      </c>
      <c r="E437" s="1">
        <v>4</v>
      </c>
      <c r="F437" s="15" t="s">
        <v>1019</v>
      </c>
      <c r="G437" s="15" t="s">
        <v>1261</v>
      </c>
      <c r="H437" s="15" t="s">
        <v>1262</v>
      </c>
      <c r="I437" s="1">
        <v>2007</v>
      </c>
      <c r="J437" s="15" t="s">
        <v>1263</v>
      </c>
      <c r="K437" s="1" t="s">
        <v>1269</v>
      </c>
      <c r="L437" s="15" t="s">
        <v>1264</v>
      </c>
      <c r="M437" s="15" t="s">
        <v>1265</v>
      </c>
      <c r="N437" s="15" t="s">
        <v>538</v>
      </c>
      <c r="O437" s="31">
        <v>1</v>
      </c>
      <c r="P437" s="15">
        <v>3.5</v>
      </c>
      <c r="Q437" s="15">
        <v>11.33</v>
      </c>
      <c r="R437" s="15">
        <v>560</v>
      </c>
      <c r="S437" s="15">
        <v>1800</v>
      </c>
      <c r="T437" s="15"/>
      <c r="U437" s="15" t="s">
        <v>549</v>
      </c>
      <c r="V437" s="31">
        <v>1</v>
      </c>
      <c r="W437" s="16" t="s">
        <v>1226</v>
      </c>
      <c r="X437" s="15" t="s">
        <v>731</v>
      </c>
      <c r="Y437" s="1">
        <v>12</v>
      </c>
      <c r="Z437" s="15">
        <v>5.76</v>
      </c>
      <c r="AA437" s="15" t="s">
        <v>574</v>
      </c>
      <c r="AB437" s="15">
        <f t="shared" si="351"/>
        <v>5.76</v>
      </c>
      <c r="AC437" s="1">
        <v>4</v>
      </c>
      <c r="AF437" s="15">
        <v>3.69</v>
      </c>
      <c r="AR437" s="1">
        <v>6</v>
      </c>
      <c r="BG437" s="23" t="s">
        <v>1267</v>
      </c>
      <c r="BS437" s="15">
        <v>1000</v>
      </c>
      <c r="BT437" s="15">
        <f t="shared" si="411"/>
        <v>1000</v>
      </c>
      <c r="BU437" s="15" t="s">
        <v>766</v>
      </c>
      <c r="BY437" s="15">
        <f t="shared" si="412"/>
        <v>1000</v>
      </c>
      <c r="BZ437" s="15">
        <f t="shared" si="413"/>
        <v>0.90909090909090906</v>
      </c>
      <c r="CA437" s="15">
        <f t="shared" si="414"/>
        <v>2000</v>
      </c>
      <c r="EW437" s="18"/>
      <c r="EX437" s="18"/>
      <c r="EY437" s="18"/>
      <c r="FK437" s="16">
        <f t="shared" si="390"/>
        <v>4.45</v>
      </c>
      <c r="FL437" s="16">
        <f t="shared" si="391"/>
        <v>4.76</v>
      </c>
      <c r="FM437" s="15">
        <v>4.45</v>
      </c>
      <c r="FN437" s="15">
        <f t="shared" si="392"/>
        <v>0.22250000000000003</v>
      </c>
      <c r="FO437" s="15">
        <f>FN437*SQRT(AR437)</f>
        <v>0.54501146776925713</v>
      </c>
      <c r="FP437" s="15">
        <v>4.76</v>
      </c>
      <c r="FQ437" s="15">
        <f t="shared" si="393"/>
        <v>0.23799999999999999</v>
      </c>
      <c r="FR437" s="15">
        <f>FQ437*SQRT(AR437)</f>
        <v>0.58297855878239635</v>
      </c>
      <c r="FS437" s="15">
        <f t="shared" si="394"/>
        <v>1.0696629213483144</v>
      </c>
      <c r="FT437" s="15">
        <f t="shared" si="395"/>
        <v>0.30999999999999961</v>
      </c>
      <c r="FU437" s="15">
        <f t="shared" si="396"/>
        <v>6.7343572065179824E-2</v>
      </c>
      <c r="FV437" s="15">
        <f>((FR437*FR437)/(AR437*FP437*FP437)+(FO437*FO437)/(AR437*FM437*FM437))</f>
        <v>4.9999999999999992E-3</v>
      </c>
      <c r="GH437" s="15"/>
      <c r="GI437" s="15">
        <v>3.9</v>
      </c>
      <c r="GJ437" s="15">
        <f t="shared" si="401"/>
        <v>0.19500000000000001</v>
      </c>
      <c r="GK437" s="15">
        <f>GJ437*SQRT(AR160)</f>
        <v>0.33774990747593109</v>
      </c>
      <c r="GL437" s="15">
        <v>3.94</v>
      </c>
      <c r="GM437" s="15">
        <f t="shared" si="402"/>
        <v>0.19700000000000001</v>
      </c>
      <c r="GN437" s="15">
        <f>GM437*SQRT(AR160)</f>
        <v>0.3412140090910688</v>
      </c>
      <c r="GO437" s="15">
        <f t="shared" si="403"/>
        <v>1.0102564102564102</v>
      </c>
      <c r="GP437" s="15">
        <f t="shared" si="404"/>
        <v>4.0000000000000036E-2</v>
      </c>
      <c r="GQ437" s="15">
        <f t="shared" si="405"/>
        <v>1.0204170174241911E-2</v>
      </c>
      <c r="GR437" s="15">
        <f>((GN437*GN437)/(AR160*GL437*GL437)+(GK437*GK437)/(AR160*GI437*GI437))</f>
        <v>5.000000000000001E-3</v>
      </c>
      <c r="GS437" s="15"/>
      <c r="GT437" s="15">
        <f>(0.43+0.14)*100/GI437</f>
        <v>14.615384615384617</v>
      </c>
      <c r="GU437" s="15">
        <f t="shared" si="406"/>
        <v>0.73076923076923084</v>
      </c>
      <c r="GV437" s="15">
        <f>GU437*SQRT(AR150)</f>
        <v>1.2657294363003335</v>
      </c>
      <c r="GW437" s="15">
        <f>(0.96+0.2)*100/GL437</f>
        <v>29.44162436548223</v>
      </c>
      <c r="GX437" s="15">
        <f t="shared" si="407"/>
        <v>1.4720812182741116</v>
      </c>
      <c r="GY437" s="15">
        <f>GX437*SQRT(AR150)</f>
        <v>2.5497194629186515</v>
      </c>
      <c r="GZ437" s="63">
        <f t="shared" si="408"/>
        <v>2.0144269302698365</v>
      </c>
      <c r="HA437" s="63">
        <f t="shared" si="409"/>
        <v>14.826239750097614</v>
      </c>
      <c r="HB437" s="15">
        <f t="shared" si="410"/>
        <v>0.70033475309757254</v>
      </c>
      <c r="HC437" s="15">
        <f>((GY437*GY437)/(AR150*GW437*GW437)+(GV437*GV437)/(AR150*GT437*GT437))</f>
        <v>4.9999999999999992E-3</v>
      </c>
      <c r="HD437" s="15"/>
      <c r="HE437" s="15">
        <v>1847</v>
      </c>
      <c r="HF437" s="15">
        <f t="shared" si="382"/>
        <v>92.350000000000009</v>
      </c>
      <c r="HG437" s="15">
        <f>HF437*SQRT(AR192)</f>
        <v>159.95489207898584</v>
      </c>
      <c r="HH437" s="15">
        <v>3387</v>
      </c>
      <c r="HI437" s="15">
        <f t="shared" si="383"/>
        <v>169.35000000000002</v>
      </c>
      <c r="HJ437" s="15">
        <f>HI437*SQRT(AR192)</f>
        <v>293.32280426178937</v>
      </c>
      <c r="HK437" s="15">
        <f t="shared" si="384"/>
        <v>1.8337845154304278</v>
      </c>
      <c r="HL437" s="15">
        <f t="shared" si="385"/>
        <v>1540</v>
      </c>
      <c r="HM437" s="15">
        <f t="shared" si="386"/>
        <v>0.60638187261853194</v>
      </c>
      <c r="HN437" s="15">
        <f>((HJ437*HJ437)/(AR192*HH437*HH437)+(HG437*HG437)/(AR192*HE437*HE437))</f>
        <v>5.000000000000001E-3</v>
      </c>
      <c r="HP437" s="15" t="s">
        <v>766</v>
      </c>
      <c r="HV437" s="15">
        <f t="shared" si="387"/>
        <v>32.982516303850296</v>
      </c>
      <c r="HW437" s="15">
        <f t="shared" si="388"/>
        <v>0.60638187261853194</v>
      </c>
      <c r="HX437" s="15">
        <f>CA437</f>
        <v>2000</v>
      </c>
      <c r="HY437" s="15">
        <f>BY437</f>
        <v>1000</v>
      </c>
      <c r="HZ437" s="15">
        <f>BZ437</f>
        <v>0.90909090909090906</v>
      </c>
      <c r="IA437" s="15">
        <f>CA437</f>
        <v>2000</v>
      </c>
    </row>
    <row r="438" spans="1:235" s="15" customFormat="1" x14ac:dyDescent="0.25">
      <c r="A438" s="31">
        <v>436</v>
      </c>
      <c r="B438" s="1">
        <v>77</v>
      </c>
      <c r="C438" s="1">
        <v>89</v>
      </c>
      <c r="D438" s="63" t="s">
        <v>396</v>
      </c>
      <c r="E438" s="1">
        <v>6</v>
      </c>
      <c r="F438" s="15" t="s">
        <v>1270</v>
      </c>
      <c r="G438" s="15" t="s">
        <v>1261</v>
      </c>
      <c r="H438" s="15" t="s">
        <v>1262</v>
      </c>
      <c r="I438" s="1">
        <v>2007</v>
      </c>
      <c r="J438" s="15" t="s">
        <v>1263</v>
      </c>
      <c r="K438" s="1" t="s">
        <v>1269</v>
      </c>
      <c r="L438" s="15" t="s">
        <v>1264</v>
      </c>
      <c r="M438" s="15" t="s">
        <v>1265</v>
      </c>
      <c r="N438" s="15" t="s">
        <v>538</v>
      </c>
      <c r="O438" s="31">
        <v>1</v>
      </c>
      <c r="P438" s="15">
        <v>3.5</v>
      </c>
      <c r="Q438" s="15">
        <v>11.33</v>
      </c>
      <c r="R438" s="15">
        <v>560</v>
      </c>
      <c r="S438" s="15">
        <v>1800</v>
      </c>
      <c r="U438" s="15" t="s">
        <v>549</v>
      </c>
      <c r="V438" s="31">
        <v>1</v>
      </c>
      <c r="W438" s="16" t="s">
        <v>1226</v>
      </c>
      <c r="X438" s="15" t="s">
        <v>731</v>
      </c>
      <c r="Y438" s="1">
        <v>12</v>
      </c>
      <c r="Z438" s="15">
        <v>5.76</v>
      </c>
      <c r="AA438" s="15" t="s">
        <v>574</v>
      </c>
      <c r="AB438" s="15">
        <f t="shared" si="351"/>
        <v>5.76</v>
      </c>
      <c r="AC438" s="1">
        <v>4</v>
      </c>
      <c r="AF438" s="15">
        <v>3.69</v>
      </c>
      <c r="AM438" s="1"/>
      <c r="AQ438" s="1"/>
      <c r="AR438" s="1">
        <v>6</v>
      </c>
      <c r="AT438" s="15" t="s">
        <v>993</v>
      </c>
      <c r="AW438" s="15">
        <v>500</v>
      </c>
      <c r="AX438" s="15">
        <f>AW438*1.09</f>
        <v>545</v>
      </c>
      <c r="AY438" s="15" t="s">
        <v>766</v>
      </c>
      <c r="AZ438" s="15">
        <f>AX438</f>
        <v>545</v>
      </c>
      <c r="BA438" s="15">
        <f>AZ438/2.93/1000</f>
        <v>0.18600682593856654</v>
      </c>
      <c r="BB438" s="15">
        <f>AZ438*0.6</f>
        <v>327</v>
      </c>
      <c r="BG438" s="23" t="s">
        <v>1267</v>
      </c>
      <c r="BP438" s="16"/>
      <c r="BQ438" s="16"/>
      <c r="BR438" s="16"/>
      <c r="BS438" s="15">
        <v>1000</v>
      </c>
      <c r="BT438" s="15">
        <f t="shared" si="411"/>
        <v>1000</v>
      </c>
      <c r="BU438" s="15" t="s">
        <v>766</v>
      </c>
      <c r="BY438" s="15">
        <f t="shared" si="412"/>
        <v>1000</v>
      </c>
      <c r="BZ438" s="15">
        <f t="shared" si="413"/>
        <v>0.90909090909090906</v>
      </c>
      <c r="CA438" s="15">
        <f t="shared" si="414"/>
        <v>2000</v>
      </c>
      <c r="EW438" s="46">
        <f>AX438+BT438+CF438+DE438+DY438</f>
        <v>1545</v>
      </c>
      <c r="EX438" s="46">
        <f>BA438+BZ438+CZ438+DT438+ET438</f>
        <v>1.0950977350294755</v>
      </c>
      <c r="EY438" s="46">
        <f>BB438+CA438+DA438+DU438+EU438</f>
        <v>2327</v>
      </c>
      <c r="EZ438" s="16"/>
      <c r="FA438" s="16"/>
      <c r="FB438" s="16"/>
      <c r="FC438" s="16"/>
      <c r="FD438" s="16"/>
      <c r="FE438" s="16"/>
      <c r="FF438" s="16"/>
      <c r="FG438" s="16"/>
      <c r="FH438" s="16"/>
      <c r="FI438" s="16"/>
      <c r="FJ438" s="16"/>
      <c r="FK438" s="16">
        <f t="shared" si="390"/>
        <v>4.54</v>
      </c>
      <c r="FL438" s="16">
        <f t="shared" si="391"/>
        <v>4.96</v>
      </c>
      <c r="FM438" s="15">
        <v>4.54</v>
      </c>
      <c r="FN438" s="15">
        <f t="shared" si="392"/>
        <v>0.22700000000000001</v>
      </c>
      <c r="FO438" s="15">
        <f>FN438*SQRT(AR438)</f>
        <v>0.55603417161178137</v>
      </c>
      <c r="FP438" s="15">
        <v>4.96</v>
      </c>
      <c r="FQ438" s="15">
        <f t="shared" si="393"/>
        <v>0.248</v>
      </c>
      <c r="FR438" s="15">
        <f>FQ438*SQRT(AR438)</f>
        <v>0.60747345621022808</v>
      </c>
      <c r="FS438" s="15">
        <f t="shared" si="394"/>
        <v>1.0925110132158591</v>
      </c>
      <c r="FT438" s="15">
        <f t="shared" si="395"/>
        <v>0.41999999999999993</v>
      </c>
      <c r="FU438" s="15">
        <f t="shared" si="396"/>
        <v>8.8478728683579533E-2</v>
      </c>
      <c r="FV438" s="15">
        <f>((FR438*FR438)/(AR438*FP438*FP438)+(FO438*FO438)/(AR438*FM438*FM438))</f>
        <v>4.9999999999999984E-3</v>
      </c>
      <c r="GI438" s="15">
        <v>4.04</v>
      </c>
      <c r="GJ438" s="15">
        <f t="shared" si="401"/>
        <v>0.20200000000000001</v>
      </c>
      <c r="GK438" s="15">
        <f>GJ438*SQRT(AR161)</f>
        <v>0.34987426312891323</v>
      </c>
      <c r="GL438" s="15">
        <v>4.12</v>
      </c>
      <c r="GM438" s="15">
        <f t="shared" si="402"/>
        <v>0.20600000000000002</v>
      </c>
      <c r="GN438" s="15">
        <f>GM438*SQRT(AR161)</f>
        <v>0.35680246635918872</v>
      </c>
      <c r="GO438" s="15">
        <f t="shared" si="403"/>
        <v>1.0198019801980198</v>
      </c>
      <c r="GP438" s="15">
        <f t="shared" si="404"/>
        <v>8.0000000000000071E-2</v>
      </c>
      <c r="GQ438" s="15">
        <f t="shared" si="405"/>
        <v>1.9608471388376403E-2</v>
      </c>
      <c r="GR438" s="15">
        <f>((GN438*GN438)/(AR161*GL438*GL438)+(GK438*GK438)/(AR161*GI438*GI438))</f>
        <v>5.0000000000000001E-3</v>
      </c>
      <c r="GT438" s="15">
        <f>(0.42+0.13)*100/GI438</f>
        <v>13.613861386138616</v>
      </c>
      <c r="GU438" s="15">
        <f t="shared" si="406"/>
        <v>0.68069306930693085</v>
      </c>
      <c r="GV438" s="15">
        <f>GU438*SQRT(AR151)</f>
        <v>1.1789949803996074</v>
      </c>
      <c r="GW438" s="15">
        <f>(0.8+1.38)*100/GL438</f>
        <v>52.912621359223294</v>
      </c>
      <c r="GX438" s="15">
        <f t="shared" si="407"/>
        <v>2.645631067961165</v>
      </c>
      <c r="GY438" s="15">
        <f>GX438*SQRT(AR151)</f>
        <v>4.5823674277914472</v>
      </c>
      <c r="GZ438" s="63">
        <f t="shared" si="408"/>
        <v>3.8866725507502196</v>
      </c>
      <c r="HA438" s="63">
        <f t="shared" si="409"/>
        <v>39.298759973084678</v>
      </c>
      <c r="HB438" s="15">
        <f t="shared" si="410"/>
        <v>1.3575534061682415</v>
      </c>
      <c r="HC438" s="15">
        <f>((GY438*GY438)/(AR151*GW438*GW438)+(GV438*GV438)/(AR151*GT438*GT438))</f>
        <v>5.0000000000000018E-3</v>
      </c>
      <c r="HE438" s="15">
        <v>2095</v>
      </c>
      <c r="HF438" s="15">
        <f t="shared" si="382"/>
        <v>104.75</v>
      </c>
      <c r="HG438" s="15">
        <f>HF438*SQRT(AR193)</f>
        <v>181.43232209283988</v>
      </c>
      <c r="HH438" s="15">
        <v>4856</v>
      </c>
      <c r="HI438" s="15">
        <f t="shared" si="383"/>
        <v>242.8</v>
      </c>
      <c r="HJ438" s="15">
        <f>HI438*SQRT(AR193)</f>
        <v>420.54193607772339</v>
      </c>
      <c r="HK438" s="15">
        <f t="shared" si="384"/>
        <v>2.3178997613365153</v>
      </c>
      <c r="HL438" s="15">
        <f t="shared" si="385"/>
        <v>2761</v>
      </c>
      <c r="HM438" s="15">
        <f t="shared" si="386"/>
        <v>0.84066150038309573</v>
      </c>
      <c r="HN438" s="15">
        <f>((HJ438*HJ438)/(AR193*HH438*HH438)+(HG438*HG438)/(AR193*HE438*HE438))</f>
        <v>4.9999999999999992E-3</v>
      </c>
      <c r="HP438" s="15" t="s">
        <v>766</v>
      </c>
      <c r="HV438" s="15">
        <f t="shared" si="387"/>
        <v>27.680582481052944</v>
      </c>
      <c r="HW438" s="15">
        <f t="shared" si="388"/>
        <v>0.84066150038309573</v>
      </c>
      <c r="HX438" s="15">
        <f>EY438</f>
        <v>2327</v>
      </c>
      <c r="HY438" s="15">
        <f t="shared" ref="HY438:IA441" si="415">EW438</f>
        <v>1545</v>
      </c>
      <c r="HZ438" s="15">
        <f t="shared" si="415"/>
        <v>1.0950977350294755</v>
      </c>
      <c r="IA438" s="15">
        <f t="shared" si="415"/>
        <v>2327</v>
      </c>
    </row>
    <row r="439" spans="1:235" s="15" customFormat="1" x14ac:dyDescent="0.25">
      <c r="A439" s="31">
        <v>437</v>
      </c>
      <c r="B439" s="1">
        <v>77</v>
      </c>
      <c r="C439" s="1">
        <v>89</v>
      </c>
      <c r="D439" s="63" t="s">
        <v>397</v>
      </c>
      <c r="E439" s="1">
        <v>6</v>
      </c>
      <c r="F439" s="15" t="s">
        <v>1270</v>
      </c>
      <c r="G439" s="15" t="s">
        <v>1261</v>
      </c>
      <c r="H439" s="15" t="s">
        <v>1262</v>
      </c>
      <c r="I439" s="1">
        <v>2007</v>
      </c>
      <c r="J439" s="15" t="s">
        <v>1263</v>
      </c>
      <c r="K439" s="1" t="s">
        <v>1269</v>
      </c>
      <c r="L439" s="15" t="s">
        <v>1264</v>
      </c>
      <c r="M439" s="15" t="s">
        <v>1265</v>
      </c>
      <c r="N439" s="15" t="s">
        <v>538</v>
      </c>
      <c r="O439" s="31">
        <v>1</v>
      </c>
      <c r="P439" s="15">
        <v>3.5</v>
      </c>
      <c r="Q439" s="15">
        <v>11.33</v>
      </c>
      <c r="R439" s="15">
        <v>560</v>
      </c>
      <c r="S439" s="15">
        <v>1800</v>
      </c>
      <c r="U439" s="15" t="s">
        <v>549</v>
      </c>
      <c r="V439" s="31">
        <v>1</v>
      </c>
      <c r="W439" s="16" t="s">
        <v>1226</v>
      </c>
      <c r="X439" s="15" t="s">
        <v>731</v>
      </c>
      <c r="Y439" s="1">
        <v>12</v>
      </c>
      <c r="Z439" s="15">
        <v>5.76</v>
      </c>
      <c r="AA439" s="15" t="s">
        <v>574</v>
      </c>
      <c r="AB439" s="15">
        <f t="shared" si="351"/>
        <v>5.76</v>
      </c>
      <c r="AC439" s="1">
        <v>4</v>
      </c>
      <c r="AF439" s="15">
        <v>3.69</v>
      </c>
      <c r="AM439" s="1"/>
      <c r="AQ439" s="1"/>
      <c r="AR439" s="1">
        <v>6</v>
      </c>
      <c r="AT439" s="15" t="s">
        <v>993</v>
      </c>
      <c r="AW439" s="15">
        <v>500</v>
      </c>
      <c r="AX439" s="15">
        <f>AW439*1.09</f>
        <v>545</v>
      </c>
      <c r="AY439" s="15" t="s">
        <v>766</v>
      </c>
      <c r="AZ439" s="15">
        <f>AX439</f>
        <v>545</v>
      </c>
      <c r="BA439" s="15">
        <f>AZ439/2.93/1000</f>
        <v>0.18600682593856654</v>
      </c>
      <c r="BB439" s="15">
        <f>AZ439*0.6</f>
        <v>327</v>
      </c>
      <c r="BG439" s="23" t="s">
        <v>1267</v>
      </c>
      <c r="BP439" s="16"/>
      <c r="BQ439" s="16"/>
      <c r="BR439" s="16"/>
      <c r="BS439" s="15">
        <v>1000</v>
      </c>
      <c r="BT439" s="15">
        <f t="shared" si="411"/>
        <v>1000</v>
      </c>
      <c r="BU439" s="15" t="s">
        <v>766</v>
      </c>
      <c r="BY439" s="15">
        <f t="shared" si="412"/>
        <v>1000</v>
      </c>
      <c r="BZ439" s="15">
        <f t="shared" si="413"/>
        <v>0.90909090909090906</v>
      </c>
      <c r="CA439" s="15">
        <f t="shared" si="414"/>
        <v>2000</v>
      </c>
      <c r="EW439" s="46">
        <f>AX439+BT439+CF439+DE439+DY439</f>
        <v>1545</v>
      </c>
      <c r="EX439" s="46">
        <f>BA439+BZ439+CZ439+DT439+ET439</f>
        <v>1.0950977350294755</v>
      </c>
      <c r="EY439" s="46">
        <f>BB439+CA439+DA439+DU439+EU439</f>
        <v>2327</v>
      </c>
      <c r="EZ439" s="16"/>
      <c r="FA439" s="16"/>
      <c r="FB439" s="16"/>
      <c r="FC439" s="16"/>
      <c r="FD439" s="16"/>
      <c r="FE439" s="16"/>
      <c r="FF439" s="16"/>
      <c r="FG439" s="16"/>
      <c r="FH439" s="16"/>
      <c r="FI439" s="16"/>
      <c r="FJ439" s="16"/>
      <c r="FK439" s="16">
        <f t="shared" si="390"/>
        <v>4.45</v>
      </c>
      <c r="FL439" s="16">
        <f t="shared" si="391"/>
        <v>5.09</v>
      </c>
      <c r="FM439" s="15">
        <v>4.45</v>
      </c>
      <c r="FN439" s="15">
        <f t="shared" si="392"/>
        <v>0.22250000000000003</v>
      </c>
      <c r="FO439" s="15">
        <f>FN439*SQRT(AR439)</f>
        <v>0.54501146776925713</v>
      </c>
      <c r="FP439" s="15">
        <v>5.09</v>
      </c>
      <c r="FQ439" s="15">
        <f t="shared" si="393"/>
        <v>0.2545</v>
      </c>
      <c r="FR439" s="15">
        <f>FQ439*SQRT(AR439)</f>
        <v>0.62339513953831882</v>
      </c>
      <c r="FS439" s="15">
        <f t="shared" si="394"/>
        <v>1.1438202247191009</v>
      </c>
      <c r="FT439" s="15">
        <f t="shared" si="395"/>
        <v>0.63999999999999968</v>
      </c>
      <c r="FU439" s="15">
        <f t="shared" si="396"/>
        <v>0.13437373438428257</v>
      </c>
      <c r="FV439" s="15">
        <f>((FR439*FR439)/(AR439*FP439*FP439)+(FO439*FO439)/(AR439*FM439*FM439))</f>
        <v>4.9999999999999992E-3</v>
      </c>
      <c r="GI439" s="15">
        <v>3.9</v>
      </c>
      <c r="GJ439" s="15">
        <f t="shared" si="401"/>
        <v>0.19500000000000001</v>
      </c>
      <c r="GK439" s="15">
        <f>GJ439*SQRT(AR162)</f>
        <v>0.33774990747593109</v>
      </c>
      <c r="GL439" s="15">
        <v>4.55</v>
      </c>
      <c r="GM439" s="15">
        <f t="shared" si="402"/>
        <v>0.22750000000000001</v>
      </c>
      <c r="GN439" s="15">
        <f>GM439*SQRT(AR162)</f>
        <v>0.39404155872191959</v>
      </c>
      <c r="GO439" s="15">
        <f t="shared" si="403"/>
        <v>1.1666666666666667</v>
      </c>
      <c r="GP439" s="15">
        <f t="shared" si="404"/>
        <v>0.64999999999999991</v>
      </c>
      <c r="GQ439" s="15">
        <f t="shared" si="405"/>
        <v>0.1541506798272585</v>
      </c>
      <c r="GR439" s="15">
        <f>((GN439*GN439)/(AR162*GL439*GL439)+(GK439*GK439)/(AR162*GI439*GI439))</f>
        <v>5.000000000000001E-3</v>
      </c>
      <c r="GT439" s="15">
        <f>(0.43+0.14)*100/GI439</f>
        <v>14.615384615384617</v>
      </c>
      <c r="GU439" s="15">
        <f t="shared" si="406"/>
        <v>0.73076923076923084</v>
      </c>
      <c r="GV439" s="15">
        <f>GU439*SQRT(AR152)</f>
        <v>1.2657294363003335</v>
      </c>
      <c r="GW439" s="15">
        <f>(1.62+1.01)*100/GL439</f>
        <v>57.802197802197803</v>
      </c>
      <c r="GX439" s="15">
        <f t="shared" si="407"/>
        <v>2.8901098901098905</v>
      </c>
      <c r="GY439" s="15">
        <f>GX439*SQRT(AR152)</f>
        <v>5.005817169127635</v>
      </c>
      <c r="GZ439" s="63">
        <f t="shared" si="408"/>
        <v>3.9548872180451125</v>
      </c>
      <c r="HA439" s="63">
        <f t="shared" si="409"/>
        <v>43.186813186813183</v>
      </c>
      <c r="HB439" s="15">
        <f t="shared" si="410"/>
        <v>1.374952084515956</v>
      </c>
      <c r="HC439" s="15">
        <f>((GY439*GY439)/(AR152*GW439*GW439)+(GV439*GV439)/(AR152*GT439*GT439))</f>
        <v>5.0000000000000001E-3</v>
      </c>
      <c r="HE439" s="15">
        <v>2246</v>
      </c>
      <c r="HF439" s="15">
        <f t="shared" si="382"/>
        <v>112.30000000000001</v>
      </c>
      <c r="HG439" s="15">
        <f>HF439*SQRT(AR194)</f>
        <v>194.50930568998493</v>
      </c>
      <c r="HH439" s="15">
        <v>4855</v>
      </c>
      <c r="HI439" s="15">
        <f t="shared" si="383"/>
        <v>242.75</v>
      </c>
      <c r="HJ439" s="15">
        <f>HI439*SQRT(AR194)</f>
        <v>420.45533353734493</v>
      </c>
      <c r="HK439" s="15">
        <f t="shared" si="384"/>
        <v>2.1616206589492433</v>
      </c>
      <c r="HL439" s="15">
        <f t="shared" si="385"/>
        <v>2609</v>
      </c>
      <c r="HM439" s="15">
        <f t="shared" si="386"/>
        <v>0.77085824542703651</v>
      </c>
      <c r="HN439" s="15">
        <f>((HJ439*HJ439)/(AR194*HH439*HH439)+(HG439*HG439)/(AR194*HE439*HE439))</f>
        <v>4.9999999999999992E-3</v>
      </c>
      <c r="HP439" s="15" t="s">
        <v>766</v>
      </c>
      <c r="HV439" s="15">
        <f t="shared" si="387"/>
        <v>30.187132508531441</v>
      </c>
      <c r="HW439" s="15">
        <f t="shared" si="388"/>
        <v>0.77085824542703651</v>
      </c>
      <c r="HX439" s="15">
        <f>EY439</f>
        <v>2327</v>
      </c>
      <c r="HY439" s="15">
        <f t="shared" si="415"/>
        <v>1545</v>
      </c>
      <c r="HZ439" s="15">
        <f t="shared" si="415"/>
        <v>1.0950977350294755</v>
      </c>
      <c r="IA439" s="15">
        <f t="shared" si="415"/>
        <v>2327</v>
      </c>
    </row>
    <row r="440" spans="1:235" s="15" customFormat="1" x14ac:dyDescent="0.25">
      <c r="A440" s="31">
        <v>438</v>
      </c>
      <c r="B440" s="1">
        <v>77</v>
      </c>
      <c r="C440" s="1">
        <v>89</v>
      </c>
      <c r="D440" s="63" t="s">
        <v>398</v>
      </c>
      <c r="E440" s="1">
        <v>6</v>
      </c>
      <c r="F440" s="15" t="s">
        <v>1270</v>
      </c>
      <c r="G440" s="15" t="s">
        <v>1261</v>
      </c>
      <c r="H440" s="15" t="s">
        <v>1262</v>
      </c>
      <c r="I440" s="1">
        <v>2007</v>
      </c>
      <c r="J440" s="15" t="s">
        <v>1263</v>
      </c>
      <c r="K440" s="1" t="s">
        <v>1269</v>
      </c>
      <c r="L440" s="15" t="s">
        <v>1264</v>
      </c>
      <c r="M440" s="15" t="s">
        <v>1265</v>
      </c>
      <c r="N440" s="15" t="s">
        <v>538</v>
      </c>
      <c r="O440" s="31">
        <v>1</v>
      </c>
      <c r="P440" s="15">
        <v>3.5</v>
      </c>
      <c r="Q440" s="15">
        <v>11.33</v>
      </c>
      <c r="R440" s="15">
        <v>560</v>
      </c>
      <c r="S440" s="15">
        <v>1800</v>
      </c>
      <c r="U440" s="15" t="s">
        <v>549</v>
      </c>
      <c r="V440" s="31">
        <v>1</v>
      </c>
      <c r="W440" s="16" t="s">
        <v>1226</v>
      </c>
      <c r="X440" s="15" t="s">
        <v>731</v>
      </c>
      <c r="Y440" s="1">
        <v>12</v>
      </c>
      <c r="Z440" s="15">
        <v>5.76</v>
      </c>
      <c r="AA440" s="15" t="s">
        <v>574</v>
      </c>
      <c r="AB440" s="15">
        <f t="shared" si="351"/>
        <v>5.76</v>
      </c>
      <c r="AC440" s="1">
        <v>4</v>
      </c>
      <c r="AF440" s="15">
        <v>3.69</v>
      </c>
      <c r="AM440" s="1"/>
      <c r="AQ440" s="1"/>
      <c r="AR440" s="1">
        <v>6</v>
      </c>
      <c r="AT440" s="15" t="s">
        <v>993</v>
      </c>
      <c r="AW440" s="15">
        <v>500</v>
      </c>
      <c r="AX440" s="15">
        <f>AW440*1.09</f>
        <v>545</v>
      </c>
      <c r="AY440" s="15" t="s">
        <v>766</v>
      </c>
      <c r="AZ440" s="15">
        <f>AX440</f>
        <v>545</v>
      </c>
      <c r="BA440" s="15">
        <f>AZ440/2.93/1000</f>
        <v>0.18600682593856654</v>
      </c>
      <c r="BB440" s="15">
        <f>AZ440*0.6</f>
        <v>327</v>
      </c>
      <c r="BG440" s="23" t="s">
        <v>1267</v>
      </c>
      <c r="BP440" s="16"/>
      <c r="BQ440" s="16"/>
      <c r="BR440" s="16"/>
      <c r="BS440" s="15">
        <v>1000</v>
      </c>
      <c r="BT440" s="15">
        <f t="shared" si="411"/>
        <v>1000</v>
      </c>
      <c r="BU440" s="15" t="s">
        <v>766</v>
      </c>
      <c r="BY440" s="15">
        <f t="shared" si="412"/>
        <v>1000</v>
      </c>
      <c r="BZ440" s="15">
        <f t="shared" si="413"/>
        <v>0.90909090909090906</v>
      </c>
      <c r="CA440" s="15">
        <f t="shared" si="414"/>
        <v>2000</v>
      </c>
      <c r="EW440" s="46">
        <f>AX440+BT440+CF440+DE440+DY440</f>
        <v>1545</v>
      </c>
      <c r="EX440" s="46">
        <f>BA440+BZ440+CZ440+DT440+ET440</f>
        <v>1.0950977350294755</v>
      </c>
      <c r="EY440" s="46">
        <f>BB440+CA440+DA440+DU440+EU440</f>
        <v>2327</v>
      </c>
      <c r="EZ440" s="16"/>
      <c r="FA440" s="16"/>
      <c r="FB440" s="16"/>
      <c r="FC440" s="16"/>
      <c r="FD440" s="16"/>
      <c r="FE440" s="16"/>
      <c r="FF440" s="16"/>
      <c r="FG440" s="16"/>
      <c r="FH440" s="16"/>
      <c r="FI440" s="16"/>
      <c r="FJ440" s="16"/>
      <c r="FK440" s="16">
        <f t="shared" si="390"/>
        <v>4.51</v>
      </c>
      <c r="FL440" s="16">
        <f t="shared" si="391"/>
        <v>4.88</v>
      </c>
      <c r="FM440" s="15">
        <v>4.51</v>
      </c>
      <c r="FN440" s="15">
        <f t="shared" si="392"/>
        <v>0.22550000000000001</v>
      </c>
      <c r="FO440" s="15">
        <f>FN440*SQRT(AR440)</f>
        <v>0.55235993699760666</v>
      </c>
      <c r="FP440" s="15">
        <v>4.88</v>
      </c>
      <c r="FQ440" s="15">
        <f t="shared" si="393"/>
        <v>0.24399999999999999</v>
      </c>
      <c r="FR440" s="15">
        <f>FQ440*SQRT(AR440)</f>
        <v>0.59767549723909541</v>
      </c>
      <c r="FS440" s="15">
        <f t="shared" si="394"/>
        <v>1.082039911308204</v>
      </c>
      <c r="FT440" s="15">
        <f t="shared" si="395"/>
        <v>0.37000000000000011</v>
      </c>
      <c r="FU440" s="15">
        <f t="shared" si="396"/>
        <v>7.8848066350468704E-2</v>
      </c>
      <c r="FV440" s="15">
        <f>((FR440*FR440)/(AR440*FP440*FP440)+(FO440*FO440)/(AR440*FM440*FM440))</f>
        <v>4.9999999999999992E-3</v>
      </c>
      <c r="GI440" s="15">
        <v>3.82</v>
      </c>
      <c r="GJ440" s="15">
        <f t="shared" si="401"/>
        <v>0.191</v>
      </c>
      <c r="GK440" s="15">
        <f>GJ440*SQRT(AR163)</f>
        <v>0.33082170424565555</v>
      </c>
      <c r="GL440" s="15">
        <v>4.38</v>
      </c>
      <c r="GM440" s="15">
        <f t="shared" si="402"/>
        <v>0.219</v>
      </c>
      <c r="GN440" s="15">
        <f>GM440*SQRT(AR163)</f>
        <v>0.37931912685758412</v>
      </c>
      <c r="GO440" s="15">
        <f t="shared" si="403"/>
        <v>1.1465968586387434</v>
      </c>
      <c r="GP440" s="15">
        <f t="shared" si="404"/>
        <v>0.56000000000000005</v>
      </c>
      <c r="GQ440" s="15">
        <f t="shared" si="405"/>
        <v>0.13679830176987107</v>
      </c>
      <c r="GR440" s="15">
        <f>((GN440*GN440)/(AR163*GL440*GL440)+(GK440*GK440)/(AR163*GI440*GI440))</f>
        <v>4.9999999999999992E-3</v>
      </c>
      <c r="GT440" s="15">
        <f>(0.64+0.14)*100/GI440</f>
        <v>20.418848167539267</v>
      </c>
      <c r="GU440" s="15">
        <f t="shared" si="406"/>
        <v>1.0209424083769634</v>
      </c>
      <c r="GV440" s="15">
        <f>GU440*SQRT(AR153)</f>
        <v>1.7683241229106339</v>
      </c>
      <c r="GW440" s="15">
        <f>(1.3+0.88)*100/GL440</f>
        <v>49.771689497716906</v>
      </c>
      <c r="GX440" s="15">
        <f t="shared" si="407"/>
        <v>2.4885844748858457</v>
      </c>
      <c r="GY440" s="15">
        <f>GX440*SQRT(AR153)</f>
        <v>4.3103547494293988</v>
      </c>
      <c r="GZ440" s="63">
        <f t="shared" si="408"/>
        <v>2.4375365882215205</v>
      </c>
      <c r="HA440" s="63">
        <f t="shared" si="409"/>
        <v>29.35284133017764</v>
      </c>
      <c r="HB440" s="15">
        <f t="shared" si="410"/>
        <v>0.89098793432962653</v>
      </c>
      <c r="HC440" s="15">
        <f>((GY440*GY440)/(AR153*GW440*GW440)+(GV440*GV440)/(AR153*GT440*GT440))</f>
        <v>5.0000000000000001E-3</v>
      </c>
      <c r="HE440" s="15">
        <v>1305</v>
      </c>
      <c r="HF440" s="15">
        <f t="shared" si="382"/>
        <v>65.25</v>
      </c>
      <c r="HG440" s="15">
        <f>HF440*SQRT(AR195)</f>
        <v>113.01631519386923</v>
      </c>
      <c r="HH440" s="15">
        <v>4549</v>
      </c>
      <c r="HI440" s="15">
        <f t="shared" si="383"/>
        <v>227.45000000000002</v>
      </c>
      <c r="HJ440" s="15">
        <f>HI440*SQRT(AR195)</f>
        <v>393.95495618154115</v>
      </c>
      <c r="HK440" s="15">
        <f t="shared" si="384"/>
        <v>3.4858237547892719</v>
      </c>
      <c r="HL440" s="15">
        <f t="shared" si="385"/>
        <v>3244</v>
      </c>
      <c r="HM440" s="15">
        <f t="shared" si="386"/>
        <v>1.2487043878132091</v>
      </c>
      <c r="HN440" s="15">
        <f>((HJ440*HJ440)/(AR195*HH440*HH440)+(HG440*HG440)/(AR195*HE440*HE440))</f>
        <v>4.9999999999999992E-3</v>
      </c>
      <c r="HP440" s="15" t="s">
        <v>766</v>
      </c>
      <c r="HV440" s="15">
        <f t="shared" si="387"/>
        <v>18.635315313299682</v>
      </c>
      <c r="HW440" s="15">
        <f t="shared" si="388"/>
        <v>1.2487043878132091</v>
      </c>
      <c r="HX440" s="15">
        <f>EY440</f>
        <v>2327</v>
      </c>
      <c r="HY440" s="15">
        <f t="shared" si="415"/>
        <v>1545</v>
      </c>
      <c r="HZ440" s="15">
        <f t="shared" si="415"/>
        <v>1.0950977350294755</v>
      </c>
      <c r="IA440" s="15">
        <f t="shared" si="415"/>
        <v>2327</v>
      </c>
    </row>
    <row r="441" spans="1:235" s="15" customFormat="1" x14ac:dyDescent="0.25">
      <c r="A441" s="31">
        <v>439</v>
      </c>
      <c r="B441" s="1">
        <v>77</v>
      </c>
      <c r="C441" s="1">
        <v>89</v>
      </c>
      <c r="D441" s="63" t="s">
        <v>399</v>
      </c>
      <c r="E441" s="1">
        <v>6</v>
      </c>
      <c r="F441" s="15" t="s">
        <v>1270</v>
      </c>
      <c r="G441" s="15" t="s">
        <v>1261</v>
      </c>
      <c r="H441" s="15" t="s">
        <v>1262</v>
      </c>
      <c r="I441" s="1">
        <v>2007</v>
      </c>
      <c r="J441" s="15" t="s">
        <v>1263</v>
      </c>
      <c r="K441" s="1" t="s">
        <v>1269</v>
      </c>
      <c r="L441" s="15" t="s">
        <v>1264</v>
      </c>
      <c r="M441" s="15" t="s">
        <v>1265</v>
      </c>
      <c r="N441" s="15" t="s">
        <v>538</v>
      </c>
      <c r="O441" s="31">
        <v>1</v>
      </c>
      <c r="P441" s="15">
        <v>3.5</v>
      </c>
      <c r="Q441" s="15">
        <v>11.33</v>
      </c>
      <c r="R441" s="15">
        <v>560</v>
      </c>
      <c r="S441" s="15">
        <v>1800</v>
      </c>
      <c r="U441" s="15" t="s">
        <v>549</v>
      </c>
      <c r="V441" s="31">
        <v>1</v>
      </c>
      <c r="W441" s="16" t="s">
        <v>1226</v>
      </c>
      <c r="X441" s="15" t="s">
        <v>731</v>
      </c>
      <c r="Y441" s="1">
        <v>12</v>
      </c>
      <c r="Z441" s="15">
        <v>5.76</v>
      </c>
      <c r="AA441" s="15" t="s">
        <v>574</v>
      </c>
      <c r="AB441" s="15">
        <f t="shared" si="351"/>
        <v>5.76</v>
      </c>
      <c r="AC441" s="1">
        <v>4</v>
      </c>
      <c r="AF441" s="15">
        <v>3.69</v>
      </c>
      <c r="AM441" s="1"/>
      <c r="AQ441" s="1"/>
      <c r="AR441" s="1">
        <v>6</v>
      </c>
      <c r="AT441" s="15" t="s">
        <v>993</v>
      </c>
      <c r="AW441" s="15">
        <v>500</v>
      </c>
      <c r="AX441" s="15">
        <f>AW441*1.09</f>
        <v>545</v>
      </c>
      <c r="AY441" s="15" t="s">
        <v>766</v>
      </c>
      <c r="AZ441" s="15">
        <f>AX441</f>
        <v>545</v>
      </c>
      <c r="BA441" s="15">
        <f>AZ441/2.93/1000</f>
        <v>0.18600682593856654</v>
      </c>
      <c r="BB441" s="15">
        <f>AZ441*0.6</f>
        <v>327</v>
      </c>
      <c r="BG441" s="23" t="s">
        <v>1267</v>
      </c>
      <c r="BP441" s="16"/>
      <c r="BQ441" s="16"/>
      <c r="BR441" s="16"/>
      <c r="BS441" s="15">
        <v>1000</v>
      </c>
      <c r="BT441" s="15">
        <f t="shared" si="411"/>
        <v>1000</v>
      </c>
      <c r="BU441" s="15" t="s">
        <v>766</v>
      </c>
      <c r="BY441" s="15">
        <f t="shared" si="412"/>
        <v>1000</v>
      </c>
      <c r="BZ441" s="15">
        <f t="shared" si="413"/>
        <v>0.90909090909090906</v>
      </c>
      <c r="CA441" s="15">
        <f t="shared" si="414"/>
        <v>2000</v>
      </c>
      <c r="EW441" s="46">
        <f>AX441+BT441+CF441+DE441+DY441</f>
        <v>1545</v>
      </c>
      <c r="EX441" s="46">
        <f>BA441+BZ441+CZ441+DT441+ET441</f>
        <v>1.0950977350294755</v>
      </c>
      <c r="EY441" s="46">
        <f>BB441+CA441+DA441+DU441+EU441</f>
        <v>2327</v>
      </c>
      <c r="EZ441" s="16"/>
      <c r="FA441" s="16"/>
      <c r="FB441" s="16"/>
      <c r="FC441" s="16"/>
      <c r="FD441" s="16"/>
      <c r="FE441" s="16"/>
      <c r="FF441" s="16"/>
      <c r="FG441" s="16"/>
      <c r="FH441" s="16"/>
      <c r="FI441" s="16"/>
      <c r="FJ441" s="16"/>
      <c r="FK441" s="16">
        <f t="shared" si="390"/>
        <v>4.47</v>
      </c>
      <c r="FL441" s="16">
        <f t="shared" si="391"/>
        <v>5.08</v>
      </c>
      <c r="FM441" s="15">
        <v>4.47</v>
      </c>
      <c r="FN441" s="15">
        <f t="shared" si="392"/>
        <v>0.2235</v>
      </c>
      <c r="FO441" s="15">
        <f>FN441*SQRT(AR441)</f>
        <v>0.54746095751204027</v>
      </c>
      <c r="FP441" s="15">
        <v>5.08</v>
      </c>
      <c r="FQ441" s="15">
        <f t="shared" si="393"/>
        <v>0.254</v>
      </c>
      <c r="FR441" s="15">
        <f>FQ441*SQRT(AR441)</f>
        <v>0.62217039466692714</v>
      </c>
      <c r="FS441" s="15">
        <f t="shared" si="394"/>
        <v>1.1364653243847875</v>
      </c>
      <c r="FT441" s="15">
        <f t="shared" si="395"/>
        <v>0.61000000000000032</v>
      </c>
      <c r="FU441" s="15">
        <f t="shared" si="396"/>
        <v>0.12792285296491324</v>
      </c>
      <c r="FV441" s="15">
        <f>((FR441*FR441)/(AR441*FP441*FP441)+(FO441*FO441)/(AR441*FM441*FM441))</f>
        <v>4.9999999999999992E-3</v>
      </c>
      <c r="GI441" s="15">
        <v>3.88</v>
      </c>
      <c r="GJ441" s="15">
        <f t="shared" si="401"/>
        <v>0.19400000000000001</v>
      </c>
      <c r="GK441" s="15">
        <f>GJ441*SQRT(AR164)</f>
        <v>0.3360178566683622</v>
      </c>
      <c r="GL441" s="15">
        <v>5.24</v>
      </c>
      <c r="GM441" s="15">
        <f t="shared" si="402"/>
        <v>0.26200000000000001</v>
      </c>
      <c r="GN441" s="15">
        <f>GM441*SQRT(AR164)</f>
        <v>0.45379731158304587</v>
      </c>
      <c r="GO441" s="15">
        <f t="shared" si="403"/>
        <v>1.3505154639175259</v>
      </c>
      <c r="GP441" s="15">
        <f t="shared" si="404"/>
        <v>1.3600000000000003</v>
      </c>
      <c r="GQ441" s="15">
        <f t="shared" si="405"/>
        <v>0.3004863446977688</v>
      </c>
      <c r="GR441" s="15">
        <f>((GN441*GN441)/(AR164*GL441*GL441)+(GK441*GK441)/(AR164*GI441*GI441))</f>
        <v>4.9999999999999992E-3</v>
      </c>
      <c r="GT441" s="15">
        <f>(0.54+0.12)*100/GI441</f>
        <v>17.010309278350515</v>
      </c>
      <c r="GU441" s="15">
        <f t="shared" si="406"/>
        <v>0.85051546391752586</v>
      </c>
      <c r="GV441" s="15">
        <f>GU441*SQRT(AR154)</f>
        <v>1.4731359961281689</v>
      </c>
      <c r="GW441" s="15">
        <f>(1.49+0.84)*100/GL441</f>
        <v>44.465648854961827</v>
      </c>
      <c r="GX441" s="15">
        <f t="shared" si="407"/>
        <v>2.2232824427480913</v>
      </c>
      <c r="GY441" s="15">
        <f>GX441*SQRT(AR154)</f>
        <v>3.8508381504155373</v>
      </c>
      <c r="GZ441" s="63">
        <f t="shared" si="408"/>
        <v>2.6140411751098771</v>
      </c>
      <c r="HA441" s="63">
        <f t="shared" si="409"/>
        <v>27.455339576611312</v>
      </c>
      <c r="HB441" s="15">
        <f t="shared" si="410"/>
        <v>0.96089736684150617</v>
      </c>
      <c r="HC441" s="15">
        <f>((GY441*GY441)/(AR154*GW441*GW441)+(GV441*GV441)/(AR154*GT441*GT441))</f>
        <v>5.000000000000001E-3</v>
      </c>
      <c r="HE441" s="15">
        <v>1849</v>
      </c>
      <c r="HF441" s="15">
        <f t="shared" si="382"/>
        <v>92.45</v>
      </c>
      <c r="HG441" s="15">
        <f>HF441*SQRT(AR196)</f>
        <v>160.12809715974271</v>
      </c>
      <c r="HH441" s="15">
        <v>3852</v>
      </c>
      <c r="HI441" s="15">
        <f t="shared" si="383"/>
        <v>192.60000000000002</v>
      </c>
      <c r="HJ441" s="15">
        <f>HI441*SQRT(AR196)</f>
        <v>333.5929855377658</v>
      </c>
      <c r="HK441" s="15">
        <f t="shared" si="384"/>
        <v>2.0832882639264469</v>
      </c>
      <c r="HL441" s="15">
        <f t="shared" si="385"/>
        <v>2003</v>
      </c>
      <c r="HM441" s="15">
        <f t="shared" si="386"/>
        <v>0.73394754153089092</v>
      </c>
      <c r="HN441" s="15">
        <f>((HJ441*HJ441)/(AR196*HH441*HH441)+(HG441*HG441)/(AR196*HE441*HE441))</f>
        <v>5.000000000000001E-3</v>
      </c>
      <c r="HP441" s="15" t="s">
        <v>766</v>
      </c>
      <c r="HV441" s="15">
        <f t="shared" si="387"/>
        <v>31.705263228299259</v>
      </c>
      <c r="HW441" s="15">
        <f t="shared" si="388"/>
        <v>0.73394754153089092</v>
      </c>
      <c r="HX441" s="15">
        <f>EY441</f>
        <v>2327</v>
      </c>
      <c r="HY441" s="15">
        <f t="shared" si="415"/>
        <v>1545</v>
      </c>
      <c r="HZ441" s="15">
        <f t="shared" si="415"/>
        <v>1.0950977350294755</v>
      </c>
      <c r="IA441" s="15">
        <f t="shared" si="415"/>
        <v>2327</v>
      </c>
    </row>
    <row r="442" spans="1:235" s="15" customFormat="1" x14ac:dyDescent="0.25">
      <c r="A442" s="31">
        <v>440</v>
      </c>
      <c r="B442" s="1">
        <v>78</v>
      </c>
      <c r="C442" s="1">
        <v>90</v>
      </c>
      <c r="D442" s="63" t="s">
        <v>400</v>
      </c>
      <c r="E442" s="1">
        <v>2</v>
      </c>
      <c r="F442" s="15" t="s">
        <v>777</v>
      </c>
      <c r="G442" s="15" t="s">
        <v>1271</v>
      </c>
      <c r="H442" s="15" t="s">
        <v>818</v>
      </c>
      <c r="I442" s="1">
        <v>2020</v>
      </c>
      <c r="J442" s="15" t="s">
        <v>515</v>
      </c>
      <c r="K442" s="1" t="s">
        <v>1272</v>
      </c>
      <c r="L442" s="15" t="s">
        <v>1273</v>
      </c>
      <c r="M442" s="15" t="s">
        <v>480</v>
      </c>
      <c r="N442" s="15" t="s">
        <v>23</v>
      </c>
      <c r="O442" s="31">
        <v>2</v>
      </c>
      <c r="P442" s="15">
        <v>25.43</v>
      </c>
      <c r="Q442" s="15">
        <v>118.43</v>
      </c>
      <c r="S442" s="15" t="s">
        <v>1274</v>
      </c>
      <c r="T442" s="15" t="s">
        <v>1275</v>
      </c>
      <c r="U442" s="15" t="s">
        <v>549</v>
      </c>
      <c r="V442" s="31">
        <v>1</v>
      </c>
      <c r="W442" s="16" t="s">
        <v>1164</v>
      </c>
      <c r="X442" s="15" t="s">
        <v>924</v>
      </c>
      <c r="Y442" s="1">
        <v>7</v>
      </c>
      <c r="Z442" s="15">
        <v>4.2</v>
      </c>
      <c r="AA442" s="15" t="s">
        <v>574</v>
      </c>
      <c r="AB442" s="15">
        <f t="shared" ref="AB442:AB446" si="416">Z442</f>
        <v>4.2</v>
      </c>
      <c r="AC442" s="1">
        <v>1</v>
      </c>
      <c r="AD442" s="15">
        <v>18.899999999999999</v>
      </c>
      <c r="AM442" s="1"/>
      <c r="AN442" s="15">
        <v>1.1000000000000001</v>
      </c>
      <c r="AP442" s="15" t="s">
        <v>837</v>
      </c>
      <c r="AQ442" s="1">
        <v>2</v>
      </c>
      <c r="AR442" s="1">
        <v>4</v>
      </c>
      <c r="BP442" s="16"/>
      <c r="BQ442" s="16"/>
      <c r="BR442" s="16"/>
      <c r="BU442" s="16"/>
      <c r="CC442" s="15" t="s">
        <v>1028</v>
      </c>
      <c r="CE442" s="15">
        <v>500</v>
      </c>
      <c r="CF442" s="15">
        <f t="shared" ref="CF442:CF450" si="417">CE442</f>
        <v>500</v>
      </c>
      <c r="CG442" s="15" t="s">
        <v>766</v>
      </c>
      <c r="CH442" s="15">
        <v>9.5</v>
      </c>
      <c r="CI442" s="15">
        <v>500</v>
      </c>
      <c r="CK442" s="15">
        <v>470</v>
      </c>
      <c r="CL442" s="15">
        <v>6</v>
      </c>
      <c r="CN442" s="15">
        <v>0.25</v>
      </c>
      <c r="CY442" s="25">
        <f t="shared" ref="CY442:CY450" si="418">CF442</f>
        <v>500</v>
      </c>
      <c r="CZ442" s="25">
        <f t="shared" ref="CZ442:CZ450" si="419">CY442/0.78/1000</f>
        <v>0.64102564102564097</v>
      </c>
      <c r="DA442" s="25">
        <f t="shared" ref="DA442:DA450" si="420">CY442*3</f>
        <v>1500</v>
      </c>
      <c r="EZ442" s="16"/>
      <c r="FA442" s="16"/>
      <c r="FB442" s="16"/>
      <c r="FC442" s="16"/>
      <c r="FD442" s="16"/>
      <c r="FE442" s="16"/>
      <c r="FF442" s="16"/>
      <c r="FG442" s="16"/>
      <c r="FH442" s="16"/>
      <c r="FI442" s="16"/>
      <c r="FJ442" s="16"/>
      <c r="FK442" s="16">
        <f t="shared" si="390"/>
        <v>4.04</v>
      </c>
      <c r="FL442" s="16">
        <f t="shared" si="391"/>
        <v>4.29</v>
      </c>
      <c r="FM442" s="15">
        <v>4.04</v>
      </c>
      <c r="FN442" s="15">
        <v>0.1</v>
      </c>
      <c r="FO442" s="15">
        <f>FN442*SQRT(AR442)</f>
        <v>0.2</v>
      </c>
      <c r="FP442" s="15">
        <v>4.29</v>
      </c>
      <c r="FQ442" s="15">
        <v>0.05</v>
      </c>
      <c r="FR442" s="15">
        <f>FQ442*SQRT(AR442)</f>
        <v>0.1</v>
      </c>
      <c r="FS442" s="15">
        <f t="shared" si="394"/>
        <v>1.0618811881188119</v>
      </c>
      <c r="FT442" s="15">
        <f t="shared" si="395"/>
        <v>0.25</v>
      </c>
      <c r="FU442" s="15">
        <f t="shared" si="396"/>
        <v>6.0042040966866939E-2</v>
      </c>
      <c r="FV442" s="15">
        <f>((FR442*FR442)/(AR442*FP442*FP442)+(FO442*FO442)/(AR442*FM442*FM442))</f>
        <v>7.4852432755778318E-4</v>
      </c>
      <c r="FX442" s="15">
        <f>18.9+0.41</f>
        <v>19.309999999999999</v>
      </c>
      <c r="FY442" s="15">
        <v>1.03</v>
      </c>
      <c r="FZ442" s="15">
        <f>FY442*SQRT(AR442)</f>
        <v>2.06</v>
      </c>
      <c r="GA442" s="15">
        <f>18.9+FY442+1</f>
        <v>20.93</v>
      </c>
      <c r="GB442" s="15">
        <v>1.01</v>
      </c>
      <c r="GC442" s="15">
        <f>GB442*SQRT(AR442)</f>
        <v>2.02</v>
      </c>
      <c r="GD442" s="15">
        <f t="shared" ref="GD442:GD464" si="421">GA442/FX442</f>
        <v>1.0838943552563438</v>
      </c>
      <c r="GE442" s="15">
        <f t="shared" ref="GE442:GE464" si="422">GA442-FX442</f>
        <v>1.620000000000001</v>
      </c>
      <c r="GF442" s="15">
        <f t="shared" ref="GF442:GF485" si="423">LN(GA442)-LN(FX442)</f>
        <v>8.0560440017485302E-2</v>
      </c>
      <c r="GG442" s="15">
        <f>((GC442*GC442)/(AR442*GA442*GA442)+(FZ442*FZ442)/(AR442*FX442*FX442))</f>
        <v>5.1738314026848085E-3</v>
      </c>
      <c r="HY442" s="25">
        <f>CY442</f>
        <v>500</v>
      </c>
      <c r="HZ442" s="25">
        <f>CZ442</f>
        <v>0.64102564102564097</v>
      </c>
      <c r="IA442" s="25">
        <f>DA442</f>
        <v>1500</v>
      </c>
    </row>
    <row r="443" spans="1:235" s="15" customFormat="1" x14ac:dyDescent="0.25">
      <c r="A443" s="31">
        <v>441</v>
      </c>
      <c r="B443" s="1">
        <v>78</v>
      </c>
      <c r="C443" s="1">
        <v>90</v>
      </c>
      <c r="D443" s="63" t="s">
        <v>401</v>
      </c>
      <c r="E443" s="1">
        <v>2</v>
      </c>
      <c r="F443" s="15" t="s">
        <v>777</v>
      </c>
      <c r="G443" s="15" t="s">
        <v>1271</v>
      </c>
      <c r="H443" s="15" t="s">
        <v>818</v>
      </c>
      <c r="I443" s="1">
        <v>2020</v>
      </c>
      <c r="J443" s="15" t="s">
        <v>515</v>
      </c>
      <c r="K443" s="1" t="s">
        <v>1272</v>
      </c>
      <c r="L443" s="15" t="s">
        <v>1273</v>
      </c>
      <c r="M443" s="15" t="s">
        <v>480</v>
      </c>
      <c r="N443" s="15" t="s">
        <v>23</v>
      </c>
      <c r="O443" s="31">
        <v>2</v>
      </c>
      <c r="P443" s="15">
        <v>25.43</v>
      </c>
      <c r="Q443" s="15">
        <v>118.43</v>
      </c>
      <c r="S443" s="15" t="s">
        <v>1274</v>
      </c>
      <c r="T443" s="15" t="s">
        <v>1275</v>
      </c>
      <c r="U443" s="15" t="s">
        <v>549</v>
      </c>
      <c r="V443" s="31">
        <v>1</v>
      </c>
      <c r="W443" s="16" t="s">
        <v>1164</v>
      </c>
      <c r="X443" s="15" t="s">
        <v>924</v>
      </c>
      <c r="Y443" s="1">
        <v>7</v>
      </c>
      <c r="Z443" s="15">
        <v>4.2</v>
      </c>
      <c r="AA443" s="15" t="s">
        <v>574</v>
      </c>
      <c r="AB443" s="15">
        <f t="shared" si="416"/>
        <v>4.2</v>
      </c>
      <c r="AC443" s="1">
        <v>1</v>
      </c>
      <c r="AD443" s="15">
        <v>18.899999999999999</v>
      </c>
      <c r="AM443" s="1"/>
      <c r="AN443" s="15">
        <v>1.1000000000000001</v>
      </c>
      <c r="AP443" s="15" t="s">
        <v>837</v>
      </c>
      <c r="AQ443" s="1">
        <v>2</v>
      </c>
      <c r="AR443" s="1">
        <v>4</v>
      </c>
      <c r="BP443" s="16"/>
      <c r="BQ443" s="16"/>
      <c r="BR443" s="16"/>
      <c r="BU443" s="16"/>
      <c r="CC443" s="15" t="s">
        <v>1028</v>
      </c>
      <c r="CE443" s="15">
        <v>1000</v>
      </c>
      <c r="CF443" s="15">
        <f t="shared" si="417"/>
        <v>1000</v>
      </c>
      <c r="CG443" s="15" t="s">
        <v>766</v>
      </c>
      <c r="CH443" s="15">
        <v>9.5</v>
      </c>
      <c r="CI443" s="15">
        <v>500</v>
      </c>
      <c r="CK443" s="15">
        <v>470</v>
      </c>
      <c r="CL443" s="15">
        <v>6</v>
      </c>
      <c r="CN443" s="15">
        <v>0.25</v>
      </c>
      <c r="CY443" s="25">
        <f t="shared" si="418"/>
        <v>1000</v>
      </c>
      <c r="CZ443" s="25">
        <f t="shared" si="419"/>
        <v>1.2820512820512819</v>
      </c>
      <c r="DA443" s="25">
        <f t="shared" si="420"/>
        <v>3000</v>
      </c>
      <c r="EZ443" s="16"/>
      <c r="FA443" s="16"/>
      <c r="FB443" s="16"/>
      <c r="FC443" s="16"/>
      <c r="FD443" s="16"/>
      <c r="FE443" s="16"/>
      <c r="FF443" s="16"/>
      <c r="FG443" s="16"/>
      <c r="FH443" s="16"/>
      <c r="FI443" s="16"/>
      <c r="FJ443" s="16"/>
      <c r="FK443" s="16">
        <f t="shared" si="390"/>
        <v>4.04</v>
      </c>
      <c r="FL443" s="16">
        <f t="shared" si="391"/>
        <v>4.2</v>
      </c>
      <c r="FM443" s="15">
        <v>4.04</v>
      </c>
      <c r="FN443" s="15">
        <v>0.1</v>
      </c>
      <c r="FO443" s="15">
        <f>FN443*SQRT(AR443)</f>
        <v>0.2</v>
      </c>
      <c r="FP443" s="15">
        <v>4.2</v>
      </c>
      <c r="FQ443" s="15">
        <v>0.1</v>
      </c>
      <c r="FR443" s="15">
        <f>FQ443*SQRT(AR443)</f>
        <v>0.2</v>
      </c>
      <c r="FS443" s="15">
        <f t="shared" si="394"/>
        <v>1.0396039603960396</v>
      </c>
      <c r="FT443" s="15">
        <f t="shared" si="395"/>
        <v>0.16000000000000014</v>
      </c>
      <c r="FU443" s="15">
        <f t="shared" si="396"/>
        <v>3.8839833316264061E-2</v>
      </c>
      <c r="FV443" s="15">
        <f>((FR443*FR443)/(AR443*FP443*FP443)+(FO443*FO443)/(AR443*FM443*FM443))</f>
        <v>1.1795784549156071E-3</v>
      </c>
      <c r="FX443" s="15">
        <f>18.9+0.41</f>
        <v>19.309999999999999</v>
      </c>
      <c r="FY443" s="15">
        <v>1.03</v>
      </c>
      <c r="FZ443" s="15">
        <f>FY443*SQRT(AR443)</f>
        <v>2.06</v>
      </c>
      <c r="GA443" s="15">
        <f>18.9+FY443+1.8</f>
        <v>21.73</v>
      </c>
      <c r="GB443" s="15">
        <v>0.86</v>
      </c>
      <c r="GC443" s="15">
        <f>GB443*SQRT(AR443)</f>
        <v>1.72</v>
      </c>
      <c r="GD443" s="15">
        <f t="shared" si="421"/>
        <v>1.1253236664940447</v>
      </c>
      <c r="GE443" s="15">
        <f t="shared" si="422"/>
        <v>2.4200000000000017</v>
      </c>
      <c r="GF443" s="15">
        <f t="shared" si="423"/>
        <v>0.11807069782791491</v>
      </c>
      <c r="GG443" s="15">
        <f>((GC443*GC443)/(AR443*GA443*GA443)+(FZ443*FZ443)/(AR443*FX443*FX443))</f>
        <v>4.4114900364931996E-3</v>
      </c>
      <c r="HY443" s="25">
        <f>CY443</f>
        <v>1000</v>
      </c>
      <c r="HZ443" s="25">
        <f>CZ443</f>
        <v>1.2820512820512819</v>
      </c>
      <c r="IA443" s="25">
        <f>DA443</f>
        <v>3000</v>
      </c>
    </row>
    <row r="444" spans="1:235" s="15" customFormat="1" x14ac:dyDescent="0.25">
      <c r="A444" s="31">
        <v>442</v>
      </c>
      <c r="B444" s="1">
        <v>78</v>
      </c>
      <c r="C444" s="1">
        <v>90</v>
      </c>
      <c r="D444" s="63" t="s">
        <v>402</v>
      </c>
      <c r="E444" s="1">
        <v>2</v>
      </c>
      <c r="F444" s="15" t="s">
        <v>777</v>
      </c>
      <c r="G444" s="15" t="s">
        <v>1271</v>
      </c>
      <c r="H444" s="15" t="s">
        <v>818</v>
      </c>
      <c r="I444" s="1">
        <v>2020</v>
      </c>
      <c r="J444" s="15" t="s">
        <v>515</v>
      </c>
      <c r="K444" s="1" t="s">
        <v>1272</v>
      </c>
      <c r="L444" s="15" t="s">
        <v>1273</v>
      </c>
      <c r="M444" s="15" t="s">
        <v>480</v>
      </c>
      <c r="N444" s="15" t="s">
        <v>23</v>
      </c>
      <c r="O444" s="31">
        <v>2</v>
      </c>
      <c r="P444" s="15">
        <v>25.43</v>
      </c>
      <c r="Q444" s="15">
        <v>118.43</v>
      </c>
      <c r="S444" s="15" t="s">
        <v>1274</v>
      </c>
      <c r="T444" s="15" t="s">
        <v>1275</v>
      </c>
      <c r="U444" s="15" t="s">
        <v>549</v>
      </c>
      <c r="V444" s="31">
        <v>1</v>
      </c>
      <c r="W444" s="16" t="s">
        <v>1164</v>
      </c>
      <c r="X444" s="15" t="s">
        <v>924</v>
      </c>
      <c r="Y444" s="1">
        <v>7</v>
      </c>
      <c r="Z444" s="15">
        <v>4.2</v>
      </c>
      <c r="AA444" s="15" t="s">
        <v>574</v>
      </c>
      <c r="AB444" s="15">
        <f t="shared" si="416"/>
        <v>4.2</v>
      </c>
      <c r="AC444" s="1">
        <v>1</v>
      </c>
      <c r="AD444" s="15">
        <v>18.899999999999999</v>
      </c>
      <c r="AM444" s="1"/>
      <c r="AN444" s="15">
        <v>1.1000000000000001</v>
      </c>
      <c r="AP444" s="15" t="s">
        <v>837</v>
      </c>
      <c r="AQ444" s="1">
        <v>2</v>
      </c>
      <c r="AR444" s="1">
        <v>4</v>
      </c>
      <c r="BP444" s="16"/>
      <c r="BQ444" s="16"/>
      <c r="BR444" s="16"/>
      <c r="BU444" s="16"/>
      <c r="CC444" s="15" t="s">
        <v>1028</v>
      </c>
      <c r="CE444" s="15">
        <v>2000</v>
      </c>
      <c r="CF444" s="15">
        <f t="shared" si="417"/>
        <v>2000</v>
      </c>
      <c r="CG444" s="15" t="s">
        <v>766</v>
      </c>
      <c r="CH444" s="15">
        <v>9.5</v>
      </c>
      <c r="CI444" s="15">
        <v>500</v>
      </c>
      <c r="CK444" s="15">
        <v>470</v>
      </c>
      <c r="CL444" s="15">
        <v>6</v>
      </c>
      <c r="CN444" s="15">
        <v>0.25</v>
      </c>
      <c r="CY444" s="25">
        <f t="shared" si="418"/>
        <v>2000</v>
      </c>
      <c r="CZ444" s="25">
        <f t="shared" si="419"/>
        <v>2.5641025641025639</v>
      </c>
      <c r="DA444" s="25">
        <f t="shared" si="420"/>
        <v>6000</v>
      </c>
      <c r="EZ444" s="16"/>
      <c r="FA444" s="16"/>
      <c r="FB444" s="16"/>
      <c r="FC444" s="16"/>
      <c r="FD444" s="16"/>
      <c r="FE444" s="16"/>
      <c r="FF444" s="16"/>
      <c r="FG444" s="16"/>
      <c r="FH444" s="16"/>
      <c r="FI444" s="16"/>
      <c r="FJ444" s="16"/>
      <c r="FK444" s="16">
        <f t="shared" si="390"/>
        <v>4.04</v>
      </c>
      <c r="FL444" s="16">
        <f t="shared" si="391"/>
        <v>4.76</v>
      </c>
      <c r="FM444" s="15">
        <v>4.04</v>
      </c>
      <c r="FN444" s="15">
        <v>0.1</v>
      </c>
      <c r="FO444" s="15">
        <f>FN444*SQRT(AR444)</f>
        <v>0.2</v>
      </c>
      <c r="FP444" s="15">
        <v>4.76</v>
      </c>
      <c r="FQ444" s="15">
        <v>0.03</v>
      </c>
      <c r="FR444" s="15">
        <f>FQ444*SQRT(AR444)</f>
        <v>0.06</v>
      </c>
      <c r="FS444" s="15">
        <f t="shared" si="394"/>
        <v>1.1782178217821782</v>
      </c>
      <c r="FT444" s="15">
        <f t="shared" si="395"/>
        <v>0.71999999999999975</v>
      </c>
      <c r="FU444" s="15">
        <f t="shared" si="396"/>
        <v>0.16400297627026994</v>
      </c>
      <c r="FV444" s="15">
        <f>((FR444*FR444)/(AR444*FP444*FP444)+(FO444*FO444)/(AR444*FM444*FM444))</f>
        <v>6.5240680194069138E-4</v>
      </c>
      <c r="FX444" s="15">
        <f>18.9+0.41</f>
        <v>19.309999999999999</v>
      </c>
      <c r="FY444" s="15">
        <v>1.03</v>
      </c>
      <c r="FZ444" s="15">
        <f>FY444*SQRT(AR444)</f>
        <v>2.06</v>
      </c>
      <c r="GA444" s="15">
        <f>18.9+FY444+1.8+0.5</f>
        <v>22.23</v>
      </c>
      <c r="GB444" s="15">
        <v>0.93</v>
      </c>
      <c r="GC444" s="15">
        <f>GB444*SQRT(AR444)</f>
        <v>1.86</v>
      </c>
      <c r="GD444" s="15">
        <f t="shared" si="421"/>
        <v>1.1512169860176076</v>
      </c>
      <c r="GE444" s="15">
        <f t="shared" si="422"/>
        <v>2.9200000000000017</v>
      </c>
      <c r="GF444" s="15">
        <f t="shared" si="423"/>
        <v>0.140819631535682</v>
      </c>
      <c r="GG444" s="15">
        <f>((GC444*GC444)/(AR444*GA444*GA444)+(FZ444*FZ444)/(AR444*FX444*FX444))</f>
        <v>4.5953781608080863E-3</v>
      </c>
      <c r="HY444" s="25">
        <f>CY444</f>
        <v>2000</v>
      </c>
      <c r="HZ444" s="25">
        <f>CZ444</f>
        <v>2.5641025641025639</v>
      </c>
      <c r="IA444" s="25">
        <f>DA444</f>
        <v>6000</v>
      </c>
    </row>
    <row r="445" spans="1:235" s="15" customFormat="1" x14ac:dyDescent="0.25">
      <c r="A445" s="31">
        <v>443</v>
      </c>
      <c r="B445" s="1">
        <v>78</v>
      </c>
      <c r="C445" s="1">
        <v>90</v>
      </c>
      <c r="D445" s="63" t="s">
        <v>403</v>
      </c>
      <c r="E445" s="1">
        <v>2</v>
      </c>
      <c r="F445" s="15" t="s">
        <v>777</v>
      </c>
      <c r="G445" s="15" t="s">
        <v>1271</v>
      </c>
      <c r="H445" s="15" t="s">
        <v>818</v>
      </c>
      <c r="I445" s="1">
        <v>2020</v>
      </c>
      <c r="J445" s="15" t="s">
        <v>515</v>
      </c>
      <c r="K445" s="1" t="s">
        <v>1272</v>
      </c>
      <c r="L445" s="15" t="s">
        <v>1273</v>
      </c>
      <c r="M445" s="15" t="s">
        <v>480</v>
      </c>
      <c r="N445" s="15" t="s">
        <v>23</v>
      </c>
      <c r="O445" s="31">
        <v>2</v>
      </c>
      <c r="P445" s="15">
        <v>25.43</v>
      </c>
      <c r="Q445" s="15">
        <v>118.43</v>
      </c>
      <c r="S445" s="15" t="s">
        <v>1274</v>
      </c>
      <c r="T445" s="15" t="s">
        <v>1275</v>
      </c>
      <c r="U445" s="15" t="s">
        <v>549</v>
      </c>
      <c r="V445" s="31">
        <v>1</v>
      </c>
      <c r="W445" s="16" t="s">
        <v>1164</v>
      </c>
      <c r="X445" s="15" t="s">
        <v>924</v>
      </c>
      <c r="Y445" s="1">
        <v>7</v>
      </c>
      <c r="Z445" s="15">
        <v>4.2</v>
      </c>
      <c r="AA445" s="15" t="s">
        <v>574</v>
      </c>
      <c r="AB445" s="15">
        <f t="shared" si="416"/>
        <v>4.2</v>
      </c>
      <c r="AC445" s="1">
        <v>1</v>
      </c>
      <c r="AD445" s="15">
        <v>18.899999999999999</v>
      </c>
      <c r="AM445" s="1"/>
      <c r="AN445" s="15">
        <v>1.1000000000000001</v>
      </c>
      <c r="AP445" s="15" t="s">
        <v>837</v>
      </c>
      <c r="AQ445" s="1">
        <v>2</v>
      </c>
      <c r="AR445" s="1">
        <v>4</v>
      </c>
      <c r="BP445" s="16"/>
      <c r="BQ445" s="16"/>
      <c r="BR445" s="16"/>
      <c r="BU445" s="16"/>
      <c r="CC445" s="15" t="s">
        <v>1028</v>
      </c>
      <c r="CE445" s="15">
        <v>4000</v>
      </c>
      <c r="CF445" s="15">
        <f t="shared" si="417"/>
        <v>4000</v>
      </c>
      <c r="CG445" s="15" t="s">
        <v>766</v>
      </c>
      <c r="CH445" s="15">
        <v>9.5</v>
      </c>
      <c r="CI445" s="15">
        <v>500</v>
      </c>
      <c r="CK445" s="15">
        <v>470</v>
      </c>
      <c r="CL445" s="15">
        <v>6</v>
      </c>
      <c r="CN445" s="15">
        <v>0.25</v>
      </c>
      <c r="CY445" s="25">
        <f t="shared" si="418"/>
        <v>4000</v>
      </c>
      <c r="CZ445" s="25">
        <f t="shared" si="419"/>
        <v>5.1282051282051277</v>
      </c>
      <c r="DA445" s="25">
        <f t="shared" si="420"/>
        <v>12000</v>
      </c>
      <c r="EZ445" s="16"/>
      <c r="FA445" s="16"/>
      <c r="FB445" s="16"/>
      <c r="FC445" s="16"/>
      <c r="FD445" s="16"/>
      <c r="FE445" s="16"/>
      <c r="FF445" s="16"/>
      <c r="FG445" s="16"/>
      <c r="FH445" s="16"/>
      <c r="FI445" s="16"/>
      <c r="FJ445" s="16"/>
      <c r="FK445" s="16">
        <f t="shared" si="390"/>
        <v>4.04</v>
      </c>
      <c r="FL445" s="16">
        <f t="shared" si="391"/>
        <v>4.8099999999999996</v>
      </c>
      <c r="FM445" s="15">
        <v>4.04</v>
      </c>
      <c r="FN445" s="15">
        <v>0.1</v>
      </c>
      <c r="FO445" s="15">
        <f>FN445*SQRT(AR445)</f>
        <v>0.2</v>
      </c>
      <c r="FP445" s="15">
        <v>4.8099999999999996</v>
      </c>
      <c r="FQ445" s="15">
        <v>0.4</v>
      </c>
      <c r="FR445" s="15">
        <f>FQ445*SQRT(AR445)</f>
        <v>0.8</v>
      </c>
      <c r="FS445" s="15">
        <f t="shared" si="394"/>
        <v>1.1905940594059405</v>
      </c>
      <c r="FT445" s="15">
        <f t="shared" si="395"/>
        <v>0.76999999999999957</v>
      </c>
      <c r="FU445" s="15">
        <f t="shared" si="396"/>
        <v>0.17445239214461106</v>
      </c>
      <c r="FV445" s="15">
        <f>((FR445*FR445)/(AR445*FP445*FP445)+(FO445*FO445)/(AR445*FM445*FM445))</f>
        <v>7.5282844620712759E-3</v>
      </c>
      <c r="FX445" s="15">
        <f>18.9+0.41</f>
        <v>19.309999999999999</v>
      </c>
      <c r="FY445" s="15">
        <v>1.03</v>
      </c>
      <c r="FZ445" s="15">
        <f>FY445*SQRT(AR445)</f>
        <v>2.06</v>
      </c>
      <c r="GA445" s="15">
        <f>18.9+FY445+2.1+1</f>
        <v>23.03</v>
      </c>
      <c r="GB445" s="15">
        <v>1.04</v>
      </c>
      <c r="GC445" s="15">
        <f>GB445*SQRT(AR445)</f>
        <v>2.08</v>
      </c>
      <c r="GD445" s="15">
        <f t="shared" si="421"/>
        <v>1.1926462972553082</v>
      </c>
      <c r="GE445" s="15">
        <f t="shared" si="422"/>
        <v>3.7200000000000024</v>
      </c>
      <c r="GF445" s="15">
        <f t="shared" si="423"/>
        <v>0.17617461739217077</v>
      </c>
      <c r="GG445" s="15">
        <f>((GC445*GC445)/(AR445*GA445*GA445)+(FZ445*FZ445)/(AR445*FX445*FX445))</f>
        <v>4.8844701354244201E-3</v>
      </c>
      <c r="HY445" s="25">
        <f>CY445</f>
        <v>4000</v>
      </c>
      <c r="HZ445" s="25">
        <f>CZ445</f>
        <v>5.1282051282051277</v>
      </c>
      <c r="IA445" s="25">
        <f>DA445</f>
        <v>12000</v>
      </c>
    </row>
    <row r="446" spans="1:235" x14ac:dyDescent="0.25">
      <c r="A446" s="31">
        <v>444</v>
      </c>
      <c r="B446" s="1">
        <v>78</v>
      </c>
      <c r="C446" s="1">
        <v>90</v>
      </c>
      <c r="D446" s="63" t="s">
        <v>404</v>
      </c>
      <c r="E446" s="1">
        <v>2</v>
      </c>
      <c r="F446" s="15" t="s">
        <v>777</v>
      </c>
      <c r="G446" s="15" t="s">
        <v>1271</v>
      </c>
      <c r="H446" s="15" t="s">
        <v>818</v>
      </c>
      <c r="I446" s="1">
        <v>2020</v>
      </c>
      <c r="J446" s="15" t="s">
        <v>515</v>
      </c>
      <c r="K446" s="1" t="s">
        <v>1272</v>
      </c>
      <c r="L446" s="15" t="s">
        <v>1273</v>
      </c>
      <c r="M446" s="15" t="s">
        <v>480</v>
      </c>
      <c r="N446" s="15" t="s">
        <v>23</v>
      </c>
      <c r="O446" s="31">
        <v>2</v>
      </c>
      <c r="P446" s="15">
        <v>25.43</v>
      </c>
      <c r="Q446" s="15">
        <v>118.43</v>
      </c>
      <c r="S446" s="15" t="s">
        <v>1274</v>
      </c>
      <c r="T446" s="15" t="s">
        <v>1275</v>
      </c>
      <c r="U446" s="15" t="s">
        <v>549</v>
      </c>
      <c r="V446" s="31">
        <v>1</v>
      </c>
      <c r="W446" s="16" t="s">
        <v>1164</v>
      </c>
      <c r="X446" s="15" t="s">
        <v>924</v>
      </c>
      <c r="Y446" s="1">
        <v>7</v>
      </c>
      <c r="Z446" s="15">
        <v>4.2</v>
      </c>
      <c r="AA446" s="15" t="s">
        <v>574</v>
      </c>
      <c r="AB446" s="15">
        <f t="shared" si="416"/>
        <v>4.2</v>
      </c>
      <c r="AC446" s="1">
        <v>1</v>
      </c>
      <c r="AD446" s="15">
        <v>18.899999999999999</v>
      </c>
      <c r="AN446" s="15">
        <v>1.1000000000000001</v>
      </c>
      <c r="AP446" s="15" t="s">
        <v>837</v>
      </c>
      <c r="AQ446" s="1">
        <v>2</v>
      </c>
      <c r="AR446" s="1">
        <v>4</v>
      </c>
      <c r="CC446" s="15" t="s">
        <v>1028</v>
      </c>
      <c r="CE446" s="15">
        <v>8000</v>
      </c>
      <c r="CF446" s="15">
        <f t="shared" si="417"/>
        <v>8000</v>
      </c>
      <c r="CG446" s="15" t="s">
        <v>766</v>
      </c>
      <c r="CH446" s="15">
        <v>9.5</v>
      </c>
      <c r="CI446" s="15">
        <v>500</v>
      </c>
      <c r="CK446" s="15">
        <v>470</v>
      </c>
      <c r="CL446" s="15">
        <v>6</v>
      </c>
      <c r="CN446" s="15">
        <v>0.25</v>
      </c>
      <c r="CY446" s="25">
        <f t="shared" si="418"/>
        <v>8000</v>
      </c>
      <c r="CZ446" s="25">
        <f t="shared" si="419"/>
        <v>10.256410256410255</v>
      </c>
      <c r="DA446" s="25">
        <f t="shared" si="420"/>
        <v>24000</v>
      </c>
      <c r="EW446" s="18"/>
      <c r="EX446" s="18"/>
      <c r="EY446" s="18"/>
      <c r="FK446" s="16">
        <f t="shared" si="390"/>
        <v>4.04</v>
      </c>
      <c r="FL446" s="16">
        <f t="shared" si="391"/>
        <v>5.16</v>
      </c>
      <c r="FM446" s="15">
        <v>4.04</v>
      </c>
      <c r="FN446" s="15">
        <v>0.1</v>
      </c>
      <c r="FO446" s="15">
        <f>FN446*SQRT(AR446)</f>
        <v>0.2</v>
      </c>
      <c r="FP446" s="15">
        <v>5.16</v>
      </c>
      <c r="FQ446" s="15">
        <v>0.3</v>
      </c>
      <c r="FR446" s="15">
        <f>FQ446*SQRT(AR446)</f>
        <v>0.6</v>
      </c>
      <c r="FS446" s="15">
        <f t="shared" si="394"/>
        <v>1.2772277227722773</v>
      </c>
      <c r="FT446" s="15">
        <f t="shared" si="395"/>
        <v>1.1200000000000001</v>
      </c>
      <c r="FU446" s="15">
        <f t="shared" si="396"/>
        <v>0.24469188752041271</v>
      </c>
      <c r="FV446" s="15">
        <f>((FR446*FR446)/(AR446*FP446*FP446)+(FO446*FO446)/(AR446*FM446*FM446))</f>
        <v>3.9928905473747287E-3</v>
      </c>
      <c r="FX446" s="15">
        <f>18.9+0.41</f>
        <v>19.309999999999999</v>
      </c>
      <c r="FY446" s="15">
        <v>1.03</v>
      </c>
      <c r="FZ446" s="15">
        <f>FY446*SQRT(AR446)</f>
        <v>2.06</v>
      </c>
      <c r="GA446" s="15">
        <f>18.9+FY446+2.8+0.8+0.1</f>
        <v>23.630000000000003</v>
      </c>
      <c r="GB446" s="15">
        <v>1.1399999999999999</v>
      </c>
      <c r="GC446" s="15">
        <f>GB446*SQRT(AR446)</f>
        <v>2.2799999999999998</v>
      </c>
      <c r="GD446" s="15">
        <f t="shared" si="421"/>
        <v>1.2237182806835838</v>
      </c>
      <c r="GE446" s="15">
        <f t="shared" si="422"/>
        <v>4.3200000000000038</v>
      </c>
      <c r="GF446" s="15">
        <f t="shared" si="423"/>
        <v>0.20189399475839354</v>
      </c>
      <c r="GG446" s="15">
        <f>((GC446*GC446)/(AR446*GA446*GA446)+(FZ446*FZ446)/(AR446*FX446*FX446))</f>
        <v>5.1726411928848925E-3</v>
      </c>
      <c r="HY446" s="25">
        <f>CY446</f>
        <v>8000</v>
      </c>
      <c r="HZ446" s="25">
        <f>CZ446</f>
        <v>10.256410256410255</v>
      </c>
      <c r="IA446" s="25">
        <f>DA446</f>
        <v>24000</v>
      </c>
    </row>
    <row r="447" spans="1:235" s="15" customFormat="1" x14ac:dyDescent="0.25">
      <c r="A447" s="31">
        <v>445</v>
      </c>
      <c r="B447" s="1">
        <v>79</v>
      </c>
      <c r="C447" s="1">
        <v>91</v>
      </c>
      <c r="D447" s="63" t="s">
        <v>405</v>
      </c>
      <c r="E447" s="1">
        <v>2</v>
      </c>
      <c r="F447" s="15" t="s">
        <v>777</v>
      </c>
      <c r="G447" s="15" t="s">
        <v>1296</v>
      </c>
      <c r="H447" s="15" t="s">
        <v>1276</v>
      </c>
      <c r="I447" s="1">
        <v>2020</v>
      </c>
      <c r="J447" s="15" t="s">
        <v>592</v>
      </c>
      <c r="K447" s="1" t="s">
        <v>1297</v>
      </c>
      <c r="L447" s="15" t="s">
        <v>1286</v>
      </c>
      <c r="M447" s="15" t="s">
        <v>1285</v>
      </c>
      <c r="N447" s="15" t="s">
        <v>23</v>
      </c>
      <c r="O447" s="31">
        <v>1</v>
      </c>
      <c r="P447" s="15">
        <v>-5.4059999999999997</v>
      </c>
      <c r="Q447" s="15">
        <v>105.405</v>
      </c>
      <c r="S447" s="15">
        <v>1796</v>
      </c>
      <c r="T447" s="15">
        <v>30</v>
      </c>
      <c r="U447" s="15" t="s">
        <v>549</v>
      </c>
      <c r="V447" s="31">
        <v>1</v>
      </c>
      <c r="W447" s="16" t="s">
        <v>1288</v>
      </c>
      <c r="X447" s="15" t="s">
        <v>1287</v>
      </c>
      <c r="Y447" s="1">
        <v>12</v>
      </c>
      <c r="Z447" s="15">
        <v>3.6</v>
      </c>
      <c r="AA447" s="15" t="s">
        <v>2017</v>
      </c>
      <c r="AB447" s="15">
        <f>Z447+0.47</f>
        <v>4.07</v>
      </c>
      <c r="AC447" s="1">
        <v>1</v>
      </c>
      <c r="AD447" s="15">
        <f t="shared" ref="AD447:AD454" si="424">8.7*1.74</f>
        <v>15.137999999999998</v>
      </c>
      <c r="AF447" s="15">
        <v>9.6999999999999993</v>
      </c>
      <c r="AJ447" s="15">
        <v>24</v>
      </c>
      <c r="AK447" s="15">
        <v>22</v>
      </c>
      <c r="AL447" s="15">
        <v>54</v>
      </c>
      <c r="AM447" s="1">
        <v>3</v>
      </c>
      <c r="AN447" s="15">
        <v>1.33</v>
      </c>
      <c r="AO447" s="1">
        <v>3</v>
      </c>
      <c r="AP447" s="15" t="s">
        <v>1289</v>
      </c>
      <c r="AQ447" s="57">
        <v>1</v>
      </c>
      <c r="AR447" s="1">
        <v>4</v>
      </c>
      <c r="BP447" s="16"/>
      <c r="BQ447" s="16"/>
      <c r="BR447" s="16"/>
      <c r="BU447" s="16"/>
      <c r="CC447" s="15" t="s">
        <v>1284</v>
      </c>
      <c r="CE447" s="15">
        <v>11200</v>
      </c>
      <c r="CF447" s="15">
        <f t="shared" si="417"/>
        <v>11200</v>
      </c>
      <c r="CG447" s="15" t="s">
        <v>766</v>
      </c>
      <c r="CH447" s="15">
        <v>10.199999999999999</v>
      </c>
      <c r="CI447" s="15">
        <v>400</v>
      </c>
      <c r="CJ447" s="15">
        <v>29.7</v>
      </c>
      <c r="CK447" s="15">
        <v>367.6</v>
      </c>
      <c r="CL447" s="15">
        <v>17.100000000000001</v>
      </c>
      <c r="CY447" s="25">
        <f t="shared" si="418"/>
        <v>11200</v>
      </c>
      <c r="CZ447" s="25">
        <f t="shared" si="419"/>
        <v>14.358974358974359</v>
      </c>
      <c r="DA447" s="25">
        <f t="shared" si="420"/>
        <v>33600</v>
      </c>
      <c r="EZ447" s="16"/>
      <c r="FA447" s="16"/>
      <c r="FB447" s="16"/>
      <c r="FC447" s="16"/>
      <c r="FD447" s="16"/>
      <c r="FE447" s="16"/>
      <c r="FF447" s="16"/>
      <c r="FG447" s="16"/>
      <c r="FH447" s="16"/>
      <c r="FI447" s="16"/>
      <c r="FJ447" s="16"/>
      <c r="FK447" s="16">
        <f t="shared" si="390"/>
        <v>4.12</v>
      </c>
      <c r="FL447" s="16">
        <f t="shared" si="391"/>
        <v>5.99</v>
      </c>
      <c r="FM447" s="15">
        <v>4.12</v>
      </c>
      <c r="FN447" s="15">
        <v>0.08</v>
      </c>
      <c r="FO447" s="15">
        <f>FN447*SQRT(AR447)</f>
        <v>0.16</v>
      </c>
      <c r="FP447" s="15">
        <v>5.99</v>
      </c>
      <c r="FQ447" s="15">
        <v>0.44</v>
      </c>
      <c r="FR447" s="15">
        <f>FQ447*SQRT(AR447)</f>
        <v>0.88</v>
      </c>
      <c r="FS447" s="15">
        <f t="shared" si="394"/>
        <v>1.453883495145631</v>
      </c>
      <c r="FT447" s="15">
        <f t="shared" si="395"/>
        <v>1.87</v>
      </c>
      <c r="FU447" s="15">
        <f t="shared" si="396"/>
        <v>0.37423824876592304</v>
      </c>
      <c r="FV447" s="15">
        <f>((FR447*FR447)/(AR447*FP447*FP447)+(FO447*FO447)/(AR447*FM447*FM447))</f>
        <v>5.7727869819683888E-3</v>
      </c>
      <c r="FX447" s="15">
        <v>15.137999999999998</v>
      </c>
      <c r="FY447" s="15">
        <v>0.1</v>
      </c>
      <c r="FZ447" s="15">
        <f>FY447*SQRT(AR447)</f>
        <v>0.2</v>
      </c>
      <c r="GA447" s="15">
        <v>20.357999999999997</v>
      </c>
      <c r="GB447" s="15">
        <v>0.24</v>
      </c>
      <c r="GC447" s="15">
        <f>GB447*SQRT(AR447)</f>
        <v>0.48</v>
      </c>
      <c r="GD447" s="15">
        <f t="shared" si="421"/>
        <v>1.3448275862068966</v>
      </c>
      <c r="GE447" s="15">
        <f t="shared" si="422"/>
        <v>5.2199999999999989</v>
      </c>
      <c r="GF447" s="15">
        <f t="shared" si="423"/>
        <v>0.2962658161431726</v>
      </c>
      <c r="GG447" s="15">
        <f>((GC447*GC447)/(AR447*GA447*GA447)+(FZ447*FZ447)/(AR447*FX447*FX447))</f>
        <v>1.8261780106771256E-4</v>
      </c>
      <c r="GI447" s="15">
        <v>11.94</v>
      </c>
      <c r="GJ447" s="15">
        <v>2.52</v>
      </c>
      <c r="GK447" s="15">
        <f>GJ447*SQRT(AR151)</f>
        <v>4.3647680350735705</v>
      </c>
      <c r="GL447" s="15">
        <v>14.71</v>
      </c>
      <c r="GM447" s="15">
        <v>3.92</v>
      </c>
      <c r="GN447" s="15">
        <f>GM447*SQRT(AR151)</f>
        <v>6.7896391656699988</v>
      </c>
      <c r="GO447" s="15">
        <f t="shared" ref="GO447:GO460" si="425">GL447/GI447</f>
        <v>1.2319932998324958</v>
      </c>
      <c r="GP447" s="15">
        <f t="shared" ref="GP447:GP460" si="426">GL447-GI447</f>
        <v>2.7700000000000014</v>
      </c>
      <c r="GQ447" s="15">
        <f t="shared" ref="GQ447:GQ460" si="427">LN(GL447)-LN(GI447)</f>
        <v>0.20863342664889029</v>
      </c>
      <c r="GR447" s="15">
        <f>((GN447*GN447)/(AR151*GL447*GL447)+(GK447*GK447)/(AR151*GI447*GI447))</f>
        <v>0.11555878962354701</v>
      </c>
      <c r="GT447" s="15">
        <v>7.37</v>
      </c>
      <c r="GU447" s="15">
        <v>2.74</v>
      </c>
      <c r="GV447" s="15">
        <f>GU447*SQRT(AR141)</f>
        <v>4.7458192127387235</v>
      </c>
      <c r="GW447" s="15">
        <v>23.49</v>
      </c>
      <c r="GX447" s="15">
        <v>7.73</v>
      </c>
      <c r="GY447" s="15">
        <f>GX447*SQRT(AR141)</f>
        <v>13.388752742507421</v>
      </c>
      <c r="GZ447" s="15">
        <f t="shared" ref="GZ447:GZ454" si="428">GW447/GT447</f>
        <v>3.1872455902306647</v>
      </c>
      <c r="HA447" s="15">
        <f t="shared" ref="HA447:HA454" si="429">GW447-GT447</f>
        <v>16.119999999999997</v>
      </c>
      <c r="HB447" s="15">
        <f t="shared" ref="HB447:HB454" si="430">LN(GW447)-LN(GT447)</f>
        <v>1.1591570924695762</v>
      </c>
      <c r="HC447" s="15">
        <f>((GY447*GY447)/(AR141*GW447*GW447)+(GV447*GV447)/(AR141*GT447*GT447))</f>
        <v>0.24650963899418393</v>
      </c>
      <c r="HE447" s="15">
        <v>1220</v>
      </c>
      <c r="HF447" s="15">
        <v>730</v>
      </c>
      <c r="HG447" s="15">
        <f>HF447*SQRT(AR166)</f>
        <v>1264.3970895252803</v>
      </c>
      <c r="HH447" s="15">
        <v>8860</v>
      </c>
      <c r="HI447" s="15">
        <v>1080</v>
      </c>
      <c r="HJ447" s="15">
        <f>HI447*SQRT(AR166)</f>
        <v>1870.6148721743873</v>
      </c>
      <c r="HK447" s="15">
        <f t="shared" ref="HK447:HK464" si="431">HH447/HE447</f>
        <v>7.2622950819672134</v>
      </c>
      <c r="HL447" s="15">
        <f t="shared" ref="HL447:HL464" si="432">HH447-HE447</f>
        <v>7640</v>
      </c>
      <c r="HM447" s="15">
        <f t="shared" ref="HM447:HM464" si="433">LN(HH447)-LN(HE447)</f>
        <v>1.9826959058718234</v>
      </c>
      <c r="HN447" s="15">
        <f>((HJ447*HJ447)/(AR166*HH447*HH447)+(HG447*HG447)/(AR166*HE447*HE447))</f>
        <v>0.3728941487739616</v>
      </c>
      <c r="HP447" s="15" t="s">
        <v>766</v>
      </c>
      <c r="HV447" s="15">
        <f t="shared" ref="HV447:HV464" si="434">HX447/HW447/100</f>
        <v>169.46622979596833</v>
      </c>
      <c r="HW447" s="15">
        <f t="shared" ref="HW447:HW464" si="435">HM447</f>
        <v>1.9826959058718234</v>
      </c>
      <c r="HX447" s="25">
        <f>DA447</f>
        <v>33600</v>
      </c>
      <c r="HY447" s="25">
        <f>CY447</f>
        <v>11200</v>
      </c>
      <c r="HZ447" s="25">
        <f>CZ447</f>
        <v>14.358974358974359</v>
      </c>
      <c r="IA447" s="25">
        <f>DA447</f>
        <v>33600</v>
      </c>
    </row>
    <row r="448" spans="1:235" s="15" customFormat="1" x14ac:dyDescent="0.25">
      <c r="A448" s="31">
        <v>446</v>
      </c>
      <c r="B448" s="1">
        <v>79</v>
      </c>
      <c r="C448" s="1">
        <v>91</v>
      </c>
      <c r="D448" s="63" t="s">
        <v>406</v>
      </c>
      <c r="E448" s="1">
        <v>2</v>
      </c>
      <c r="F448" s="15" t="s">
        <v>777</v>
      </c>
      <c r="G448" s="15" t="s">
        <v>1296</v>
      </c>
      <c r="H448" s="15" t="s">
        <v>1276</v>
      </c>
      <c r="I448" s="1">
        <v>2020</v>
      </c>
      <c r="J448" s="15" t="s">
        <v>592</v>
      </c>
      <c r="K448" s="1" t="s">
        <v>1297</v>
      </c>
      <c r="L448" s="15" t="s">
        <v>1286</v>
      </c>
      <c r="M448" s="15" t="s">
        <v>1285</v>
      </c>
      <c r="N448" s="15" t="s">
        <v>23</v>
      </c>
      <c r="O448" s="31">
        <v>1</v>
      </c>
      <c r="P448" s="15">
        <v>-5.4059999999999997</v>
      </c>
      <c r="Q448" s="15">
        <v>105.405</v>
      </c>
      <c r="S448" s="15">
        <v>1796</v>
      </c>
      <c r="T448" s="15">
        <v>30</v>
      </c>
      <c r="U448" s="15" t="s">
        <v>549</v>
      </c>
      <c r="V448" s="31">
        <v>1</v>
      </c>
      <c r="W448" s="16" t="s">
        <v>1288</v>
      </c>
      <c r="X448" s="15" t="s">
        <v>1287</v>
      </c>
      <c r="Y448" s="1">
        <v>12</v>
      </c>
      <c r="Z448" s="15">
        <v>3.6</v>
      </c>
      <c r="AA448" s="15" t="s">
        <v>2017</v>
      </c>
      <c r="AB448" s="15">
        <f>Z448+0.47</f>
        <v>4.07</v>
      </c>
      <c r="AC448" s="1">
        <v>1</v>
      </c>
      <c r="AD448" s="15">
        <f t="shared" si="424"/>
        <v>15.137999999999998</v>
      </c>
      <c r="AF448" s="15">
        <v>9.6999999999999993</v>
      </c>
      <c r="AJ448" s="15">
        <v>24</v>
      </c>
      <c r="AK448" s="15">
        <v>22</v>
      </c>
      <c r="AL448" s="15">
        <v>54</v>
      </c>
      <c r="AM448" s="1">
        <v>3</v>
      </c>
      <c r="AN448" s="15">
        <v>1.33</v>
      </c>
      <c r="AO448" s="1">
        <v>3</v>
      </c>
      <c r="AP448" s="15" t="s">
        <v>1289</v>
      </c>
      <c r="AQ448" s="57">
        <v>1</v>
      </c>
      <c r="AR448" s="1">
        <v>4</v>
      </c>
      <c r="BP448" s="16"/>
      <c r="BQ448" s="16"/>
      <c r="BR448" s="16"/>
      <c r="BU448" s="16"/>
      <c r="CC448" s="15" t="s">
        <v>1284</v>
      </c>
      <c r="CE448" s="15">
        <v>11200</v>
      </c>
      <c r="CF448" s="15">
        <f t="shared" si="417"/>
        <v>11200</v>
      </c>
      <c r="CG448" s="15" t="s">
        <v>766</v>
      </c>
      <c r="CH448" s="15">
        <v>10.199999999999999</v>
      </c>
      <c r="CI448" s="15">
        <v>400</v>
      </c>
      <c r="CJ448" s="15">
        <v>29.7</v>
      </c>
      <c r="CK448" s="15">
        <v>367.6</v>
      </c>
      <c r="CL448" s="15">
        <v>17.100000000000001</v>
      </c>
      <c r="CY448" s="25">
        <f t="shared" si="418"/>
        <v>11200</v>
      </c>
      <c r="CZ448" s="25">
        <f t="shared" si="419"/>
        <v>14.358974358974359</v>
      </c>
      <c r="DA448" s="25">
        <f t="shared" si="420"/>
        <v>33600</v>
      </c>
      <c r="EZ448" s="16"/>
      <c r="FA448" s="16"/>
      <c r="FB448" s="16"/>
      <c r="FC448" s="16"/>
      <c r="FD448" s="16"/>
      <c r="FE448" s="16"/>
      <c r="FF448" s="16"/>
      <c r="FG448" s="16"/>
      <c r="FH448" s="16"/>
      <c r="FI448" s="16"/>
      <c r="FJ448" s="16"/>
      <c r="FK448" s="16">
        <f t="shared" si="390"/>
        <v>4.62</v>
      </c>
      <c r="FL448" s="16">
        <f t="shared" si="391"/>
        <v>5.14</v>
      </c>
      <c r="FM448" s="15">
        <v>4.62</v>
      </c>
      <c r="FN448" s="15">
        <v>0.12</v>
      </c>
      <c r="FO448" s="15">
        <f>FN448*SQRT(AR448)</f>
        <v>0.24</v>
      </c>
      <c r="FP448" s="15">
        <v>5.14</v>
      </c>
      <c r="FQ448" s="15">
        <v>0.1</v>
      </c>
      <c r="FR448" s="15">
        <f>FQ448*SQRT(AR448)</f>
        <v>0.2</v>
      </c>
      <c r="FS448" s="15">
        <f t="shared" si="394"/>
        <v>1.1125541125541125</v>
      </c>
      <c r="FT448" s="15">
        <f t="shared" si="395"/>
        <v>0.51999999999999957</v>
      </c>
      <c r="FU448" s="15">
        <f t="shared" si="396"/>
        <v>0.10665837437342618</v>
      </c>
      <c r="FV448" s="15">
        <f>((FR448*FR448)/(AR448*FP448*FP448)+(FO448*FO448)/(AR448*FM448*FM448))</f>
        <v>1.0531568914139275E-3</v>
      </c>
      <c r="FX448" s="15">
        <v>16.704000000000001</v>
      </c>
      <c r="FY448" s="15">
        <v>0.12</v>
      </c>
      <c r="FZ448" s="15">
        <f>FY448*SQRT(AR448)</f>
        <v>0.24</v>
      </c>
      <c r="GA448" s="15">
        <v>20.357999999999997</v>
      </c>
      <c r="GB448" s="15">
        <v>0.17</v>
      </c>
      <c r="GC448" s="15">
        <f>GB448*SQRT(AR448)</f>
        <v>0.34</v>
      </c>
      <c r="GD448" s="15">
        <f t="shared" si="421"/>
        <v>1.2187499999999998</v>
      </c>
      <c r="GE448" s="15">
        <f t="shared" si="422"/>
        <v>3.6539999999999964</v>
      </c>
      <c r="GF448" s="15">
        <f t="shared" si="423"/>
        <v>0.19782574332991976</v>
      </c>
      <c r="GG448" s="15">
        <f>((GC448*GC448)/(AR448*GA448*GA448)+(FZ448*FZ448)/(AR448*FX448*FX448))</f>
        <v>1.2133981247411199E-4</v>
      </c>
      <c r="GI448" s="15">
        <v>6.68</v>
      </c>
      <c r="GJ448" s="15">
        <v>0.7</v>
      </c>
      <c r="GK448" s="15">
        <f>GJ448*SQRT(AR152)</f>
        <v>1.2124355652982139</v>
      </c>
      <c r="GL448" s="15">
        <v>7.2</v>
      </c>
      <c r="GM448" s="15">
        <v>0.56999999999999995</v>
      </c>
      <c r="GN448" s="15">
        <f>GM448*SQRT(AR152)</f>
        <v>0.98726896031425992</v>
      </c>
      <c r="GO448" s="15">
        <f t="shared" si="425"/>
        <v>1.0778443113772456</v>
      </c>
      <c r="GP448" s="15">
        <f t="shared" si="426"/>
        <v>0.52000000000000046</v>
      </c>
      <c r="GQ448" s="15">
        <f t="shared" si="427"/>
        <v>7.4963038473455423E-2</v>
      </c>
      <c r="GR448" s="15">
        <f>((GN448*GN448)/(AR152*GL448*GL448)+(GK448*GK448)/(AR152*GI448*GI448))</f>
        <v>1.7248393059190993E-2</v>
      </c>
      <c r="GT448" s="15">
        <v>44.57</v>
      </c>
      <c r="GU448" s="15">
        <v>4.29</v>
      </c>
      <c r="GV448" s="15">
        <f>GU448*SQRT(AR142)</f>
        <v>7.4304979644704829</v>
      </c>
      <c r="GW448" s="15">
        <v>50</v>
      </c>
      <c r="GX448" s="15">
        <v>3.92</v>
      </c>
      <c r="GY448" s="15">
        <f>GX448*SQRT(AR142)</f>
        <v>6.7896391656699988</v>
      </c>
      <c r="GZ448" s="15">
        <f t="shared" si="428"/>
        <v>1.1218308279111511</v>
      </c>
      <c r="HA448" s="15">
        <f t="shared" si="429"/>
        <v>5.43</v>
      </c>
      <c r="HB448" s="15">
        <f t="shared" si="430"/>
        <v>0.11496201846968157</v>
      </c>
      <c r="HC448" s="15">
        <f>((GY448*GY448)/(AR142*GW448*GW448)+(GV448*GV448)/(AR142*GT448*GT448))</f>
        <v>1.5411216378711963E-2</v>
      </c>
      <c r="HE448" s="15">
        <v>640</v>
      </c>
      <c r="HF448" s="15">
        <v>240</v>
      </c>
      <c r="HG448" s="15">
        <f>HF448*SQRT(AR167)</f>
        <v>415.69219381653051</v>
      </c>
      <c r="HH448" s="15">
        <v>5930</v>
      </c>
      <c r="HI448" s="15">
        <v>700</v>
      </c>
      <c r="HJ448" s="15">
        <f>HI448*SQRT(AR167)</f>
        <v>1212.435565298214</v>
      </c>
      <c r="HK448" s="15">
        <f t="shared" si="431"/>
        <v>9.265625</v>
      </c>
      <c r="HL448" s="15">
        <f t="shared" si="432"/>
        <v>5290</v>
      </c>
      <c r="HM448" s="15">
        <f t="shared" si="433"/>
        <v>2.2263113156380534</v>
      </c>
      <c r="HN448" s="15">
        <f>((HJ448*HJ448)/(AR167*HH448*HH448)+(HG448*HG448)/(AR167*HE448*HE448))</f>
        <v>0.15455934930854343</v>
      </c>
      <c r="HP448" s="15" t="s">
        <v>766</v>
      </c>
      <c r="HV448" s="15">
        <f t="shared" si="434"/>
        <v>150.92228909760695</v>
      </c>
      <c r="HW448" s="15">
        <f t="shared" si="435"/>
        <v>2.2263113156380534</v>
      </c>
      <c r="HX448" s="25">
        <f>DA448</f>
        <v>33600</v>
      </c>
      <c r="HY448" s="25">
        <f>CY448</f>
        <v>11200</v>
      </c>
      <c r="HZ448" s="25">
        <f>CZ448</f>
        <v>14.358974358974359</v>
      </c>
      <c r="IA448" s="25">
        <f>DA448</f>
        <v>33600</v>
      </c>
    </row>
    <row r="449" spans="1:235" x14ac:dyDescent="0.25">
      <c r="A449" s="31">
        <v>447</v>
      </c>
      <c r="B449" s="1">
        <v>79</v>
      </c>
      <c r="C449" s="1">
        <v>91</v>
      </c>
      <c r="D449" s="63" t="s">
        <v>407</v>
      </c>
      <c r="E449" s="1">
        <v>2</v>
      </c>
      <c r="F449" s="15" t="s">
        <v>777</v>
      </c>
      <c r="G449" s="15" t="s">
        <v>2018</v>
      </c>
      <c r="H449" s="15" t="s">
        <v>1276</v>
      </c>
      <c r="I449" s="1">
        <v>2020</v>
      </c>
      <c r="J449" s="15" t="s">
        <v>592</v>
      </c>
      <c r="K449" s="1" t="s">
        <v>1297</v>
      </c>
      <c r="L449" s="15" t="s">
        <v>1286</v>
      </c>
      <c r="M449" s="15" t="s">
        <v>1285</v>
      </c>
      <c r="N449" s="15" t="s">
        <v>23</v>
      </c>
      <c r="O449" s="31">
        <v>1</v>
      </c>
      <c r="P449" s="15">
        <v>-5.4059999999999997</v>
      </c>
      <c r="Q449" s="15">
        <v>105.405</v>
      </c>
      <c r="R449" s="15"/>
      <c r="S449" s="15">
        <v>1796</v>
      </c>
      <c r="T449" s="15">
        <v>30</v>
      </c>
      <c r="U449" s="15" t="s">
        <v>549</v>
      </c>
      <c r="V449" s="31">
        <v>1</v>
      </c>
      <c r="W449" s="16" t="s">
        <v>1288</v>
      </c>
      <c r="X449" s="15" t="s">
        <v>1287</v>
      </c>
      <c r="Y449" s="1">
        <v>12</v>
      </c>
      <c r="Z449" s="15">
        <v>3.6</v>
      </c>
      <c r="AA449" s="15" t="s">
        <v>2017</v>
      </c>
      <c r="AB449" s="15">
        <f>Z449+0.47</f>
        <v>4.07</v>
      </c>
      <c r="AC449" s="1">
        <v>1</v>
      </c>
      <c r="AD449" s="15">
        <f t="shared" si="424"/>
        <v>15.137999999999998</v>
      </c>
      <c r="AE449" s="15"/>
      <c r="AF449" s="15">
        <v>9.6999999999999993</v>
      </c>
      <c r="AJ449" s="15">
        <v>24</v>
      </c>
      <c r="AK449" s="15">
        <v>22</v>
      </c>
      <c r="AL449" s="15">
        <v>54</v>
      </c>
      <c r="AM449" s="1">
        <v>3</v>
      </c>
      <c r="AN449" s="15">
        <v>1.33</v>
      </c>
      <c r="AO449" s="1">
        <v>3</v>
      </c>
      <c r="AP449" s="15" t="s">
        <v>1289</v>
      </c>
      <c r="AQ449" s="57">
        <v>1</v>
      </c>
      <c r="AR449" s="1">
        <v>4</v>
      </c>
      <c r="CC449" s="15" t="s">
        <v>1284</v>
      </c>
      <c r="CD449" s="15"/>
      <c r="CE449" s="15">
        <v>11200</v>
      </c>
      <c r="CF449" s="15">
        <f t="shared" si="417"/>
        <v>11200</v>
      </c>
      <c r="CG449" s="15" t="s">
        <v>766</v>
      </c>
      <c r="CH449" s="15">
        <v>10.199999999999999</v>
      </c>
      <c r="CI449" s="15">
        <v>400</v>
      </c>
      <c r="CJ449" s="15">
        <v>29.7</v>
      </c>
      <c r="CK449" s="15">
        <v>367.6</v>
      </c>
      <c r="CL449" s="15">
        <v>17.100000000000001</v>
      </c>
      <c r="CM449" s="15"/>
      <c r="CN449" s="15"/>
      <c r="CY449" s="25">
        <f t="shared" si="418"/>
        <v>11200</v>
      </c>
      <c r="CZ449" s="25">
        <f t="shared" si="419"/>
        <v>14.358974358974359</v>
      </c>
      <c r="DA449" s="25">
        <f t="shared" si="420"/>
        <v>33600</v>
      </c>
      <c r="EW449" s="18"/>
      <c r="EX449" s="18"/>
      <c r="EY449" s="18"/>
      <c r="FK449" s="16">
        <f t="shared" si="390"/>
        <v>4.29</v>
      </c>
      <c r="FL449" s="16">
        <f t="shared" si="391"/>
        <v>5.24</v>
      </c>
      <c r="FM449" s="15">
        <v>4.29</v>
      </c>
      <c r="FN449" s="15">
        <v>0.05</v>
      </c>
      <c r="FO449" s="15">
        <f>FN449*SQRT(AR449)</f>
        <v>0.1</v>
      </c>
      <c r="FP449" s="15">
        <v>5.24</v>
      </c>
      <c r="FQ449" s="15">
        <v>0.14000000000000001</v>
      </c>
      <c r="FR449" s="15">
        <f>FQ449*SQRT(AR449)</f>
        <v>0.28000000000000003</v>
      </c>
      <c r="FS449" s="15">
        <f t="shared" si="394"/>
        <v>1.2214452214452214</v>
      </c>
      <c r="FT449" s="15">
        <f t="shared" si="395"/>
        <v>0.95000000000000018</v>
      </c>
      <c r="FU449" s="15">
        <f t="shared" si="396"/>
        <v>0.20003476539302523</v>
      </c>
      <c r="FV449" s="15">
        <f>((FR449*FR449)/(AR449*FP449*FP449)+(FO449*FO449)/(AR449*FM449*FM449))</f>
        <v>8.4966716218746053E-4</v>
      </c>
      <c r="FX449" s="15">
        <v>17.521799999999999</v>
      </c>
      <c r="FY449" s="15">
        <v>0.12</v>
      </c>
      <c r="FZ449" s="15">
        <f>FY449*SQRT(AR449)</f>
        <v>0.24</v>
      </c>
      <c r="GA449" s="15">
        <v>20.357999999999997</v>
      </c>
      <c r="GB449" s="15">
        <v>0.15</v>
      </c>
      <c r="GC449" s="15">
        <f>GB449*SQRT(AR449)</f>
        <v>0.3</v>
      </c>
      <c r="GD449" s="15">
        <f t="shared" si="421"/>
        <v>1.1618669314796424</v>
      </c>
      <c r="GE449" s="15">
        <f t="shared" si="422"/>
        <v>2.8361999999999981</v>
      </c>
      <c r="GF449" s="15">
        <f t="shared" si="423"/>
        <v>0.15002813507323953</v>
      </c>
      <c r="GG449" s="15">
        <f>((GC449*GC449)/(AR449*GA449*GA449)+(FZ449*FZ449)/(AR449*FX449*FX449))</f>
        <v>1.0119253571384929E-4</v>
      </c>
      <c r="GI449" s="15">
        <v>9.3699999999999992</v>
      </c>
      <c r="GJ449" s="15">
        <v>1.1000000000000001</v>
      </c>
      <c r="GK449" s="15">
        <f>GJ449*SQRT(AR153)</f>
        <v>1.9052558883257651</v>
      </c>
      <c r="GL449" s="15">
        <v>9.1999999999999993</v>
      </c>
      <c r="GM449" s="15">
        <v>0.67</v>
      </c>
      <c r="GN449" s="15">
        <f>GM449*SQRT(AR153)</f>
        <v>1.1604740410711478</v>
      </c>
      <c r="GO449" s="15">
        <f t="shared" si="425"/>
        <v>0.98185699039487728</v>
      </c>
      <c r="GP449" s="15">
        <f t="shared" si="426"/>
        <v>-0.16999999999999993</v>
      </c>
      <c r="GQ449" s="15">
        <f t="shared" si="427"/>
        <v>-1.8309612195336111E-2</v>
      </c>
      <c r="GR449" s="15">
        <f>((GN449*GN449)/(AR153*GL449*GL449)+(GK449*GK449)/(AR153*GI449*GI449))</f>
        <v>1.9085446727322972E-2</v>
      </c>
      <c r="GT449" s="15">
        <v>5.8</v>
      </c>
      <c r="GU449" s="15">
        <v>1.43</v>
      </c>
      <c r="GV449" s="15">
        <f>GU449*SQRT(AR143)</f>
        <v>2.4768326548234945</v>
      </c>
      <c r="GW449" s="15">
        <v>23.88</v>
      </c>
      <c r="GX449" s="15">
        <v>2.63</v>
      </c>
      <c r="GY449" s="15">
        <f>GX449*SQRT(AR143)</f>
        <v>4.555293623906147</v>
      </c>
      <c r="GZ449" s="15">
        <f t="shared" si="428"/>
        <v>4.1172413793103448</v>
      </c>
      <c r="HA449" s="15">
        <f t="shared" si="429"/>
        <v>18.079999999999998</v>
      </c>
      <c r="HB449" s="15">
        <f t="shared" si="430"/>
        <v>1.4151833709720276</v>
      </c>
      <c r="HC449" s="15">
        <f>((GY449*GY449)/(AR143*GW449*GW449)+(GV449*GV449)/(AR143*GT449*GT449))</f>
        <v>7.2917251369302702E-2</v>
      </c>
      <c r="HE449" s="15">
        <v>640</v>
      </c>
      <c r="HF449" s="15">
        <v>240</v>
      </c>
      <c r="HG449" s="15">
        <f>HF449*SQRT(AR168)</f>
        <v>415.69219381653051</v>
      </c>
      <c r="HH449" s="15">
        <v>6610</v>
      </c>
      <c r="HI449" s="15">
        <v>740</v>
      </c>
      <c r="HJ449" s="15">
        <f>HI449*SQRT(AR168)</f>
        <v>1281.7175976009692</v>
      </c>
      <c r="HK449" s="15">
        <f t="shared" si="431"/>
        <v>10.328125</v>
      </c>
      <c r="HL449" s="15">
        <f t="shared" si="432"/>
        <v>5970</v>
      </c>
      <c r="HM449" s="15">
        <f t="shared" si="433"/>
        <v>2.3348707564920144</v>
      </c>
      <c r="HN449" s="15">
        <f>((HJ449*HJ449)/(AR168*HH449*HH449)+(HG449*HG449)/(AR168*HE449*HE449))</f>
        <v>0.1531581581681814</v>
      </c>
      <c r="HP449" s="15" t="s">
        <v>766</v>
      </c>
      <c r="HV449" s="15">
        <f t="shared" si="434"/>
        <v>143.90518150341532</v>
      </c>
      <c r="HW449" s="15">
        <f t="shared" si="435"/>
        <v>2.3348707564920144</v>
      </c>
      <c r="HX449" s="25">
        <f>DA449</f>
        <v>33600</v>
      </c>
      <c r="HY449" s="25">
        <f>CY449</f>
        <v>11200</v>
      </c>
      <c r="HZ449" s="25">
        <f>CZ449</f>
        <v>14.358974358974359</v>
      </c>
      <c r="IA449" s="25">
        <f>DA449</f>
        <v>33600</v>
      </c>
    </row>
    <row r="450" spans="1:235" x14ac:dyDescent="0.25">
      <c r="A450" s="31">
        <v>448</v>
      </c>
      <c r="B450" s="1">
        <v>79</v>
      </c>
      <c r="C450" s="1">
        <v>91</v>
      </c>
      <c r="D450" s="63" t="s">
        <v>408</v>
      </c>
      <c r="E450" s="1">
        <v>2</v>
      </c>
      <c r="F450" s="15" t="s">
        <v>777</v>
      </c>
      <c r="G450" s="15" t="s">
        <v>1296</v>
      </c>
      <c r="H450" s="15" t="s">
        <v>1276</v>
      </c>
      <c r="I450" s="1">
        <v>2020</v>
      </c>
      <c r="J450" s="15" t="s">
        <v>592</v>
      </c>
      <c r="K450" s="1" t="s">
        <v>1297</v>
      </c>
      <c r="L450" s="15" t="s">
        <v>1286</v>
      </c>
      <c r="M450" s="15" t="s">
        <v>1285</v>
      </c>
      <c r="N450" s="15" t="s">
        <v>23</v>
      </c>
      <c r="O450" s="31">
        <v>1</v>
      </c>
      <c r="P450" s="15">
        <v>-5.4059999999999997</v>
      </c>
      <c r="Q450" s="15">
        <v>105.405</v>
      </c>
      <c r="R450" s="15"/>
      <c r="S450" s="15">
        <v>1796</v>
      </c>
      <c r="T450" s="15">
        <v>30</v>
      </c>
      <c r="U450" s="15" t="s">
        <v>549</v>
      </c>
      <c r="V450" s="31">
        <v>1</v>
      </c>
      <c r="W450" s="16" t="s">
        <v>1288</v>
      </c>
      <c r="X450" s="15" t="s">
        <v>1287</v>
      </c>
      <c r="Y450" s="1">
        <v>12</v>
      </c>
      <c r="Z450" s="15">
        <v>3.6</v>
      </c>
      <c r="AA450" s="15" t="s">
        <v>2017</v>
      </c>
      <c r="AB450" s="15">
        <f>Z450+0.47</f>
        <v>4.07</v>
      </c>
      <c r="AC450" s="1">
        <v>1</v>
      </c>
      <c r="AD450" s="15">
        <f t="shared" si="424"/>
        <v>15.137999999999998</v>
      </c>
      <c r="AE450" s="15"/>
      <c r="AF450" s="15">
        <v>9.6999999999999993</v>
      </c>
      <c r="AJ450" s="15">
        <v>24</v>
      </c>
      <c r="AK450" s="15">
        <v>22</v>
      </c>
      <c r="AL450" s="15">
        <v>54</v>
      </c>
      <c r="AM450" s="1">
        <v>3</v>
      </c>
      <c r="AN450" s="15">
        <v>1.33</v>
      </c>
      <c r="AO450" s="1">
        <v>3</v>
      </c>
      <c r="AP450" s="15" t="s">
        <v>1289</v>
      </c>
      <c r="AQ450" s="57">
        <v>1</v>
      </c>
      <c r="AR450" s="1">
        <v>4</v>
      </c>
      <c r="CC450" s="15" t="s">
        <v>1284</v>
      </c>
      <c r="CD450" s="15"/>
      <c r="CE450" s="15">
        <v>11200</v>
      </c>
      <c r="CF450" s="15">
        <f t="shared" si="417"/>
        <v>11200</v>
      </c>
      <c r="CG450" s="15" t="s">
        <v>766</v>
      </c>
      <c r="CH450" s="15">
        <v>10.199999999999999</v>
      </c>
      <c r="CI450" s="15">
        <v>400</v>
      </c>
      <c r="CJ450" s="15">
        <v>29.7</v>
      </c>
      <c r="CK450" s="15">
        <v>367.6</v>
      </c>
      <c r="CL450" s="15">
        <v>17.100000000000001</v>
      </c>
      <c r="CM450" s="15"/>
      <c r="CN450" s="15"/>
      <c r="CY450" s="25">
        <f t="shared" si="418"/>
        <v>11200</v>
      </c>
      <c r="CZ450" s="25">
        <f t="shared" si="419"/>
        <v>14.358974358974359</v>
      </c>
      <c r="DA450" s="25">
        <f t="shared" si="420"/>
        <v>33600</v>
      </c>
      <c r="EW450" s="18"/>
      <c r="EX450" s="18"/>
      <c r="EY450" s="18"/>
      <c r="FK450" s="16">
        <f t="shared" si="390"/>
        <v>4.1399999999999997</v>
      </c>
      <c r="FL450" s="16">
        <f t="shared" si="391"/>
        <v>4.9000000000000004</v>
      </c>
      <c r="FM450" s="15">
        <v>4.1399999999999997</v>
      </c>
      <c r="FN450" s="15">
        <v>0.05</v>
      </c>
      <c r="FO450" s="15">
        <f>FN450*SQRT(AR450)</f>
        <v>0.1</v>
      </c>
      <c r="FP450" s="15">
        <v>4.9000000000000004</v>
      </c>
      <c r="FQ450" s="15">
        <v>0.09</v>
      </c>
      <c r="FR450" s="15">
        <f>FQ450*SQRT(AR450)</f>
        <v>0.18</v>
      </c>
      <c r="FS450" s="15">
        <f t="shared" si="394"/>
        <v>1.1835748792270533</v>
      </c>
      <c r="FT450" s="15">
        <f t="shared" si="395"/>
        <v>0.76000000000000068</v>
      </c>
      <c r="FU450" s="15">
        <f t="shared" si="396"/>
        <v>0.16853941727935817</v>
      </c>
      <c r="FV450" s="15">
        <f>((FR450*FR450)/(AR450*FP450*FP450)+(FO450*FO450)/(AR450*FM450*FM450))</f>
        <v>4.8322048050159654E-4</v>
      </c>
      <c r="FX450" s="15">
        <v>16.878</v>
      </c>
      <c r="FY450" s="15">
        <v>0.12</v>
      </c>
      <c r="FZ450" s="15">
        <f>FY450*SQRT(AR450)</f>
        <v>0.24</v>
      </c>
      <c r="GA450" s="15">
        <v>20.357999999999997</v>
      </c>
      <c r="GB450" s="15">
        <v>7.0000000000000007E-2</v>
      </c>
      <c r="GC450" s="15">
        <f>GB450*SQRT(AR450)</f>
        <v>0.14000000000000001</v>
      </c>
      <c r="GD450" s="15">
        <f t="shared" si="421"/>
        <v>1.206185567010309</v>
      </c>
      <c r="GE450" s="15">
        <f t="shared" si="422"/>
        <v>3.4799999999999969</v>
      </c>
      <c r="GF450" s="15">
        <f t="shared" si="423"/>
        <v>0.18746295629437348</v>
      </c>
      <c r="GG450" s="15">
        <f>((GC450*GC450)/(AR450*GA450*GA450)+(FZ450*FZ450)/(AR450*FX450*FX450))</f>
        <v>6.2372876521468504E-5</v>
      </c>
      <c r="GI450" s="15">
        <v>6.04</v>
      </c>
      <c r="GJ450" s="15">
        <v>1.1200000000000001</v>
      </c>
      <c r="GK450" s="15">
        <f>GJ450*SQRT(AR154)</f>
        <v>1.9398969044771426</v>
      </c>
      <c r="GL450" s="15">
        <v>5.81</v>
      </c>
      <c r="GM450" s="15">
        <v>0.2</v>
      </c>
      <c r="GN450" s="15">
        <f>GM450*SQRT(AR154)</f>
        <v>0.34641016151377546</v>
      </c>
      <c r="GO450" s="15">
        <f t="shared" si="425"/>
        <v>0.96192052980132448</v>
      </c>
      <c r="GP450" s="15">
        <f t="shared" si="426"/>
        <v>-0.23000000000000043</v>
      </c>
      <c r="GQ450" s="15">
        <f t="shared" si="427"/>
        <v>-3.8823441082903809E-2</v>
      </c>
      <c r="GR450" s="15">
        <f>((GN450*GN450)/(AR154*GL450*GL450)+(GK450*GK450)/(AR154*GI450*GI450))</f>
        <v>3.5569427834715811E-2</v>
      </c>
      <c r="GT450" s="15">
        <v>9.52</v>
      </c>
      <c r="GU450" s="15">
        <v>1.46</v>
      </c>
      <c r="GV450" s="15">
        <f>GU450*SQRT(AR144)</f>
        <v>2.5287941790505606</v>
      </c>
      <c r="GW450" s="15">
        <v>51.56</v>
      </c>
      <c r="GX450" s="15">
        <v>3.8</v>
      </c>
      <c r="GY450" s="15">
        <f>GX450*SQRT(AR144)</f>
        <v>6.5817930687617334</v>
      </c>
      <c r="GZ450" s="15">
        <f t="shared" si="428"/>
        <v>5.4159663865546221</v>
      </c>
      <c r="HA450" s="15">
        <f t="shared" si="429"/>
        <v>42.040000000000006</v>
      </c>
      <c r="HB450" s="15">
        <f t="shared" si="430"/>
        <v>1.6893513292677125</v>
      </c>
      <c r="HC450" s="15">
        <f>((GY450*GY450)/(AR144*GW450*GW450)+(GV450*GV450)/(AR144*GT450*GT450))</f>
        <v>2.8951472045289056E-2</v>
      </c>
      <c r="HE450" s="15">
        <v>640</v>
      </c>
      <c r="HF450" s="15">
        <v>240</v>
      </c>
      <c r="HG450" s="15">
        <f>HF450*SQRT(AR169)</f>
        <v>415.69219381653051</v>
      </c>
      <c r="HH450" s="15">
        <v>5980</v>
      </c>
      <c r="HI450" s="15">
        <v>520</v>
      </c>
      <c r="HJ450" s="15">
        <f>HI450*SQRT(AR169)</f>
        <v>900.66641993581618</v>
      </c>
      <c r="HK450" s="15">
        <f t="shared" si="431"/>
        <v>9.34375</v>
      </c>
      <c r="HL450" s="15">
        <f t="shared" si="432"/>
        <v>5340</v>
      </c>
      <c r="HM450" s="15">
        <f t="shared" si="433"/>
        <v>2.2347076705909608</v>
      </c>
      <c r="HN450" s="15">
        <f>((HJ450*HJ450)/(AR169*HH450*HH450)+(HG450*HG450)/(AR169*HE450*HE450))</f>
        <v>0.14818643667296783</v>
      </c>
      <c r="HP450" s="15" t="s">
        <v>766</v>
      </c>
      <c r="HV450" s="15">
        <f t="shared" si="434"/>
        <v>150.3552363567741</v>
      </c>
      <c r="HW450" s="15">
        <f t="shared" si="435"/>
        <v>2.2347076705909608</v>
      </c>
      <c r="HX450" s="25">
        <f>DA450</f>
        <v>33600</v>
      </c>
      <c r="HY450" s="25">
        <f>CY450</f>
        <v>11200</v>
      </c>
      <c r="HZ450" s="25">
        <f>CZ450</f>
        <v>14.358974358974359</v>
      </c>
      <c r="IA450" s="25">
        <f>DA450</f>
        <v>33600</v>
      </c>
    </row>
    <row r="451" spans="1:235" x14ac:dyDescent="0.25">
      <c r="A451" s="31">
        <v>449</v>
      </c>
      <c r="B451" s="1">
        <v>79</v>
      </c>
      <c r="C451" s="1">
        <v>91</v>
      </c>
      <c r="D451" s="63" t="s">
        <v>409</v>
      </c>
      <c r="E451" s="1">
        <v>1</v>
      </c>
      <c r="F451" s="15" t="s">
        <v>761</v>
      </c>
      <c r="G451" s="15" t="s">
        <v>1296</v>
      </c>
      <c r="H451" s="15" t="s">
        <v>1276</v>
      </c>
      <c r="I451" s="1">
        <v>2020</v>
      </c>
      <c r="J451" s="15" t="s">
        <v>592</v>
      </c>
      <c r="K451" s="1" t="s">
        <v>1297</v>
      </c>
      <c r="L451" s="15" t="s">
        <v>1286</v>
      </c>
      <c r="M451" s="15" t="s">
        <v>1285</v>
      </c>
      <c r="N451" s="15" t="s">
        <v>23</v>
      </c>
      <c r="O451" s="31">
        <v>1</v>
      </c>
      <c r="P451" s="15">
        <v>-5.4059999999999997</v>
      </c>
      <c r="Q451" s="15">
        <v>105.405</v>
      </c>
      <c r="R451" s="15"/>
      <c r="S451" s="15">
        <v>1796</v>
      </c>
      <c r="T451" s="15">
        <v>30</v>
      </c>
      <c r="U451" s="15" t="s">
        <v>549</v>
      </c>
      <c r="V451" s="31">
        <v>1</v>
      </c>
      <c r="W451" s="16" t="s">
        <v>1288</v>
      </c>
      <c r="X451" s="15" t="s">
        <v>1287</v>
      </c>
      <c r="Y451" s="1">
        <v>12</v>
      </c>
      <c r="Z451" s="15">
        <v>3.6</v>
      </c>
      <c r="AA451" s="15" t="s">
        <v>574</v>
      </c>
      <c r="AB451" s="15">
        <f t="shared" ref="AB451:AB514" si="436">Z451</f>
        <v>3.6</v>
      </c>
      <c r="AC451" s="1">
        <v>1</v>
      </c>
      <c r="AD451" s="15">
        <f t="shared" si="424"/>
        <v>15.137999999999998</v>
      </c>
      <c r="AE451" s="15"/>
      <c r="AF451" s="15">
        <v>9.6999999999999993</v>
      </c>
      <c r="AG451" s="15"/>
      <c r="AH451" s="15"/>
      <c r="AI451" s="15"/>
      <c r="AJ451" s="15">
        <v>24</v>
      </c>
      <c r="AK451" s="15">
        <v>22</v>
      </c>
      <c r="AL451" s="15">
        <v>54</v>
      </c>
      <c r="AM451" s="1">
        <v>3</v>
      </c>
      <c r="AN451" s="15">
        <v>1.33</v>
      </c>
      <c r="AO451" s="1">
        <v>3</v>
      </c>
      <c r="AP451" s="15" t="s">
        <v>1621</v>
      </c>
      <c r="AQ451" s="57">
        <v>1</v>
      </c>
      <c r="AR451" s="1">
        <v>4</v>
      </c>
      <c r="AS451" s="15">
        <v>9.02</v>
      </c>
      <c r="AT451" s="15" t="s">
        <v>576</v>
      </c>
      <c r="AU451" s="15">
        <v>56</v>
      </c>
      <c r="AV451" s="15"/>
      <c r="AW451" s="15">
        <v>4000</v>
      </c>
      <c r="AX451" s="15">
        <f>AW451</f>
        <v>4000</v>
      </c>
      <c r="AY451" s="15" t="s">
        <v>766</v>
      </c>
      <c r="AZ451" s="15">
        <f>AX451</f>
        <v>4000</v>
      </c>
      <c r="BA451" s="15">
        <f>AZ451/2.93/1000</f>
        <v>1.3651877133105801</v>
      </c>
      <c r="BB451" s="15">
        <f>AZ451*0.6</f>
        <v>2400</v>
      </c>
      <c r="BC451" s="15"/>
      <c r="BD451" s="15"/>
      <c r="BE451" s="15"/>
      <c r="EW451" s="18"/>
      <c r="EX451" s="18"/>
      <c r="EY451" s="18"/>
      <c r="FK451" s="16">
        <f t="shared" si="390"/>
        <v>4.12</v>
      </c>
      <c r="FL451" s="16">
        <f t="shared" si="391"/>
        <v>6.12</v>
      </c>
      <c r="FM451" s="15">
        <v>4.12</v>
      </c>
      <c r="FN451" s="15">
        <v>0.08</v>
      </c>
      <c r="FO451" s="15">
        <f>FN451*SQRT(AR451)</f>
        <v>0.16</v>
      </c>
      <c r="FP451" s="15">
        <v>6.12</v>
      </c>
      <c r="FQ451" s="15">
        <v>0.4</v>
      </c>
      <c r="FR451" s="15">
        <f>FQ451*SQRT(AR451)</f>
        <v>0.8</v>
      </c>
      <c r="FS451" s="15">
        <f t="shared" si="394"/>
        <v>1.4854368932038835</v>
      </c>
      <c r="FT451" s="15">
        <f t="shared" si="395"/>
        <v>2</v>
      </c>
      <c r="FU451" s="15">
        <f t="shared" si="396"/>
        <v>0.39570893316279965</v>
      </c>
      <c r="FV451" s="15">
        <f>((FR451*FR451)/(AR451*FP451*FP451)+(FO451*FO451)/(AR451*FM451*FM451))</f>
        <v>4.6488996136001045E-3</v>
      </c>
      <c r="FW451" s="15"/>
      <c r="FX451" s="15">
        <v>15.137999999999998</v>
      </c>
      <c r="FY451" s="15">
        <v>0.1</v>
      </c>
      <c r="FZ451" s="15">
        <f>FY451*SQRT(AR451)</f>
        <v>0.2</v>
      </c>
      <c r="GA451" s="15">
        <v>15.834</v>
      </c>
      <c r="GB451" s="15">
        <v>0.17</v>
      </c>
      <c r="GC451" s="15">
        <f>GB451*SQRT(AR451)</f>
        <v>0.34</v>
      </c>
      <c r="GD451" s="15">
        <f t="shared" si="421"/>
        <v>1.045977011494253</v>
      </c>
      <c r="GE451" s="15">
        <f t="shared" si="422"/>
        <v>0.69600000000000151</v>
      </c>
      <c r="GF451" s="15">
        <f t="shared" si="423"/>
        <v>4.495138786226649E-2</v>
      </c>
      <c r="GG451" s="15">
        <f>((GC451*GC451)/(AR451*GA451*GA451)+(FZ451*FZ451)/(AR451*FX451*FX451))</f>
        <v>1.5890788637680102E-4</v>
      </c>
      <c r="GI451" s="15">
        <v>11.94</v>
      </c>
      <c r="GJ451" s="15">
        <v>2.52</v>
      </c>
      <c r="GK451" s="15">
        <f>GJ451*SQRT(AR155)</f>
        <v>4.3647680350735705</v>
      </c>
      <c r="GL451" s="15">
        <v>11.82</v>
      </c>
      <c r="GM451" s="15">
        <v>2.2200000000000002</v>
      </c>
      <c r="GN451" s="15">
        <f>GM451*SQRT(AR155)</f>
        <v>3.8451527928029079</v>
      </c>
      <c r="GO451" s="15">
        <f t="shared" si="425"/>
        <v>0.98994974874371866</v>
      </c>
      <c r="GP451" s="15">
        <f t="shared" si="426"/>
        <v>-0.11999999999999922</v>
      </c>
      <c r="GQ451" s="15">
        <f t="shared" si="427"/>
        <v>-1.0101095986503772E-2</v>
      </c>
      <c r="GR451" s="15">
        <f>((GN451*GN451)/(AR155*GL451*GL451)+(GK451*GK451)/(AR155*GI451*GI451))</f>
        <v>7.9819652423061493E-2</v>
      </c>
      <c r="GT451" s="15">
        <v>7.37</v>
      </c>
      <c r="GU451" s="15">
        <v>2.74</v>
      </c>
      <c r="GV451" s="15">
        <f>GU451*SQRT(AR145)</f>
        <v>4.7458192127387235</v>
      </c>
      <c r="GW451" s="15">
        <v>35.28</v>
      </c>
      <c r="GX451" s="15">
        <v>9.8000000000000007</v>
      </c>
      <c r="GY451" s="15">
        <f>GX451*SQRT(AR145)</f>
        <v>16.974097914174997</v>
      </c>
      <c r="GZ451" s="15">
        <f t="shared" si="428"/>
        <v>4.7869742198100411</v>
      </c>
      <c r="HA451" s="15">
        <f t="shared" si="429"/>
        <v>27.91</v>
      </c>
      <c r="HB451" s="15">
        <f t="shared" si="430"/>
        <v>1.5658985249373452</v>
      </c>
      <c r="HC451" s="15">
        <f>((GY451*GY451)/(AR145*GW451*GW451)+(GV451*GV451)/(AR145*GT451*GT451))</f>
        <v>0.21537898567776315</v>
      </c>
      <c r="HE451" s="15">
        <v>1220</v>
      </c>
      <c r="HF451" s="15">
        <v>730</v>
      </c>
      <c r="HG451" s="15">
        <f>HF451*SQRT(AR170)</f>
        <v>1264.3970895252803</v>
      </c>
      <c r="HH451" s="15">
        <v>6280</v>
      </c>
      <c r="HI451" s="15">
        <v>730</v>
      </c>
      <c r="HJ451" s="15">
        <f>HI451*SQRT(AR170)</f>
        <v>1264.3970895252803</v>
      </c>
      <c r="HK451" s="15">
        <f t="shared" si="431"/>
        <v>5.1475409836065573</v>
      </c>
      <c r="HL451" s="15">
        <f t="shared" si="432"/>
        <v>5060</v>
      </c>
      <c r="HM451" s="15">
        <f t="shared" si="433"/>
        <v>1.6385191217349409</v>
      </c>
      <c r="HN451" s="15">
        <f>((HJ451*HJ451)/(AR170*HH451*HH451)+(HG451*HG451)/(AR170*HE451*HE451))</f>
        <v>0.37154768578359648</v>
      </c>
      <c r="HP451" s="15" t="s">
        <v>766</v>
      </c>
      <c r="HV451" s="15">
        <f t="shared" si="434"/>
        <v>14.647372546124256</v>
      </c>
      <c r="HW451" s="15">
        <f t="shared" si="435"/>
        <v>1.6385191217349409</v>
      </c>
      <c r="HX451" s="15">
        <f>BB451</f>
        <v>2400</v>
      </c>
      <c r="HY451" s="15">
        <f>AZ451</f>
        <v>4000</v>
      </c>
      <c r="HZ451" s="15">
        <f>BA451</f>
        <v>1.3651877133105801</v>
      </c>
      <c r="IA451" s="15">
        <f>BB451</f>
        <v>2400</v>
      </c>
    </row>
    <row r="452" spans="1:235" x14ac:dyDescent="0.25">
      <c r="A452" s="31">
        <v>450</v>
      </c>
      <c r="B452" s="1">
        <v>79</v>
      </c>
      <c r="C452" s="1">
        <v>91</v>
      </c>
      <c r="D452" s="63" t="s">
        <v>410</v>
      </c>
      <c r="E452" s="1">
        <v>1</v>
      </c>
      <c r="F452" s="15" t="s">
        <v>761</v>
      </c>
      <c r="G452" s="15" t="s">
        <v>1296</v>
      </c>
      <c r="H452" s="15" t="s">
        <v>1276</v>
      </c>
      <c r="I452" s="1">
        <v>2020</v>
      </c>
      <c r="J452" s="15" t="s">
        <v>592</v>
      </c>
      <c r="K452" s="1" t="s">
        <v>1297</v>
      </c>
      <c r="L452" s="15" t="s">
        <v>1286</v>
      </c>
      <c r="M452" s="15" t="s">
        <v>1285</v>
      </c>
      <c r="N452" s="15" t="s">
        <v>23</v>
      </c>
      <c r="O452" s="31">
        <v>1</v>
      </c>
      <c r="P452" s="15">
        <v>-5.4059999999999997</v>
      </c>
      <c r="Q452" s="15">
        <v>105.405</v>
      </c>
      <c r="R452" s="15"/>
      <c r="S452" s="15">
        <v>1796</v>
      </c>
      <c r="T452" s="15">
        <v>30</v>
      </c>
      <c r="U452" s="15" t="s">
        <v>549</v>
      </c>
      <c r="V452" s="31">
        <v>1</v>
      </c>
      <c r="W452" s="16" t="s">
        <v>1288</v>
      </c>
      <c r="X452" s="15" t="s">
        <v>1287</v>
      </c>
      <c r="Y452" s="1">
        <v>12</v>
      </c>
      <c r="Z452" s="15">
        <v>3.6</v>
      </c>
      <c r="AA452" s="15" t="s">
        <v>574</v>
      </c>
      <c r="AB452" s="15">
        <f t="shared" si="436"/>
        <v>3.6</v>
      </c>
      <c r="AC452" s="1">
        <v>1</v>
      </c>
      <c r="AD452" s="15">
        <f t="shared" si="424"/>
        <v>15.137999999999998</v>
      </c>
      <c r="AF452" s="15">
        <v>9.6999999999999993</v>
      </c>
      <c r="AJ452" s="15">
        <v>24</v>
      </c>
      <c r="AK452" s="15">
        <v>22</v>
      </c>
      <c r="AL452" s="15">
        <v>54</v>
      </c>
      <c r="AM452" s="1">
        <v>3</v>
      </c>
      <c r="AN452" s="15">
        <v>1.33</v>
      </c>
      <c r="AO452" s="1">
        <v>3</v>
      </c>
      <c r="AP452" s="15" t="s">
        <v>1289</v>
      </c>
      <c r="AQ452" s="57">
        <v>1</v>
      </c>
      <c r="AR452" s="1">
        <v>4</v>
      </c>
      <c r="AS452" s="15">
        <v>9.02</v>
      </c>
      <c r="AT452" s="15" t="s">
        <v>576</v>
      </c>
      <c r="AU452" s="15">
        <v>56</v>
      </c>
      <c r="AV452" s="15"/>
      <c r="AW452" s="15">
        <v>4000</v>
      </c>
      <c r="AX452" s="15">
        <f>AW452</f>
        <v>4000</v>
      </c>
      <c r="AY452" s="15" t="s">
        <v>766</v>
      </c>
      <c r="AZ452" s="15">
        <f>AX452</f>
        <v>4000</v>
      </c>
      <c r="BA452" s="15">
        <f>AZ452/2.93/1000</f>
        <v>1.3651877133105801</v>
      </c>
      <c r="BB452" s="15">
        <f>AZ452*0.6</f>
        <v>2400</v>
      </c>
      <c r="EW452" s="18"/>
      <c r="EX452" s="18"/>
      <c r="EY452" s="18"/>
      <c r="FK452" s="16">
        <f t="shared" si="390"/>
        <v>4.62</v>
      </c>
      <c r="FL452" s="16">
        <f t="shared" si="391"/>
        <v>5.44</v>
      </c>
      <c r="FM452" s="15">
        <v>4.62</v>
      </c>
      <c r="FN452" s="15">
        <v>0.12</v>
      </c>
      <c r="FO452" s="15">
        <f>FN452*SQRT(AR452)</f>
        <v>0.24</v>
      </c>
      <c r="FP452" s="15">
        <v>5.44</v>
      </c>
      <c r="FQ452" s="15">
        <v>0.16</v>
      </c>
      <c r="FR452" s="15">
        <f>FQ452*SQRT(AR452)</f>
        <v>0.32</v>
      </c>
      <c r="FS452" s="15">
        <f t="shared" si="394"/>
        <v>1.1774891774891776</v>
      </c>
      <c r="FT452" s="15">
        <f t="shared" si="395"/>
        <v>0.82000000000000028</v>
      </c>
      <c r="FU452" s="15">
        <f t="shared" si="396"/>
        <v>0.16338435577420385</v>
      </c>
      <c r="FV452" s="15">
        <f>((FR452*FR452)/(AR452*FP452*FP452)+(FO452*FO452)/(AR452*FM452*FM452))</f>
        <v>1.5397019284135627E-3</v>
      </c>
      <c r="FW452" s="15"/>
      <c r="FX452" s="15">
        <v>16.704000000000001</v>
      </c>
      <c r="FY452" s="15">
        <v>0.12</v>
      </c>
      <c r="FZ452" s="15">
        <f>FY452*SQRT(AR452)</f>
        <v>0.24</v>
      </c>
      <c r="GA452" s="15">
        <v>17.052</v>
      </c>
      <c r="GB452" s="15">
        <v>0.15</v>
      </c>
      <c r="GC452" s="15">
        <f>GB452*SQRT(AR452)</f>
        <v>0.3</v>
      </c>
      <c r="GD452" s="15">
        <f t="shared" si="421"/>
        <v>1.0208333333333333</v>
      </c>
      <c r="GE452" s="15">
        <f t="shared" si="422"/>
        <v>0.34799999999999898</v>
      </c>
      <c r="GF452" s="15">
        <f t="shared" si="423"/>
        <v>2.0619287202735315E-2</v>
      </c>
      <c r="GG452" s="15">
        <f>((GC452*GC452)/(AR452*GA452*GA452)+(FZ452*FZ452)/(AR452*FX452*FX452))</f>
        <v>1.289890951325E-4</v>
      </c>
      <c r="GI452" s="15">
        <v>6.68</v>
      </c>
      <c r="GJ452" s="15">
        <v>0.7</v>
      </c>
      <c r="GK452" s="15">
        <f>GJ452*SQRT(AR156)</f>
        <v>1.2124355652982139</v>
      </c>
      <c r="GL452" s="15">
        <v>7.35</v>
      </c>
      <c r="GM452" s="15">
        <v>0.9</v>
      </c>
      <c r="GN452" s="15">
        <f>GM452*SQRT(AR156)</f>
        <v>1.5588457268119895</v>
      </c>
      <c r="GO452" s="15">
        <f t="shared" si="425"/>
        <v>1.1002994011976048</v>
      </c>
      <c r="GP452" s="15">
        <f t="shared" si="426"/>
        <v>0.66999999999999993</v>
      </c>
      <c r="GQ452" s="15">
        <f t="shared" si="427"/>
        <v>9.558232567619096E-2</v>
      </c>
      <c r="GR452" s="15">
        <f>((GN452*GN452)/(AR156*GL452*GL452)+(GK452*GK452)/(AR156*GI452*GI452))</f>
        <v>2.5974784551161936E-2</v>
      </c>
      <c r="GT452" s="15">
        <v>44.57</v>
      </c>
      <c r="GU452" s="15">
        <v>4.29</v>
      </c>
      <c r="GV452" s="15">
        <f>GU452*SQRT(AR146)</f>
        <v>7.4304979644704829</v>
      </c>
      <c r="GW452" s="15">
        <v>53.01</v>
      </c>
      <c r="GX452" s="15">
        <v>6.27</v>
      </c>
      <c r="GY452" s="15">
        <f>GX452*SQRT(AR146)</f>
        <v>10.859958563456859</v>
      </c>
      <c r="GZ452" s="15">
        <f t="shared" si="428"/>
        <v>1.1893650437514023</v>
      </c>
      <c r="HA452" s="15">
        <f t="shared" si="429"/>
        <v>8.4399999999999977</v>
      </c>
      <c r="HB452" s="15">
        <f t="shared" si="430"/>
        <v>0.17341958804125035</v>
      </c>
      <c r="HC452" s="15">
        <f>((GY452*GY452)/(AR146*GW452*GW452)+(GV452*GV452)/(AR146*GT452*GT452))</f>
        <v>2.3254713032660392E-2</v>
      </c>
      <c r="HE452" s="15">
        <v>1220</v>
      </c>
      <c r="HF452" s="15">
        <v>730</v>
      </c>
      <c r="HG452" s="15">
        <f>HF452*SQRT(AR171)</f>
        <v>1264.3970895252803</v>
      </c>
      <c r="HH452" s="15">
        <v>4140</v>
      </c>
      <c r="HI452" s="15">
        <v>390</v>
      </c>
      <c r="HJ452" s="15">
        <f>HI452*SQRT(AR171)</f>
        <v>675.49981495186205</v>
      </c>
      <c r="HK452" s="15">
        <f t="shared" si="431"/>
        <v>3.3934426229508197</v>
      </c>
      <c r="HL452" s="15">
        <f t="shared" si="432"/>
        <v>2920</v>
      </c>
      <c r="HM452" s="15">
        <f t="shared" si="433"/>
        <v>1.2218449290920574</v>
      </c>
      <c r="HN452" s="15">
        <f>((HJ452*HJ452)/(AR171*HH452*HH452)+(HG452*HG452)/(AR171*HE452*HE452))</f>
        <v>0.36690966043021428</v>
      </c>
      <c r="HP452" s="15" t="s">
        <v>766</v>
      </c>
      <c r="HV452" s="15">
        <f t="shared" si="434"/>
        <v>19.642427143217098</v>
      </c>
      <c r="HW452" s="15">
        <f t="shared" si="435"/>
        <v>1.2218449290920574</v>
      </c>
      <c r="HX452" s="15">
        <f>BB452</f>
        <v>2400</v>
      </c>
      <c r="HY452" s="15">
        <f>AZ452</f>
        <v>4000</v>
      </c>
      <c r="HZ452" s="15">
        <f>BA452</f>
        <v>1.3651877133105801</v>
      </c>
      <c r="IA452" s="15">
        <f>BB452</f>
        <v>2400</v>
      </c>
    </row>
    <row r="453" spans="1:235" x14ac:dyDescent="0.25">
      <c r="A453" s="31">
        <v>451</v>
      </c>
      <c r="B453" s="1">
        <v>79</v>
      </c>
      <c r="C453" s="1">
        <v>91</v>
      </c>
      <c r="D453" s="63" t="s">
        <v>411</v>
      </c>
      <c r="E453" s="1">
        <v>1</v>
      </c>
      <c r="F453" s="15" t="s">
        <v>761</v>
      </c>
      <c r="G453" s="15" t="s">
        <v>1296</v>
      </c>
      <c r="H453" s="15" t="s">
        <v>1276</v>
      </c>
      <c r="I453" s="1">
        <v>2020</v>
      </c>
      <c r="J453" s="15" t="s">
        <v>592</v>
      </c>
      <c r="K453" s="1" t="s">
        <v>1297</v>
      </c>
      <c r="L453" s="15" t="s">
        <v>1286</v>
      </c>
      <c r="M453" s="15" t="s">
        <v>1285</v>
      </c>
      <c r="N453" s="15" t="s">
        <v>23</v>
      </c>
      <c r="O453" s="31">
        <v>1</v>
      </c>
      <c r="P453" s="15">
        <v>-5.4059999999999997</v>
      </c>
      <c r="Q453" s="15">
        <v>105.405</v>
      </c>
      <c r="R453" s="15"/>
      <c r="S453" s="15">
        <v>1796</v>
      </c>
      <c r="T453" s="15">
        <v>30</v>
      </c>
      <c r="U453" s="15" t="s">
        <v>549</v>
      </c>
      <c r="V453" s="31">
        <v>1</v>
      </c>
      <c r="W453" s="16" t="s">
        <v>1288</v>
      </c>
      <c r="X453" s="15" t="s">
        <v>1287</v>
      </c>
      <c r="Y453" s="1">
        <v>12</v>
      </c>
      <c r="Z453" s="15">
        <v>3.6</v>
      </c>
      <c r="AA453" s="15" t="s">
        <v>574</v>
      </c>
      <c r="AB453" s="15">
        <f t="shared" si="436"/>
        <v>3.6</v>
      </c>
      <c r="AC453" s="1">
        <v>1</v>
      </c>
      <c r="AD453" s="15">
        <f t="shared" si="424"/>
        <v>15.137999999999998</v>
      </c>
      <c r="AF453" s="15">
        <v>9.6999999999999993</v>
      </c>
      <c r="AJ453" s="15">
        <v>24</v>
      </c>
      <c r="AK453" s="15">
        <v>22</v>
      </c>
      <c r="AL453" s="15">
        <v>54</v>
      </c>
      <c r="AM453" s="1">
        <v>3</v>
      </c>
      <c r="AN453" s="15">
        <v>1.33</v>
      </c>
      <c r="AO453" s="1">
        <v>3</v>
      </c>
      <c r="AP453" s="15" t="s">
        <v>1621</v>
      </c>
      <c r="AQ453" s="57">
        <v>1</v>
      </c>
      <c r="AR453" s="1">
        <v>4</v>
      </c>
      <c r="AS453" s="15">
        <v>9.02</v>
      </c>
      <c r="AT453" s="15" t="s">
        <v>576</v>
      </c>
      <c r="AU453" s="15">
        <v>56</v>
      </c>
      <c r="AV453" s="15"/>
      <c r="AW453" s="15">
        <v>4000</v>
      </c>
      <c r="AX453" s="15">
        <f>AW453</f>
        <v>4000</v>
      </c>
      <c r="AY453" s="15" t="s">
        <v>766</v>
      </c>
      <c r="AZ453" s="15">
        <f>AX453</f>
        <v>4000</v>
      </c>
      <c r="BA453" s="15">
        <f>AZ453/2.93/1000</f>
        <v>1.3651877133105801</v>
      </c>
      <c r="BB453" s="15">
        <f>AZ453*0.6</f>
        <v>2400</v>
      </c>
      <c r="EW453" s="18"/>
      <c r="EX453" s="18"/>
      <c r="EY453" s="18"/>
      <c r="FK453" s="16">
        <f t="shared" si="390"/>
        <v>4.29</v>
      </c>
      <c r="FL453" s="16">
        <f t="shared" si="391"/>
        <v>6.35</v>
      </c>
      <c r="FM453" s="15">
        <v>4.29</v>
      </c>
      <c r="FN453" s="15">
        <v>0.05</v>
      </c>
      <c r="FO453" s="15">
        <f>FN453*SQRT(AR453)</f>
        <v>0.1</v>
      </c>
      <c r="FP453" s="15">
        <v>6.35</v>
      </c>
      <c r="FQ453" s="15">
        <v>0.2</v>
      </c>
      <c r="FR453" s="15">
        <f>FQ453*SQRT(AR453)</f>
        <v>0.4</v>
      </c>
      <c r="FS453" s="15">
        <f t="shared" si="394"/>
        <v>1.4801864801864801</v>
      </c>
      <c r="FT453" s="15">
        <f t="shared" si="395"/>
        <v>2.0599999999999996</v>
      </c>
      <c r="FU453" s="15">
        <f t="shared" si="396"/>
        <v>0.39216807996467451</v>
      </c>
      <c r="FV453" s="15">
        <f>((FR453*FR453)/(AR453*FP453*FP453)+(FO453*FO453)/(AR453*FM453*FM453))</f>
        <v>1.127841280682426E-3</v>
      </c>
      <c r="FX453" s="15">
        <v>17.521799999999999</v>
      </c>
      <c r="FY453" s="15">
        <v>0.12</v>
      </c>
      <c r="FZ453" s="15">
        <f>FY453*SQRT(AR453)</f>
        <v>0.24</v>
      </c>
      <c r="GA453" s="15">
        <v>19.662000000000003</v>
      </c>
      <c r="GB453" s="15">
        <v>0.08</v>
      </c>
      <c r="GC453" s="15">
        <f>GB453*SQRT(AR453)</f>
        <v>0.16</v>
      </c>
      <c r="GD453" s="15">
        <f t="shared" si="421"/>
        <v>1.1221449851042704</v>
      </c>
      <c r="GE453" s="15">
        <f t="shared" si="422"/>
        <v>2.1402000000000037</v>
      </c>
      <c r="GF453" s="15">
        <f t="shared" si="423"/>
        <v>0.11524201898782405</v>
      </c>
      <c r="GG453" s="15">
        <f>((GC453*GC453)/(AR453*GA453*GA453)+(FZ453*FZ453)/(AR453*FX453*FX453))</f>
        <v>6.3458303567921575E-5</v>
      </c>
      <c r="GI453" s="15">
        <v>9.3699999999999992</v>
      </c>
      <c r="GJ453" s="15">
        <v>1.1000000000000001</v>
      </c>
      <c r="GK453" s="15">
        <f>GJ453*SQRT(AR157)</f>
        <v>1.9052558883257651</v>
      </c>
      <c r="GL453" s="15">
        <v>9.1999999999999993</v>
      </c>
      <c r="GM453" s="15">
        <v>0.75</v>
      </c>
      <c r="GN453" s="15">
        <f>GM453*SQRT(AR157)</f>
        <v>1.299038105676658</v>
      </c>
      <c r="GO453" s="15">
        <f t="shared" si="425"/>
        <v>0.98185699039487728</v>
      </c>
      <c r="GP453" s="15">
        <f t="shared" si="426"/>
        <v>-0.16999999999999993</v>
      </c>
      <c r="GQ453" s="15">
        <f t="shared" si="427"/>
        <v>-1.8309612195336111E-2</v>
      </c>
      <c r="GR453" s="15">
        <f>((GN453*GN453)/(AR157*GL453*GL453)+(GK453*GK453)/(AR157*GI453*GI453))</f>
        <v>2.042760173677477E-2</v>
      </c>
      <c r="GT453" s="15">
        <v>5.8</v>
      </c>
      <c r="GU453" s="15">
        <v>1.43</v>
      </c>
      <c r="GV453" s="15">
        <f>GU453*SQRT(AR147)</f>
        <v>2.4768326548234945</v>
      </c>
      <c r="GW453" s="15">
        <v>48.87</v>
      </c>
      <c r="GX453" s="15">
        <v>4.5599999999999996</v>
      </c>
      <c r="GY453" s="15">
        <f>GX453*SQRT(AR147)</f>
        <v>7.8981516825140794</v>
      </c>
      <c r="GZ453" s="15">
        <f t="shared" si="428"/>
        <v>8.4258620689655164</v>
      </c>
      <c r="HA453" s="15">
        <f t="shared" si="429"/>
        <v>43.07</v>
      </c>
      <c r="HB453" s="15">
        <f t="shared" si="430"/>
        <v>2.1313057937296898</v>
      </c>
      <c r="HC453" s="15">
        <f>((GY453*GY453)/(AR147*GW453*GW453)+(GV453*GV453)/(AR147*GT453*GT453))</f>
        <v>6.9494280800328739E-2</v>
      </c>
      <c r="HE453" s="15">
        <v>640</v>
      </c>
      <c r="HF453" s="15">
        <v>240</v>
      </c>
      <c r="HG453" s="15">
        <f>HF453*SQRT(AR172)</f>
        <v>415.69219381653051</v>
      </c>
      <c r="HH453" s="15">
        <v>3970</v>
      </c>
      <c r="HI453" s="15">
        <v>870</v>
      </c>
      <c r="HJ453" s="15">
        <f>HI453*SQRT(AR172)</f>
        <v>1506.8842025849231</v>
      </c>
      <c r="HK453" s="15">
        <f t="shared" si="431"/>
        <v>6.203125</v>
      </c>
      <c r="HL453" s="15">
        <f t="shared" si="432"/>
        <v>3330</v>
      </c>
      <c r="HM453" s="15">
        <f t="shared" si="433"/>
        <v>1.8250531973275184</v>
      </c>
      <c r="HN453" s="15">
        <f>((HJ453*HJ453)/(AR172*HH453*HH453)+(HG453*HG453)/(AR172*HE453*HE453))</f>
        <v>0.18864890726417904</v>
      </c>
      <c r="HP453" s="15" t="s">
        <v>766</v>
      </c>
      <c r="HV453" s="15">
        <f t="shared" si="434"/>
        <v>13.150301610464801</v>
      </c>
      <c r="HW453" s="15">
        <f t="shared" si="435"/>
        <v>1.8250531973275184</v>
      </c>
      <c r="HX453" s="15">
        <f>BB453</f>
        <v>2400</v>
      </c>
      <c r="HY453" s="15">
        <f>AZ453</f>
        <v>4000</v>
      </c>
      <c r="HZ453" s="15">
        <f>BA453</f>
        <v>1.3651877133105801</v>
      </c>
      <c r="IA453" s="15">
        <f>BB453</f>
        <v>2400</v>
      </c>
    </row>
    <row r="454" spans="1:235" x14ac:dyDescent="0.25">
      <c r="A454" s="31">
        <v>452</v>
      </c>
      <c r="B454" s="1">
        <v>79</v>
      </c>
      <c r="C454" s="1">
        <v>91</v>
      </c>
      <c r="D454" s="63" t="s">
        <v>412</v>
      </c>
      <c r="E454" s="1">
        <v>1</v>
      </c>
      <c r="F454" s="15" t="s">
        <v>761</v>
      </c>
      <c r="G454" s="15" t="s">
        <v>1296</v>
      </c>
      <c r="H454" s="15" t="s">
        <v>1276</v>
      </c>
      <c r="I454" s="1">
        <v>2020</v>
      </c>
      <c r="J454" s="15" t="s">
        <v>592</v>
      </c>
      <c r="K454" s="1" t="s">
        <v>1297</v>
      </c>
      <c r="L454" s="15" t="s">
        <v>1286</v>
      </c>
      <c r="M454" s="15" t="s">
        <v>1285</v>
      </c>
      <c r="N454" s="15" t="s">
        <v>23</v>
      </c>
      <c r="O454" s="31">
        <v>1</v>
      </c>
      <c r="P454" s="15">
        <v>-5.4059999999999997</v>
      </c>
      <c r="Q454" s="15">
        <v>105.405</v>
      </c>
      <c r="R454" s="15"/>
      <c r="S454" s="15">
        <v>1796</v>
      </c>
      <c r="T454" s="15">
        <v>30</v>
      </c>
      <c r="U454" s="15" t="s">
        <v>549</v>
      </c>
      <c r="V454" s="31">
        <v>1</v>
      </c>
      <c r="W454" s="16" t="s">
        <v>1288</v>
      </c>
      <c r="X454" s="15" t="s">
        <v>1287</v>
      </c>
      <c r="Y454" s="1">
        <v>12</v>
      </c>
      <c r="Z454" s="15">
        <v>3.6</v>
      </c>
      <c r="AA454" s="15" t="s">
        <v>574</v>
      </c>
      <c r="AB454" s="15">
        <f t="shared" si="436"/>
        <v>3.6</v>
      </c>
      <c r="AC454" s="1">
        <v>1</v>
      </c>
      <c r="AD454" s="15">
        <f t="shared" si="424"/>
        <v>15.137999999999998</v>
      </c>
      <c r="AF454" s="15">
        <v>9.6999999999999993</v>
      </c>
      <c r="AJ454" s="15">
        <v>24</v>
      </c>
      <c r="AK454" s="15">
        <v>22</v>
      </c>
      <c r="AL454" s="15">
        <v>54</v>
      </c>
      <c r="AM454" s="1">
        <v>3</v>
      </c>
      <c r="AN454" s="15">
        <v>1.33</v>
      </c>
      <c r="AO454" s="1">
        <v>3</v>
      </c>
      <c r="AP454" s="15" t="s">
        <v>1289</v>
      </c>
      <c r="AQ454" s="57">
        <v>1</v>
      </c>
      <c r="AR454" s="1">
        <v>4</v>
      </c>
      <c r="AS454" s="15">
        <v>9.02</v>
      </c>
      <c r="AT454" s="15" t="s">
        <v>576</v>
      </c>
      <c r="AU454" s="15">
        <v>56</v>
      </c>
      <c r="AV454" s="15"/>
      <c r="AW454" s="15">
        <v>4000</v>
      </c>
      <c r="AX454" s="15">
        <f>AW454</f>
        <v>4000</v>
      </c>
      <c r="AY454" s="15" t="s">
        <v>766</v>
      </c>
      <c r="AZ454" s="15">
        <f>AX454</f>
        <v>4000</v>
      </c>
      <c r="BA454" s="15">
        <f>AZ454/2.93/1000</f>
        <v>1.3651877133105801</v>
      </c>
      <c r="BB454" s="15">
        <f>AZ454*0.6</f>
        <v>2400</v>
      </c>
      <c r="EW454" s="18"/>
      <c r="EX454" s="18"/>
      <c r="EY454" s="18"/>
      <c r="FK454" s="16">
        <f t="shared" si="390"/>
        <v>4.1399999999999997</v>
      </c>
      <c r="FL454" s="16">
        <f t="shared" si="391"/>
        <v>5.76</v>
      </c>
      <c r="FM454" s="15">
        <v>4.1399999999999997</v>
      </c>
      <c r="FN454" s="15">
        <v>0.05</v>
      </c>
      <c r="FO454" s="15">
        <f>FN454*SQRT(AR454)</f>
        <v>0.1</v>
      </c>
      <c r="FP454" s="15">
        <v>5.76</v>
      </c>
      <c r="FQ454" s="15">
        <v>0.11</v>
      </c>
      <c r="FR454" s="15">
        <f>FQ454*SQRT(AR454)</f>
        <v>0.22</v>
      </c>
      <c r="FS454" s="15">
        <f t="shared" si="394"/>
        <v>1.3913043478260869</v>
      </c>
      <c r="FT454" s="15">
        <f t="shared" si="395"/>
        <v>1.62</v>
      </c>
      <c r="FU454" s="15">
        <f t="shared" si="396"/>
        <v>0.33024168687057709</v>
      </c>
      <c r="FV454" s="15">
        <f>((FR454*FR454)/(AR454*FP454*FP454)+(FO454*FO454)/(AR454*FM454*FM454))</f>
        <v>5.1056494353718873E-4</v>
      </c>
      <c r="FX454" s="15">
        <v>16.878</v>
      </c>
      <c r="FY454" s="15">
        <v>0.12</v>
      </c>
      <c r="FZ454" s="15">
        <f>FY454*SQRT(AR454)</f>
        <v>0.24</v>
      </c>
      <c r="GA454" s="15">
        <v>17.922000000000001</v>
      </c>
      <c r="GB454" s="15">
        <v>0.04</v>
      </c>
      <c r="GC454" s="15">
        <f>GB454*SQRT(AR454)</f>
        <v>0.08</v>
      </c>
      <c r="GD454" s="15">
        <f t="shared" si="421"/>
        <v>1.0618556701030928</v>
      </c>
      <c r="GE454" s="15">
        <f t="shared" si="422"/>
        <v>1.0440000000000005</v>
      </c>
      <c r="GF454" s="15">
        <f t="shared" si="423"/>
        <v>6.0018009726253041E-2</v>
      </c>
      <c r="GG454" s="15">
        <f>((GC454*GC454)/(AR454*GA454*GA454)+(FZ454*FZ454)/(AR454*FX454*FX454))</f>
        <v>5.5531276094017014E-5</v>
      </c>
      <c r="GI454" s="15">
        <v>6.04</v>
      </c>
      <c r="GJ454" s="15">
        <v>1.1200000000000001</v>
      </c>
      <c r="GK454" s="15">
        <f>GJ454*SQRT(AR158)</f>
        <v>1.9398969044771426</v>
      </c>
      <c r="GL454" s="15">
        <v>5.68</v>
      </c>
      <c r="GM454" s="15">
        <v>0.47</v>
      </c>
      <c r="GN454" s="15">
        <f>GM454*SQRT(AR158)</f>
        <v>0.81406387955737225</v>
      </c>
      <c r="GO454" s="15">
        <f t="shared" si="425"/>
        <v>0.9403973509933774</v>
      </c>
      <c r="GP454" s="15">
        <f t="shared" si="426"/>
        <v>-0.36000000000000032</v>
      </c>
      <c r="GQ454" s="15">
        <f t="shared" si="427"/>
        <v>-6.1452779213663655E-2</v>
      </c>
      <c r="GR454" s="15">
        <f>((GN454*GN454)/(AR158*GL454*GL454)+(GK454*GK454)/(AR158*GI454*GI454))</f>
        <v>4.1231436587988668E-2</v>
      </c>
      <c r="GT454" s="15">
        <v>9.52</v>
      </c>
      <c r="GU454" s="15">
        <v>1.46</v>
      </c>
      <c r="GV454" s="15">
        <f>GU454*SQRT(AR148)</f>
        <v>2.5287941790505606</v>
      </c>
      <c r="GW454" s="15">
        <v>79.08</v>
      </c>
      <c r="GX454" s="15">
        <v>3.1</v>
      </c>
      <c r="GY454" s="15">
        <f>GX454*SQRT(AR148)</f>
        <v>5.3693575034635197</v>
      </c>
      <c r="GZ454" s="15">
        <f t="shared" si="428"/>
        <v>8.3067226890756309</v>
      </c>
      <c r="HA454" s="15">
        <f t="shared" si="429"/>
        <v>69.56</v>
      </c>
      <c r="HB454" s="15">
        <f t="shared" si="430"/>
        <v>2.1170651494991422</v>
      </c>
      <c r="HC454" s="15">
        <f>((GY454*GY454)/(AR148*GW454*GW454)+(GV454*GV454)/(AR148*GT454*GT454))</f>
        <v>2.5056405448772631E-2</v>
      </c>
      <c r="HE454" s="15">
        <v>640</v>
      </c>
      <c r="HF454" s="15">
        <v>240</v>
      </c>
      <c r="HG454" s="15">
        <f>HF454*SQRT(AR173)</f>
        <v>415.69219381653051</v>
      </c>
      <c r="HH454" s="15">
        <v>5510</v>
      </c>
      <c r="HI454" s="15">
        <v>290</v>
      </c>
      <c r="HJ454" s="15">
        <f>HI454*SQRT(AR173)</f>
        <v>502.29473419497441</v>
      </c>
      <c r="HK454" s="15">
        <f t="shared" si="431"/>
        <v>8.609375</v>
      </c>
      <c r="HL454" s="15">
        <f t="shared" si="432"/>
        <v>4870</v>
      </c>
      <c r="HM454" s="15">
        <f t="shared" si="433"/>
        <v>2.1528517257932425</v>
      </c>
      <c r="HN454" s="15">
        <f>((HJ454*HJ454)/(AR173*HH454*HH454)+(HG454*HG454)/(AR173*HE454*HE454))</f>
        <v>0.14339508310249305</v>
      </c>
      <c r="HP454" s="15" t="s">
        <v>766</v>
      </c>
      <c r="HV454" s="15">
        <f t="shared" si="434"/>
        <v>11.148004162319598</v>
      </c>
      <c r="HW454" s="15">
        <f t="shared" si="435"/>
        <v>2.1528517257932425</v>
      </c>
      <c r="HX454" s="15">
        <f>BB454</f>
        <v>2400</v>
      </c>
      <c r="HY454" s="15">
        <f>AZ454</f>
        <v>4000</v>
      </c>
      <c r="HZ454" s="15">
        <f>BA454</f>
        <v>1.3651877133105801</v>
      </c>
      <c r="IA454" s="15">
        <f>BB454</f>
        <v>2400</v>
      </c>
    </row>
    <row r="455" spans="1:235" s="15" customFormat="1" x14ac:dyDescent="0.25">
      <c r="A455" s="31">
        <v>453</v>
      </c>
      <c r="B455" s="1">
        <v>80</v>
      </c>
      <c r="C455" s="1">
        <v>92</v>
      </c>
      <c r="D455" s="63" t="s">
        <v>413</v>
      </c>
      <c r="E455" s="1">
        <v>2</v>
      </c>
      <c r="F455" s="15" t="s">
        <v>777</v>
      </c>
      <c r="G455" s="15" t="s">
        <v>1277</v>
      </c>
      <c r="H455" s="15" t="s">
        <v>1278</v>
      </c>
      <c r="I455" s="1">
        <v>2020</v>
      </c>
      <c r="J455" s="15" t="s">
        <v>1279</v>
      </c>
      <c r="K455" s="1" t="s">
        <v>518</v>
      </c>
      <c r="L455" s="15" t="s">
        <v>1280</v>
      </c>
      <c r="M455" s="15" t="s">
        <v>22</v>
      </c>
      <c r="N455" s="15" t="s">
        <v>538</v>
      </c>
      <c r="O455" s="31">
        <v>1</v>
      </c>
      <c r="P455" s="15">
        <v>7.2</v>
      </c>
      <c r="Q455" s="15">
        <v>5.58</v>
      </c>
      <c r="R455" s="15">
        <v>348</v>
      </c>
      <c r="S455" s="15">
        <v>1350</v>
      </c>
      <c r="T455" s="15">
        <v>32</v>
      </c>
      <c r="U455" s="15" t="s">
        <v>549</v>
      </c>
      <c r="V455" s="31">
        <v>1</v>
      </c>
      <c r="W455" s="16" t="s">
        <v>1153</v>
      </c>
      <c r="X455" s="15" t="s">
        <v>1281</v>
      </c>
      <c r="Y455" s="1">
        <v>4</v>
      </c>
      <c r="Z455" s="15">
        <v>5.69</v>
      </c>
      <c r="AA455" s="15" t="s">
        <v>574</v>
      </c>
      <c r="AB455" s="15">
        <f t="shared" si="436"/>
        <v>5.69</v>
      </c>
      <c r="AC455" s="1">
        <v>4</v>
      </c>
      <c r="AD455" s="15">
        <f t="shared" ref="AD455:AD460" si="437">1.17*1.74*10</f>
        <v>20.358000000000001</v>
      </c>
      <c r="AF455" s="15">
        <v>1.1000000000000001</v>
      </c>
      <c r="AJ455" s="15">
        <v>15.7</v>
      </c>
      <c r="AK455" s="15">
        <v>16.2</v>
      </c>
      <c r="AL455" s="15">
        <v>68.099999999999994</v>
      </c>
      <c r="AN455" s="15">
        <v>1.57</v>
      </c>
      <c r="AO455" s="1">
        <v>3</v>
      </c>
      <c r="AP455" s="15" t="s">
        <v>1282</v>
      </c>
      <c r="AQ455" s="57">
        <v>2</v>
      </c>
      <c r="AR455" s="1">
        <v>3</v>
      </c>
      <c r="BP455" s="16"/>
      <c r="BQ455" s="16"/>
      <c r="BR455" s="16"/>
      <c r="BU455" s="16"/>
      <c r="CC455" s="15" t="s">
        <v>1283</v>
      </c>
      <c r="CE455" s="15">
        <v>10000</v>
      </c>
      <c r="CF455" s="15">
        <f t="shared" ref="CF455:CF460" si="438">CE455</f>
        <v>10000</v>
      </c>
      <c r="CG455" s="15" t="s">
        <v>766</v>
      </c>
      <c r="CH455" s="15">
        <v>7.61</v>
      </c>
      <c r="CI455" s="15">
        <v>500</v>
      </c>
      <c r="CK455" s="15">
        <v>520</v>
      </c>
      <c r="CL455" s="15">
        <v>6.5</v>
      </c>
      <c r="CN455" s="15">
        <v>0.36</v>
      </c>
      <c r="CW455" s="15">
        <v>0.49</v>
      </c>
      <c r="CY455" s="25">
        <f t="shared" ref="CY455:CY460" si="439">CF455</f>
        <v>10000</v>
      </c>
      <c r="CZ455" s="25">
        <f t="shared" ref="CZ455:CZ460" si="440">CY455/0.78/1000</f>
        <v>12.820512820512821</v>
      </c>
      <c r="DA455" s="25">
        <f t="shared" ref="DA455:DA460" si="441">CY455*3</f>
        <v>30000</v>
      </c>
      <c r="EZ455" s="16"/>
      <c r="FA455" s="16"/>
      <c r="FB455" s="16"/>
      <c r="FC455" s="16"/>
      <c r="FD455" s="16"/>
      <c r="FE455" s="16"/>
      <c r="FF455" s="16"/>
      <c r="FG455" s="16"/>
      <c r="FH455" s="16"/>
      <c r="FI455" s="16"/>
      <c r="FJ455" s="16"/>
      <c r="FK455" s="16">
        <f t="shared" si="390"/>
        <v>5.61</v>
      </c>
      <c r="FL455" s="16">
        <f t="shared" si="391"/>
        <v>5.72</v>
      </c>
      <c r="FM455" s="15">
        <v>5.61</v>
      </c>
      <c r="FN455" s="15">
        <f t="shared" ref="FN455:FN460" si="442">FM455*0.05</f>
        <v>0.28050000000000003</v>
      </c>
      <c r="FO455" s="15">
        <f>FN455*SQRT(AR455)</f>
        <v>0.48584025152307009</v>
      </c>
      <c r="FP455" s="15">
        <v>5.72</v>
      </c>
      <c r="FQ455" s="15">
        <f t="shared" ref="FQ455:FQ460" si="443">FP455*0.05</f>
        <v>0.28599999999999998</v>
      </c>
      <c r="FR455" s="15">
        <f>FQ455*SQRT(AR455)</f>
        <v>0.49536653096469885</v>
      </c>
      <c r="FS455" s="15">
        <f t="shared" si="394"/>
        <v>1.0196078431372548</v>
      </c>
      <c r="FT455" s="15">
        <f t="shared" si="395"/>
        <v>0.10999999999999943</v>
      </c>
      <c r="FU455" s="15">
        <f t="shared" si="396"/>
        <v>1.9418085857101364E-2</v>
      </c>
      <c r="FV455" s="15">
        <f>((FR455*FR455)/(AR455*FP455*FP455)+(FO455*FO455)/(AR455*FM455*FM455))</f>
        <v>4.9999999999999992E-3</v>
      </c>
      <c r="FX455" s="15">
        <v>17.8</v>
      </c>
      <c r="FY455" s="15">
        <f t="shared" ref="FY455:FY460" si="444">FX455*0.05</f>
        <v>0.89000000000000012</v>
      </c>
      <c r="FZ455" s="15">
        <f>FY455*SQRT(AR455)</f>
        <v>1.5415252187363009</v>
      </c>
      <c r="GA455" s="15">
        <v>25.2</v>
      </c>
      <c r="GB455" s="15">
        <f t="shared" ref="GB455:GB460" si="445">GA455*0.05</f>
        <v>1.26</v>
      </c>
      <c r="GC455" s="15">
        <f>GB455*SQRT(AR455)</f>
        <v>2.1823840175367852</v>
      </c>
      <c r="GD455" s="15">
        <f t="shared" si="421"/>
        <v>1.4157303370786516</v>
      </c>
      <c r="GE455" s="15">
        <f t="shared" si="422"/>
        <v>7.3999999999999986</v>
      </c>
      <c r="GF455" s="15">
        <f t="shared" si="423"/>
        <v>0.34764553721933789</v>
      </c>
      <c r="GG455" s="15">
        <f>((GC455*GC455)/(AR455*GA455*GA455)+(FZ455*FZ455)/(AR455*FX455*FX455))</f>
        <v>4.9999999999999992E-3</v>
      </c>
      <c r="GI455" s="15">
        <v>1.1000000000000001</v>
      </c>
      <c r="GJ455" s="15">
        <f t="shared" ref="GJ455:GJ460" si="446">GI455*0.05</f>
        <v>5.5000000000000007E-2</v>
      </c>
      <c r="GK455" s="15">
        <f>GJ455*SQRT(AR159)</f>
        <v>9.5262794416288252E-2</v>
      </c>
      <c r="GL455" s="15">
        <v>3.4</v>
      </c>
      <c r="GM455" s="15">
        <f t="shared" ref="GM455:GM460" si="447">GL455*0.05</f>
        <v>0.17</v>
      </c>
      <c r="GN455" s="15">
        <f>GM455*SQRT(AR159)</f>
        <v>0.29444863728670917</v>
      </c>
      <c r="GO455" s="15">
        <f t="shared" si="425"/>
        <v>3.0909090909090904</v>
      </c>
      <c r="GP455" s="15">
        <f t="shared" si="426"/>
        <v>2.2999999999999998</v>
      </c>
      <c r="GQ455" s="15">
        <f t="shared" si="427"/>
        <v>1.1284652518177907</v>
      </c>
      <c r="GR455" s="15">
        <f>((GN455*GN455)/(AR159*GL455*GL455)+(GK455*GK455)/(AR159*GI455*GI455))</f>
        <v>4.9999999999999992E-3</v>
      </c>
      <c r="HE455" s="15">
        <v>640</v>
      </c>
      <c r="HF455" s="15">
        <v>240</v>
      </c>
      <c r="HG455" s="15">
        <f>HF455*SQRT(AR174)</f>
        <v>415.69219381653051</v>
      </c>
      <c r="HH455" s="15">
        <v>9963</v>
      </c>
      <c r="HI455" s="15">
        <v>1022</v>
      </c>
      <c r="HJ455" s="15">
        <f>HI455*SQRT(AR174)</f>
        <v>1770.1559253353926</v>
      </c>
      <c r="HK455" s="15">
        <f t="shared" si="431"/>
        <v>15.567187499999999</v>
      </c>
      <c r="HL455" s="15">
        <f t="shared" si="432"/>
        <v>9323</v>
      </c>
      <c r="HM455" s="15">
        <f t="shared" si="433"/>
        <v>2.7451653336911388</v>
      </c>
      <c r="HN455" s="15">
        <f>((HJ455*HJ455)/(AR174*HH455*HH455)+(HG455*HG455)/(AR174*HE455*HE455))</f>
        <v>0.15114756291165998</v>
      </c>
      <c r="HP455" s="15" t="s">
        <v>766</v>
      </c>
      <c r="HV455" s="15">
        <f t="shared" si="434"/>
        <v>109.28303527591949</v>
      </c>
      <c r="HW455" s="15">
        <f t="shared" si="435"/>
        <v>2.7451653336911388</v>
      </c>
      <c r="HX455" s="25">
        <f>DA455</f>
        <v>30000</v>
      </c>
      <c r="HY455" s="25">
        <f>CY455</f>
        <v>10000</v>
      </c>
      <c r="HZ455" s="25">
        <f>CZ455</f>
        <v>12.820512820512821</v>
      </c>
      <c r="IA455" s="25">
        <f>DA455</f>
        <v>30000</v>
      </c>
    </row>
    <row r="456" spans="1:235" x14ac:dyDescent="0.25">
      <c r="A456" s="31">
        <v>454</v>
      </c>
      <c r="B456" s="1">
        <v>80</v>
      </c>
      <c r="C456" s="1">
        <v>92</v>
      </c>
      <c r="D456" s="63" t="s">
        <v>414</v>
      </c>
      <c r="E456" s="1">
        <v>2</v>
      </c>
      <c r="F456" s="15" t="s">
        <v>777</v>
      </c>
      <c r="G456" s="15" t="s">
        <v>1277</v>
      </c>
      <c r="H456" s="15" t="s">
        <v>1278</v>
      </c>
      <c r="I456" s="1">
        <v>2020</v>
      </c>
      <c r="J456" s="15" t="s">
        <v>1279</v>
      </c>
      <c r="K456" s="1" t="s">
        <v>518</v>
      </c>
      <c r="L456" s="15" t="s">
        <v>1280</v>
      </c>
      <c r="M456" s="15" t="s">
        <v>22</v>
      </c>
      <c r="N456" s="15" t="s">
        <v>538</v>
      </c>
      <c r="O456" s="31">
        <v>1</v>
      </c>
      <c r="P456" s="15">
        <v>7.2</v>
      </c>
      <c r="Q456" s="15">
        <v>5.58</v>
      </c>
      <c r="R456" s="15">
        <v>348</v>
      </c>
      <c r="S456" s="15">
        <v>1350</v>
      </c>
      <c r="T456" s="15">
        <v>32</v>
      </c>
      <c r="U456" s="15" t="s">
        <v>549</v>
      </c>
      <c r="V456" s="31">
        <v>1</v>
      </c>
      <c r="W456" s="16" t="s">
        <v>1153</v>
      </c>
      <c r="X456" s="15" t="s">
        <v>1281</v>
      </c>
      <c r="Y456" s="1">
        <v>4</v>
      </c>
      <c r="Z456" s="15">
        <v>5.69</v>
      </c>
      <c r="AA456" s="15" t="s">
        <v>574</v>
      </c>
      <c r="AB456" s="15">
        <f t="shared" si="436"/>
        <v>5.69</v>
      </c>
      <c r="AC456" s="1">
        <v>4</v>
      </c>
      <c r="AD456" s="15">
        <f t="shared" si="437"/>
        <v>20.358000000000001</v>
      </c>
      <c r="AF456" s="15">
        <v>1.1000000000000001</v>
      </c>
      <c r="AJ456" s="15">
        <v>15.7</v>
      </c>
      <c r="AK456" s="15">
        <v>16.2</v>
      </c>
      <c r="AL456" s="15">
        <v>68.099999999999994</v>
      </c>
      <c r="AM456" s="15"/>
      <c r="AN456" s="15">
        <v>1.57</v>
      </c>
      <c r="AO456" s="1">
        <v>3</v>
      </c>
      <c r="AP456" s="15" t="s">
        <v>1282</v>
      </c>
      <c r="AQ456" s="57">
        <v>2</v>
      </c>
      <c r="AR456" s="1">
        <v>3</v>
      </c>
      <c r="CC456" s="15" t="s">
        <v>1283</v>
      </c>
      <c r="CE456" s="15">
        <v>20000</v>
      </c>
      <c r="CF456" s="15">
        <f t="shared" si="438"/>
        <v>20000</v>
      </c>
      <c r="CG456" s="15" t="s">
        <v>766</v>
      </c>
      <c r="CH456" s="15">
        <v>7.61</v>
      </c>
      <c r="CI456" s="15">
        <v>500</v>
      </c>
      <c r="CK456" s="15">
        <v>520</v>
      </c>
      <c r="CL456" s="15">
        <v>6.5</v>
      </c>
      <c r="CN456" s="15">
        <v>0.36</v>
      </c>
      <c r="CW456" s="15">
        <v>0.49</v>
      </c>
      <c r="CY456" s="25">
        <f t="shared" si="439"/>
        <v>20000</v>
      </c>
      <c r="CZ456" s="25">
        <f t="shared" si="440"/>
        <v>25.641025641025642</v>
      </c>
      <c r="DA456" s="25">
        <f t="shared" si="441"/>
        <v>60000</v>
      </c>
      <c r="EW456" s="18"/>
      <c r="EX456" s="18"/>
      <c r="EY456" s="18"/>
      <c r="FK456" s="16">
        <f t="shared" si="390"/>
        <v>5.61</v>
      </c>
      <c r="FL456" s="16">
        <f t="shared" si="391"/>
        <v>5.88</v>
      </c>
      <c r="FM456" s="15">
        <v>5.61</v>
      </c>
      <c r="FN456" s="15">
        <f t="shared" si="442"/>
        <v>0.28050000000000003</v>
      </c>
      <c r="FO456" s="15">
        <f>FN456*SQRT(AR456)</f>
        <v>0.48584025152307009</v>
      </c>
      <c r="FP456" s="15">
        <v>5.88</v>
      </c>
      <c r="FQ456" s="15">
        <f t="shared" si="443"/>
        <v>0.29399999999999998</v>
      </c>
      <c r="FR456" s="15">
        <f>FQ456*SQRT(AR456)</f>
        <v>0.50922293742524982</v>
      </c>
      <c r="FS456" s="15">
        <f t="shared" si="394"/>
        <v>1.0481283422459893</v>
      </c>
      <c r="FT456" s="15">
        <f t="shared" si="395"/>
        <v>0.26999999999999957</v>
      </c>
      <c r="FU456" s="15">
        <f t="shared" si="396"/>
        <v>4.7006042375930424E-2</v>
      </c>
      <c r="FV456" s="15">
        <f>((FR456*FR456)/(AR456*FP456*FP456)+(FO456*FO456)/(AR456*FM456*FM456))</f>
        <v>4.9999999999999975E-3</v>
      </c>
      <c r="FX456" s="15">
        <v>17.8</v>
      </c>
      <c r="FY456" s="15">
        <f t="shared" si="444"/>
        <v>0.89000000000000012</v>
      </c>
      <c r="FZ456" s="15">
        <f>FY456*SQRT(AR456)</f>
        <v>1.5415252187363009</v>
      </c>
      <c r="GA456" s="15">
        <v>27.5</v>
      </c>
      <c r="GB456" s="15">
        <f t="shared" si="445"/>
        <v>1.375</v>
      </c>
      <c r="GC456" s="15">
        <f>GB456*SQRT(AR456)</f>
        <v>2.3815698604072062</v>
      </c>
      <c r="GD456" s="15">
        <f t="shared" si="421"/>
        <v>1.544943820224719</v>
      </c>
      <c r="GE456" s="15">
        <f t="shared" si="422"/>
        <v>9.6999999999999993</v>
      </c>
      <c r="GF456" s="15">
        <f t="shared" si="423"/>
        <v>0.43498754737448619</v>
      </c>
      <c r="GG456" s="15">
        <f>((GC456*GC456)/(AR456*GA456*GA456)+(FZ456*FZ456)/(AR456*FX456*FX456))</f>
        <v>4.9999999999999992E-3</v>
      </c>
      <c r="GI456" s="15">
        <v>1.1000000000000001</v>
      </c>
      <c r="GJ456" s="15">
        <f t="shared" si="446"/>
        <v>5.5000000000000007E-2</v>
      </c>
      <c r="GK456" s="15">
        <f>GJ456*SQRT(AR160)</f>
        <v>9.5262794416288252E-2</v>
      </c>
      <c r="GL456" s="15">
        <v>5.3</v>
      </c>
      <c r="GM456" s="15">
        <f t="shared" si="447"/>
        <v>0.26500000000000001</v>
      </c>
      <c r="GN456" s="15">
        <f>GM456*SQRT(AR160)</f>
        <v>0.45899346400575247</v>
      </c>
      <c r="GO456" s="15">
        <f t="shared" si="425"/>
        <v>4.8181818181818175</v>
      </c>
      <c r="GP456" s="15">
        <f t="shared" si="426"/>
        <v>4.1999999999999993</v>
      </c>
      <c r="GQ456" s="15">
        <f t="shared" si="427"/>
        <v>1.5723966407537511</v>
      </c>
      <c r="GR456" s="15">
        <f>((GN456*GN456)/(AR160*GL456*GL456)+(GK456*GK456)/(AR160*GI456*GI456))</f>
        <v>4.9999999999999992E-3</v>
      </c>
      <c r="GT456" s="15"/>
      <c r="HE456" s="15">
        <v>7874</v>
      </c>
      <c r="HF456" s="15">
        <v>1021</v>
      </c>
      <c r="HG456" s="15">
        <f>HF456*SQRT(AR175)</f>
        <v>1768.4238745278237</v>
      </c>
      <c r="HH456" s="15">
        <v>11692</v>
      </c>
      <c r="HI456" s="15">
        <v>1022</v>
      </c>
      <c r="HJ456" s="15">
        <f>HI456*SQRT(AR175)</f>
        <v>1770.1559253353926</v>
      </c>
      <c r="HK456" s="15">
        <f t="shared" si="431"/>
        <v>1.4848869697739395</v>
      </c>
      <c r="HL456" s="15">
        <f t="shared" si="432"/>
        <v>3818</v>
      </c>
      <c r="HM456" s="15">
        <f t="shared" si="433"/>
        <v>0.39533865472745511</v>
      </c>
      <c r="HN456" s="15">
        <f>((HJ456*HJ456)/(AR175*HH456*HH456)+(HG456*HG456)/(AR175*HE456*HE456))</f>
        <v>2.4454140334160473E-2</v>
      </c>
      <c r="HP456" s="15" t="s">
        <v>766</v>
      </c>
      <c r="HV456" s="15">
        <f t="shared" si="434"/>
        <v>1517.6861478765277</v>
      </c>
      <c r="HW456" s="15">
        <f t="shared" si="435"/>
        <v>0.39533865472745511</v>
      </c>
      <c r="HX456" s="25">
        <f>DA456</f>
        <v>60000</v>
      </c>
      <c r="HY456" s="25">
        <f>CY456</f>
        <v>20000</v>
      </c>
      <c r="HZ456" s="25">
        <f>CZ456</f>
        <v>25.641025641025642</v>
      </c>
      <c r="IA456" s="25">
        <f>DA456</f>
        <v>60000</v>
      </c>
    </row>
    <row r="457" spans="1:235" x14ac:dyDescent="0.25">
      <c r="A457" s="31">
        <v>455</v>
      </c>
      <c r="B457" s="1">
        <v>80</v>
      </c>
      <c r="C457" s="1">
        <v>92</v>
      </c>
      <c r="D457" s="63" t="s">
        <v>415</v>
      </c>
      <c r="E457" s="1">
        <v>2</v>
      </c>
      <c r="F457" s="15" t="s">
        <v>777</v>
      </c>
      <c r="G457" s="15" t="s">
        <v>1277</v>
      </c>
      <c r="H457" s="15" t="s">
        <v>1278</v>
      </c>
      <c r="I457" s="1">
        <v>2020</v>
      </c>
      <c r="J457" s="15" t="s">
        <v>1279</v>
      </c>
      <c r="K457" s="1" t="s">
        <v>518</v>
      </c>
      <c r="L457" s="15" t="s">
        <v>1280</v>
      </c>
      <c r="M457" s="15" t="s">
        <v>22</v>
      </c>
      <c r="N457" s="15" t="s">
        <v>538</v>
      </c>
      <c r="O457" s="31">
        <v>1</v>
      </c>
      <c r="P457" s="15">
        <v>7.2</v>
      </c>
      <c r="Q457" s="15">
        <v>5.58</v>
      </c>
      <c r="R457" s="15">
        <v>348</v>
      </c>
      <c r="S457" s="15">
        <v>1350</v>
      </c>
      <c r="T457" s="15">
        <v>32</v>
      </c>
      <c r="U457" s="15" t="s">
        <v>549</v>
      </c>
      <c r="V457" s="31">
        <v>1</v>
      </c>
      <c r="W457" s="15" t="s">
        <v>1153</v>
      </c>
      <c r="X457" s="15" t="s">
        <v>1281</v>
      </c>
      <c r="Y457" s="1">
        <v>4</v>
      </c>
      <c r="Z457" s="15">
        <v>5.69</v>
      </c>
      <c r="AA457" s="15" t="s">
        <v>574</v>
      </c>
      <c r="AB457" s="15">
        <f t="shared" si="436"/>
        <v>5.69</v>
      </c>
      <c r="AC457" s="1">
        <v>4</v>
      </c>
      <c r="AD457" s="15">
        <f t="shared" si="437"/>
        <v>20.358000000000001</v>
      </c>
      <c r="AF457" s="15">
        <v>1.1000000000000001</v>
      </c>
      <c r="AJ457" s="15">
        <v>15.7</v>
      </c>
      <c r="AK457" s="15">
        <v>16.2</v>
      </c>
      <c r="AL457" s="15">
        <v>68.099999999999994</v>
      </c>
      <c r="AM457" s="15"/>
      <c r="AN457" s="15">
        <v>1.57</v>
      </c>
      <c r="AO457" s="1">
        <v>3</v>
      </c>
      <c r="AP457" s="15" t="s">
        <v>1282</v>
      </c>
      <c r="AQ457" s="57">
        <v>2</v>
      </c>
      <c r="AR457" s="1">
        <v>3</v>
      </c>
      <c r="CC457" s="15" t="s">
        <v>1283</v>
      </c>
      <c r="CE457" s="15">
        <v>30000</v>
      </c>
      <c r="CF457" s="15">
        <f t="shared" si="438"/>
        <v>30000</v>
      </c>
      <c r="CG457" s="15" t="s">
        <v>766</v>
      </c>
      <c r="CH457" s="15">
        <v>7.61</v>
      </c>
      <c r="CI457" s="15">
        <v>500</v>
      </c>
      <c r="CK457" s="15">
        <v>520</v>
      </c>
      <c r="CL457" s="15">
        <v>6.5</v>
      </c>
      <c r="CN457" s="15">
        <v>0.36</v>
      </c>
      <c r="CW457" s="15">
        <v>0.49</v>
      </c>
      <c r="CY457" s="25">
        <f t="shared" si="439"/>
        <v>30000</v>
      </c>
      <c r="CZ457" s="25">
        <f t="shared" si="440"/>
        <v>38.46153846153846</v>
      </c>
      <c r="DA457" s="25">
        <f t="shared" si="441"/>
        <v>90000</v>
      </c>
      <c r="EW457" s="18"/>
      <c r="EX457" s="18"/>
      <c r="EY457" s="18"/>
      <c r="FK457" s="16">
        <f t="shared" si="390"/>
        <v>5.61</v>
      </c>
      <c r="FL457" s="16">
        <f t="shared" si="391"/>
        <v>5.96</v>
      </c>
      <c r="FM457" s="15">
        <v>5.61</v>
      </c>
      <c r="FN457" s="15">
        <f t="shared" si="442"/>
        <v>0.28050000000000003</v>
      </c>
      <c r="FO457" s="15">
        <f>FN457*SQRT(AR457)</f>
        <v>0.48584025152307009</v>
      </c>
      <c r="FP457" s="15">
        <v>5.96</v>
      </c>
      <c r="FQ457" s="15">
        <f t="shared" si="443"/>
        <v>0.29799999999999999</v>
      </c>
      <c r="FR457" s="15">
        <f>FQ457*SQRT(AR457)</f>
        <v>0.51615114065552536</v>
      </c>
      <c r="FS457" s="15">
        <f t="shared" si="394"/>
        <v>1.0623885918003564</v>
      </c>
      <c r="FT457" s="15">
        <f t="shared" si="395"/>
        <v>0.34999999999999964</v>
      </c>
      <c r="FU457" s="15">
        <f t="shared" si="396"/>
        <v>6.0519761542653372E-2</v>
      </c>
      <c r="FV457" s="15">
        <f>((FR457*FR457)/(AR457*FP457*FP457)+(FO457*FO457)/(AR457*FM457*FM457))</f>
        <v>4.9999999999999992E-3</v>
      </c>
      <c r="FX457" s="15">
        <v>17.8</v>
      </c>
      <c r="FY457" s="15">
        <f t="shared" si="444"/>
        <v>0.89000000000000012</v>
      </c>
      <c r="FZ457" s="15">
        <f>FY457*SQRT(AR457)</f>
        <v>1.5415252187363009</v>
      </c>
      <c r="GA457" s="15">
        <v>29.7</v>
      </c>
      <c r="GB457" s="15">
        <f t="shared" si="445"/>
        <v>1.4850000000000001</v>
      </c>
      <c r="GC457" s="15">
        <f>GB457*SQRT(AR457)</f>
        <v>2.5720954492397827</v>
      </c>
      <c r="GD457" s="15">
        <f t="shared" si="421"/>
        <v>1.6685393258426966</v>
      </c>
      <c r="GE457" s="15">
        <f t="shared" si="422"/>
        <v>11.899999999999999</v>
      </c>
      <c r="GF457" s="15">
        <f t="shared" si="423"/>
        <v>0.51194858851061431</v>
      </c>
      <c r="GG457" s="15">
        <f>((GC457*GC457)/(AR457*GA457*GA457)+(FZ457*FZ457)/(AR457*FX457*FX457))</f>
        <v>4.9999999999999992E-3</v>
      </c>
      <c r="GI457" s="15">
        <v>1.1000000000000001</v>
      </c>
      <c r="GJ457" s="15">
        <f t="shared" si="446"/>
        <v>5.5000000000000007E-2</v>
      </c>
      <c r="GK457" s="15">
        <f>GJ457*SQRT(AR161)</f>
        <v>9.5262794416288252E-2</v>
      </c>
      <c r="GL457" s="15">
        <v>7.5</v>
      </c>
      <c r="GM457" s="15">
        <f t="shared" si="447"/>
        <v>0.375</v>
      </c>
      <c r="GN457" s="15">
        <f>GM457*SQRT(AR161)</f>
        <v>0.649519052838329</v>
      </c>
      <c r="GO457" s="15">
        <f t="shared" si="425"/>
        <v>6.8181818181818175</v>
      </c>
      <c r="GP457" s="15">
        <f t="shared" si="426"/>
        <v>6.4</v>
      </c>
      <c r="GQ457" s="15">
        <f t="shared" si="427"/>
        <v>1.9195928407379397</v>
      </c>
      <c r="GR457" s="15">
        <f>((GN457*GN457)/(AR161*GL457*GL457)+(GK457*GK457)/(AR161*GI457*GI457))</f>
        <v>4.9999999999999992E-3</v>
      </c>
      <c r="HE457" s="15">
        <v>7874</v>
      </c>
      <c r="HF457" s="15">
        <v>1021</v>
      </c>
      <c r="HG457" s="15">
        <f>HF457*SQRT(AR176)</f>
        <v>1768.4238745278237</v>
      </c>
      <c r="HH457" s="15">
        <v>12759</v>
      </c>
      <c r="HI457" s="15">
        <v>1053</v>
      </c>
      <c r="HJ457" s="15">
        <f>HI457*SQRT(AR176)</f>
        <v>1823.8495003700277</v>
      </c>
      <c r="HK457" s="15">
        <f t="shared" si="431"/>
        <v>1.6203962407924817</v>
      </c>
      <c r="HL457" s="15">
        <f t="shared" si="432"/>
        <v>4885</v>
      </c>
      <c r="HM457" s="15">
        <f t="shared" si="433"/>
        <v>0.48267071241806114</v>
      </c>
      <c r="HN457" s="15">
        <f>((HJ457*HJ457)/(AR176*HH457*HH457)+(HG457*HG457)/(AR176*HE457*HE457))</f>
        <v>2.3624795550403123E-2</v>
      </c>
      <c r="HP457" s="15" t="s">
        <v>766</v>
      </c>
      <c r="HV457" s="15">
        <f t="shared" si="434"/>
        <v>1864.6252545368293</v>
      </c>
      <c r="HW457" s="15">
        <f t="shared" si="435"/>
        <v>0.48267071241806114</v>
      </c>
      <c r="HX457" s="25">
        <f>DA457</f>
        <v>90000</v>
      </c>
      <c r="HY457" s="25">
        <f>CY457</f>
        <v>30000</v>
      </c>
      <c r="HZ457" s="25">
        <f>CZ457</f>
        <v>38.46153846153846</v>
      </c>
      <c r="IA457" s="25">
        <f>DA457</f>
        <v>90000</v>
      </c>
    </row>
    <row r="458" spans="1:235" x14ac:dyDescent="0.25">
      <c r="A458" s="31">
        <v>456</v>
      </c>
      <c r="B458" s="1">
        <v>80</v>
      </c>
      <c r="C458" s="1">
        <v>92</v>
      </c>
      <c r="D458" s="63" t="s">
        <v>416</v>
      </c>
      <c r="E458" s="1">
        <v>2</v>
      </c>
      <c r="F458" s="15" t="s">
        <v>777</v>
      </c>
      <c r="G458" s="15" t="s">
        <v>1277</v>
      </c>
      <c r="H458" s="15" t="s">
        <v>1278</v>
      </c>
      <c r="I458" s="1">
        <v>2020</v>
      </c>
      <c r="J458" s="15" t="s">
        <v>1279</v>
      </c>
      <c r="K458" s="1" t="s">
        <v>518</v>
      </c>
      <c r="L458" s="15" t="s">
        <v>1280</v>
      </c>
      <c r="M458" s="15" t="s">
        <v>22</v>
      </c>
      <c r="N458" s="15" t="s">
        <v>538</v>
      </c>
      <c r="O458" s="31">
        <v>1</v>
      </c>
      <c r="P458" s="15">
        <v>7.2</v>
      </c>
      <c r="Q458" s="15">
        <v>5.58</v>
      </c>
      <c r="R458" s="15">
        <v>348</v>
      </c>
      <c r="S458" s="15">
        <v>1350</v>
      </c>
      <c r="T458" s="15">
        <v>32</v>
      </c>
      <c r="U458" s="15" t="s">
        <v>549</v>
      </c>
      <c r="V458" s="31">
        <v>1</v>
      </c>
      <c r="W458" s="15" t="s">
        <v>1153</v>
      </c>
      <c r="X458" s="15" t="s">
        <v>1281</v>
      </c>
      <c r="Y458" s="1">
        <v>4</v>
      </c>
      <c r="Z458" s="15">
        <v>5.69</v>
      </c>
      <c r="AA458" s="15" t="s">
        <v>574</v>
      </c>
      <c r="AB458" s="15">
        <f t="shared" si="436"/>
        <v>5.69</v>
      </c>
      <c r="AC458" s="1">
        <v>4</v>
      </c>
      <c r="AD458" s="15">
        <f t="shared" si="437"/>
        <v>20.358000000000001</v>
      </c>
      <c r="AF458" s="15">
        <v>1.1000000000000001</v>
      </c>
      <c r="AJ458" s="15">
        <v>15.7</v>
      </c>
      <c r="AK458" s="15">
        <v>16.2</v>
      </c>
      <c r="AL458" s="15">
        <v>68.099999999999994</v>
      </c>
      <c r="AM458" s="15"/>
      <c r="AN458" s="15">
        <v>1.57</v>
      </c>
      <c r="AO458" s="1">
        <v>3</v>
      </c>
      <c r="AP458" s="15" t="s">
        <v>1282</v>
      </c>
      <c r="AQ458" s="57">
        <v>2</v>
      </c>
      <c r="AR458" s="1">
        <v>3</v>
      </c>
      <c r="CC458" s="15" t="s">
        <v>1283</v>
      </c>
      <c r="CE458" s="15">
        <v>10000</v>
      </c>
      <c r="CF458" s="15">
        <f t="shared" si="438"/>
        <v>10000</v>
      </c>
      <c r="CG458" s="15" t="s">
        <v>766</v>
      </c>
      <c r="CH458" s="15">
        <v>7.61</v>
      </c>
      <c r="CI458" s="15">
        <v>500</v>
      </c>
      <c r="CK458" s="15">
        <v>520</v>
      </c>
      <c r="CL458" s="15">
        <v>6.5</v>
      </c>
      <c r="CN458" s="15">
        <v>0.36</v>
      </c>
      <c r="CW458" s="15">
        <v>0.49</v>
      </c>
      <c r="CY458" s="25">
        <f t="shared" si="439"/>
        <v>10000</v>
      </c>
      <c r="CZ458" s="25">
        <f t="shared" si="440"/>
        <v>12.820512820512821</v>
      </c>
      <c r="DA458" s="25">
        <f t="shared" si="441"/>
        <v>30000</v>
      </c>
      <c r="EW458" s="18"/>
      <c r="EX458" s="18"/>
      <c r="EY458" s="18"/>
      <c r="FK458" s="16">
        <f t="shared" si="390"/>
        <v>5.6</v>
      </c>
      <c r="FL458" s="16">
        <f t="shared" si="391"/>
        <v>5.83</v>
      </c>
      <c r="FM458" s="15">
        <v>5.6</v>
      </c>
      <c r="FN458" s="15">
        <f t="shared" si="442"/>
        <v>0.27999999999999997</v>
      </c>
      <c r="FO458" s="15">
        <f>FN458*SQRT(AR458)</f>
        <v>0.48497422611928559</v>
      </c>
      <c r="FP458" s="15">
        <v>5.83</v>
      </c>
      <c r="FQ458" s="15">
        <f t="shared" si="443"/>
        <v>0.29150000000000004</v>
      </c>
      <c r="FR458" s="15">
        <f>FQ458*SQRT(AR458)</f>
        <v>0.50489281040632772</v>
      </c>
      <c r="FS458" s="15">
        <f t="shared" si="394"/>
        <v>1.0410714285714286</v>
      </c>
      <c r="FT458" s="15">
        <f t="shared" si="395"/>
        <v>0.23000000000000043</v>
      </c>
      <c r="FU458" s="15">
        <f t="shared" si="396"/>
        <v>4.0250402621297532E-2</v>
      </c>
      <c r="FV458" s="15">
        <f>((FR458*FR458)/(AR458*FP458*FP458)+(FO458*FO458)/(AR458*FM458*FM458))</f>
        <v>4.9999999999999992E-3</v>
      </c>
      <c r="FX458" s="15">
        <v>17</v>
      </c>
      <c r="FY458" s="15">
        <f t="shared" si="444"/>
        <v>0.85000000000000009</v>
      </c>
      <c r="FZ458" s="15">
        <f>FY458*SQRT(AR458)</f>
        <v>1.4722431864335457</v>
      </c>
      <c r="GA458" s="15">
        <v>27</v>
      </c>
      <c r="GB458" s="15">
        <f t="shared" si="445"/>
        <v>1.35</v>
      </c>
      <c r="GC458" s="15">
        <f>GB458*SQRT(AR458)</f>
        <v>2.3382685902179845</v>
      </c>
      <c r="GD458" s="15">
        <f t="shared" si="421"/>
        <v>1.588235294117647</v>
      </c>
      <c r="GE458" s="15">
        <f t="shared" si="422"/>
        <v>10</v>
      </c>
      <c r="GF458" s="15">
        <f t="shared" si="423"/>
        <v>0.46262352194811296</v>
      </c>
      <c r="GG458" s="15">
        <f>((GC458*GC458)/(AR458*GA458*GA458)+(FZ458*FZ458)/(AR458*FX458*FX458))</f>
        <v>5.000000000000001E-3</v>
      </c>
      <c r="GI458" s="15">
        <v>1</v>
      </c>
      <c r="GJ458" s="15">
        <f t="shared" si="446"/>
        <v>0.05</v>
      </c>
      <c r="GK458" s="15">
        <f>GJ458*SQRT(AR162)</f>
        <v>8.6602540378443865E-2</v>
      </c>
      <c r="GL458" s="15">
        <v>5.6</v>
      </c>
      <c r="GM458" s="15">
        <f t="shared" si="447"/>
        <v>0.27999999999999997</v>
      </c>
      <c r="GN458" s="15">
        <f>GM458*SQRT(AR162)</f>
        <v>0.48497422611928559</v>
      </c>
      <c r="GO458" s="15">
        <f t="shared" si="425"/>
        <v>5.6</v>
      </c>
      <c r="GP458" s="15">
        <f t="shared" si="426"/>
        <v>4.5999999999999996</v>
      </c>
      <c r="GQ458" s="15">
        <f t="shared" si="427"/>
        <v>1.7227665977411035</v>
      </c>
      <c r="GR458" s="15">
        <f>((GN458*GN458)/(AR162*GL458*GL458)+(GK458*GK458)/(AR162*GI458*GI458))</f>
        <v>4.9999999999999992E-3</v>
      </c>
      <c r="HE458" s="15">
        <v>6967</v>
      </c>
      <c r="HF458" s="15">
        <v>1400</v>
      </c>
      <c r="HG458" s="15">
        <f>HF458*SQRT(AR177)</f>
        <v>2424.871130596428</v>
      </c>
      <c r="HH458" s="15">
        <v>10921</v>
      </c>
      <c r="HI458" s="15">
        <v>1201</v>
      </c>
      <c r="HJ458" s="15">
        <f>HI458*SQRT(AR177)</f>
        <v>2080.1930198902214</v>
      </c>
      <c r="HK458" s="15">
        <f t="shared" si="431"/>
        <v>1.567532653940003</v>
      </c>
      <c r="HL458" s="15">
        <f t="shared" si="432"/>
        <v>3954</v>
      </c>
      <c r="HM458" s="15">
        <f t="shared" si="433"/>
        <v>0.44950282516760964</v>
      </c>
      <c r="HN458" s="15">
        <f>((HJ458*HJ458)/(AR177*HH458*HH458)+(HG458*HG458)/(AR177*HE458*HE458))</f>
        <v>5.2473582615255046E-2</v>
      </c>
      <c r="HP458" s="15" t="s">
        <v>766</v>
      </c>
      <c r="HV458" s="15">
        <f t="shared" si="434"/>
        <v>667.40403664456755</v>
      </c>
      <c r="HW458" s="15">
        <f t="shared" si="435"/>
        <v>0.44950282516760964</v>
      </c>
      <c r="HX458" s="25">
        <f>DA458</f>
        <v>30000</v>
      </c>
      <c r="HY458" s="25">
        <f>CY458</f>
        <v>10000</v>
      </c>
      <c r="HZ458" s="25">
        <f>CZ458</f>
        <v>12.820512820512821</v>
      </c>
      <c r="IA458" s="25">
        <f>DA458</f>
        <v>30000</v>
      </c>
    </row>
    <row r="459" spans="1:235" x14ac:dyDescent="0.25">
      <c r="A459" s="31">
        <v>457</v>
      </c>
      <c r="B459" s="1">
        <v>80</v>
      </c>
      <c r="C459" s="1">
        <v>92</v>
      </c>
      <c r="D459" s="63" t="s">
        <v>417</v>
      </c>
      <c r="E459" s="1">
        <v>2</v>
      </c>
      <c r="F459" s="15" t="s">
        <v>777</v>
      </c>
      <c r="G459" s="15" t="s">
        <v>1277</v>
      </c>
      <c r="H459" s="15" t="s">
        <v>1278</v>
      </c>
      <c r="I459" s="1">
        <v>2020</v>
      </c>
      <c r="J459" s="15" t="s">
        <v>1279</v>
      </c>
      <c r="K459" s="1" t="s">
        <v>518</v>
      </c>
      <c r="L459" s="15" t="s">
        <v>1280</v>
      </c>
      <c r="M459" s="15" t="s">
        <v>22</v>
      </c>
      <c r="N459" s="15" t="s">
        <v>538</v>
      </c>
      <c r="O459" s="31">
        <v>1</v>
      </c>
      <c r="P459" s="15">
        <v>7.2</v>
      </c>
      <c r="Q459" s="15">
        <v>5.58</v>
      </c>
      <c r="R459" s="15">
        <v>348</v>
      </c>
      <c r="S459" s="15">
        <v>1350</v>
      </c>
      <c r="T459" s="15">
        <v>32</v>
      </c>
      <c r="U459" s="15" t="s">
        <v>549</v>
      </c>
      <c r="V459" s="31">
        <v>1</v>
      </c>
      <c r="W459" s="15" t="s">
        <v>1153</v>
      </c>
      <c r="X459" s="15" t="s">
        <v>1281</v>
      </c>
      <c r="Y459" s="1">
        <v>4</v>
      </c>
      <c r="Z459" s="15">
        <v>5.69</v>
      </c>
      <c r="AA459" s="15" t="s">
        <v>574</v>
      </c>
      <c r="AB459" s="15">
        <f t="shared" si="436"/>
        <v>5.69</v>
      </c>
      <c r="AC459" s="1">
        <v>4</v>
      </c>
      <c r="AD459" s="15">
        <f t="shared" si="437"/>
        <v>20.358000000000001</v>
      </c>
      <c r="AF459" s="15">
        <v>1.1000000000000001</v>
      </c>
      <c r="AJ459" s="15">
        <v>15.7</v>
      </c>
      <c r="AK459" s="15">
        <v>16.2</v>
      </c>
      <c r="AL459" s="15">
        <v>68.099999999999994</v>
      </c>
      <c r="AM459" s="15"/>
      <c r="AN459" s="15">
        <v>1.57</v>
      </c>
      <c r="AO459" s="1">
        <v>3</v>
      </c>
      <c r="AP459" s="15" t="s">
        <v>1282</v>
      </c>
      <c r="AQ459" s="57">
        <v>2</v>
      </c>
      <c r="AR459" s="1">
        <v>3</v>
      </c>
      <c r="CC459" s="15" t="s">
        <v>1283</v>
      </c>
      <c r="CE459" s="15">
        <v>20000</v>
      </c>
      <c r="CF459" s="15">
        <f t="shared" si="438"/>
        <v>20000</v>
      </c>
      <c r="CG459" s="15" t="s">
        <v>766</v>
      </c>
      <c r="CH459" s="15">
        <v>7.61</v>
      </c>
      <c r="CI459" s="15">
        <v>500</v>
      </c>
      <c r="CK459" s="15">
        <v>520</v>
      </c>
      <c r="CL459" s="15">
        <v>6.5</v>
      </c>
      <c r="CN459" s="15">
        <v>0.36</v>
      </c>
      <c r="CW459" s="15">
        <v>0.49</v>
      </c>
      <c r="CY459" s="25">
        <f t="shared" si="439"/>
        <v>20000</v>
      </c>
      <c r="CZ459" s="25">
        <f t="shared" si="440"/>
        <v>25.641025641025642</v>
      </c>
      <c r="DA459" s="25">
        <f t="shared" si="441"/>
        <v>60000</v>
      </c>
      <c r="EW459" s="18"/>
      <c r="EX459" s="18"/>
      <c r="EY459" s="18"/>
      <c r="FK459" s="16">
        <f t="shared" si="390"/>
        <v>5.6</v>
      </c>
      <c r="FL459" s="16">
        <f t="shared" si="391"/>
        <v>6.1</v>
      </c>
      <c r="FM459" s="15">
        <v>5.6</v>
      </c>
      <c r="FN459" s="15">
        <f t="shared" si="442"/>
        <v>0.27999999999999997</v>
      </c>
      <c r="FO459" s="15">
        <f>FN459*SQRT(AR459)</f>
        <v>0.48497422611928559</v>
      </c>
      <c r="FP459" s="15">
        <v>6.1</v>
      </c>
      <c r="FQ459" s="15">
        <f t="shared" si="443"/>
        <v>0.30499999999999999</v>
      </c>
      <c r="FR459" s="15">
        <f>FQ459*SQRT(AR459)</f>
        <v>0.52827549630850756</v>
      </c>
      <c r="FS459" s="15">
        <f t="shared" si="394"/>
        <v>1.0892857142857142</v>
      </c>
      <c r="FT459" s="15">
        <f t="shared" si="395"/>
        <v>0.5</v>
      </c>
      <c r="FU459" s="15">
        <f t="shared" si="396"/>
        <v>8.552217343816193E-2</v>
      </c>
      <c r="FV459" s="15">
        <f>((FR459*FR459)/(AR459*FP459*FP459)+(FO459*FO459)/(AR459*FM459*FM459))</f>
        <v>4.9999999999999992E-3</v>
      </c>
      <c r="FX459" s="15">
        <v>17</v>
      </c>
      <c r="FY459" s="15">
        <f t="shared" si="444"/>
        <v>0.85000000000000009</v>
      </c>
      <c r="FZ459" s="15">
        <f>FY459*SQRT(AR459)</f>
        <v>1.4722431864335457</v>
      </c>
      <c r="GA459" s="15">
        <v>28.9</v>
      </c>
      <c r="GB459" s="15">
        <f t="shared" si="445"/>
        <v>1.4450000000000001</v>
      </c>
      <c r="GC459" s="15">
        <f>GB459*SQRT(AR459)</f>
        <v>2.5028134169370277</v>
      </c>
      <c r="GD459" s="15">
        <f t="shared" si="421"/>
        <v>1.7</v>
      </c>
      <c r="GE459" s="15">
        <f t="shared" si="422"/>
        <v>11.899999999999999</v>
      </c>
      <c r="GF459" s="15">
        <f t="shared" si="423"/>
        <v>0.53062825106217026</v>
      </c>
      <c r="GG459" s="15">
        <f>((GC459*GC459)/(AR459*GA459*GA459)+(FZ459*FZ459)/(AR459*FX459*FX459))</f>
        <v>5.000000000000001E-3</v>
      </c>
      <c r="GI459" s="15">
        <v>1</v>
      </c>
      <c r="GJ459" s="15">
        <f t="shared" si="446"/>
        <v>0.05</v>
      </c>
      <c r="GK459" s="15">
        <f>GJ459*SQRT(AR163)</f>
        <v>8.6602540378443865E-2</v>
      </c>
      <c r="GL459" s="15">
        <v>8.5</v>
      </c>
      <c r="GM459" s="15">
        <f t="shared" si="447"/>
        <v>0.42500000000000004</v>
      </c>
      <c r="GN459" s="15">
        <f>GM459*SQRT(AR163)</f>
        <v>0.73612159321677284</v>
      </c>
      <c r="GO459" s="15">
        <f t="shared" si="425"/>
        <v>8.5</v>
      </c>
      <c r="GP459" s="15">
        <f t="shared" si="426"/>
        <v>7.5</v>
      </c>
      <c r="GQ459" s="15">
        <f t="shared" si="427"/>
        <v>2.1400661634962708</v>
      </c>
      <c r="GR459" s="15">
        <f>((GN459*GN459)/(AR163*GL459*GL459)+(GK459*GK459)/(AR163*GI459*GI459))</f>
        <v>5.0000000000000001E-3</v>
      </c>
      <c r="HE459" s="15">
        <v>6967</v>
      </c>
      <c r="HF459" s="15">
        <v>1400</v>
      </c>
      <c r="HG459" s="15">
        <f>HF459*SQRT(AR178)</f>
        <v>2424.871130596428</v>
      </c>
      <c r="HH459" s="15">
        <v>12529</v>
      </c>
      <c r="HI459" s="15">
        <v>1139</v>
      </c>
      <c r="HJ459" s="15">
        <f>HI459*SQRT(AR178)</f>
        <v>1972.8058698209511</v>
      </c>
      <c r="HK459" s="15">
        <f t="shared" si="431"/>
        <v>1.7983350078943592</v>
      </c>
      <c r="HL459" s="15">
        <f t="shared" si="432"/>
        <v>5562</v>
      </c>
      <c r="HM459" s="15">
        <f t="shared" si="433"/>
        <v>0.58686124121543415</v>
      </c>
      <c r="HN459" s="15">
        <f>((HJ459*HJ459)/(AR178*HH459*HH459)+(HG459*HG459)/(AR178*HE459*HE459))</f>
        <v>4.8644289468798403E-2</v>
      </c>
      <c r="HP459" s="15" t="s">
        <v>766</v>
      </c>
      <c r="HV459" s="15">
        <f t="shared" si="434"/>
        <v>1022.3881862727117</v>
      </c>
      <c r="HW459" s="15">
        <f t="shared" si="435"/>
        <v>0.58686124121543415</v>
      </c>
      <c r="HX459" s="25">
        <f>DA459</f>
        <v>60000</v>
      </c>
      <c r="HY459" s="25">
        <f>CY459</f>
        <v>20000</v>
      </c>
      <c r="HZ459" s="25">
        <f>CZ459</f>
        <v>25.641025641025642</v>
      </c>
      <c r="IA459" s="25">
        <f>DA459</f>
        <v>60000</v>
      </c>
    </row>
    <row r="460" spans="1:235" x14ac:dyDescent="0.25">
      <c r="A460" s="31">
        <v>458</v>
      </c>
      <c r="B460" s="1">
        <v>80</v>
      </c>
      <c r="C460" s="1">
        <v>92</v>
      </c>
      <c r="D460" s="63" t="s">
        <v>418</v>
      </c>
      <c r="E460" s="1">
        <v>2</v>
      </c>
      <c r="F460" s="15" t="s">
        <v>777</v>
      </c>
      <c r="G460" s="15" t="s">
        <v>1277</v>
      </c>
      <c r="H460" s="15" t="s">
        <v>1278</v>
      </c>
      <c r="I460" s="1">
        <v>2020</v>
      </c>
      <c r="J460" s="15" t="s">
        <v>1279</v>
      </c>
      <c r="K460" s="1" t="s">
        <v>518</v>
      </c>
      <c r="L460" s="15" t="s">
        <v>1280</v>
      </c>
      <c r="M460" s="15" t="s">
        <v>22</v>
      </c>
      <c r="N460" s="15" t="s">
        <v>538</v>
      </c>
      <c r="O460" s="31">
        <v>1</v>
      </c>
      <c r="P460" s="15">
        <v>7.2</v>
      </c>
      <c r="Q460" s="15">
        <v>5.58</v>
      </c>
      <c r="R460" s="15">
        <v>348</v>
      </c>
      <c r="S460" s="15">
        <v>1350</v>
      </c>
      <c r="T460" s="15">
        <v>32</v>
      </c>
      <c r="U460" s="15" t="s">
        <v>549</v>
      </c>
      <c r="V460" s="31">
        <v>1</v>
      </c>
      <c r="W460" s="15" t="s">
        <v>1153</v>
      </c>
      <c r="X460" s="15" t="s">
        <v>1281</v>
      </c>
      <c r="Y460" s="1">
        <v>4</v>
      </c>
      <c r="Z460" s="15">
        <v>5.69</v>
      </c>
      <c r="AA460" s="15" t="s">
        <v>574</v>
      </c>
      <c r="AB460" s="15">
        <f t="shared" si="436"/>
        <v>5.69</v>
      </c>
      <c r="AC460" s="1">
        <v>4</v>
      </c>
      <c r="AD460" s="15">
        <f t="shared" si="437"/>
        <v>20.358000000000001</v>
      </c>
      <c r="AF460" s="15">
        <v>1.1000000000000001</v>
      </c>
      <c r="AJ460" s="15">
        <v>15.7</v>
      </c>
      <c r="AK460" s="15">
        <v>16.2</v>
      </c>
      <c r="AL460" s="15">
        <v>68.099999999999994</v>
      </c>
      <c r="AM460" s="15"/>
      <c r="AN460" s="15">
        <v>1.57</v>
      </c>
      <c r="AO460" s="1">
        <v>3</v>
      </c>
      <c r="AP460" s="15" t="s">
        <v>1282</v>
      </c>
      <c r="AQ460" s="57">
        <v>2</v>
      </c>
      <c r="AR460" s="1">
        <v>3</v>
      </c>
      <c r="CC460" s="15" t="s">
        <v>1283</v>
      </c>
      <c r="CE460" s="15">
        <v>30000</v>
      </c>
      <c r="CF460" s="15">
        <f t="shared" si="438"/>
        <v>30000</v>
      </c>
      <c r="CG460" s="15" t="s">
        <v>766</v>
      </c>
      <c r="CH460" s="15">
        <v>7.61</v>
      </c>
      <c r="CI460" s="15">
        <v>500</v>
      </c>
      <c r="CK460" s="15">
        <v>520</v>
      </c>
      <c r="CL460" s="15">
        <v>6.5</v>
      </c>
      <c r="CN460" s="15">
        <v>0.36</v>
      </c>
      <c r="CW460" s="15">
        <v>0.49</v>
      </c>
      <c r="CY460" s="25">
        <f t="shared" si="439"/>
        <v>30000</v>
      </c>
      <c r="CZ460" s="25">
        <f t="shared" si="440"/>
        <v>38.46153846153846</v>
      </c>
      <c r="DA460" s="25">
        <f t="shared" si="441"/>
        <v>90000</v>
      </c>
      <c r="EW460" s="18"/>
      <c r="EX460" s="18"/>
      <c r="EY460" s="18"/>
      <c r="EZ460" s="21"/>
      <c r="FA460" s="21"/>
      <c r="FB460" s="15"/>
      <c r="FC460" s="21"/>
      <c r="FD460" s="21"/>
      <c r="FE460" s="15"/>
      <c r="FF460" s="21"/>
      <c r="FG460" s="21"/>
      <c r="FH460" s="15"/>
      <c r="FI460" s="15"/>
      <c r="FJ460" s="15"/>
      <c r="FK460" s="16">
        <f t="shared" si="390"/>
        <v>5.6</v>
      </c>
      <c r="FL460" s="16">
        <f t="shared" si="391"/>
        <v>6.31</v>
      </c>
      <c r="FM460" s="15">
        <v>5.6</v>
      </c>
      <c r="FN460" s="15">
        <f t="shared" si="442"/>
        <v>0.27999999999999997</v>
      </c>
      <c r="FO460" s="15">
        <f>FN460*SQRT(AR460)</f>
        <v>0.48497422611928559</v>
      </c>
      <c r="FP460" s="15">
        <v>6.31</v>
      </c>
      <c r="FQ460" s="15">
        <f t="shared" si="443"/>
        <v>0.3155</v>
      </c>
      <c r="FR460" s="15">
        <f>FQ460*SQRT(AR460)</f>
        <v>0.54646202978798075</v>
      </c>
      <c r="FS460" s="15">
        <f t="shared" si="394"/>
        <v>1.1267857142857143</v>
      </c>
      <c r="FT460" s="15">
        <f t="shared" si="395"/>
        <v>0.71</v>
      </c>
      <c r="FU460" s="15">
        <f t="shared" si="396"/>
        <v>0.1193690788120183</v>
      </c>
      <c r="FV460" s="15">
        <f>((FR460*FR460)/(AR460*FP460*FP460)+(FO460*FO460)/(AR460*FM460*FM460))</f>
        <v>4.9999999999999992E-3</v>
      </c>
      <c r="FX460" s="15">
        <v>17</v>
      </c>
      <c r="FY460" s="15">
        <f t="shared" si="444"/>
        <v>0.85000000000000009</v>
      </c>
      <c r="FZ460" s="15">
        <f>FY460*SQRT(AR460)</f>
        <v>1.4722431864335457</v>
      </c>
      <c r="GA460" s="15">
        <v>31.8</v>
      </c>
      <c r="GB460" s="15">
        <f t="shared" si="445"/>
        <v>1.59</v>
      </c>
      <c r="GC460" s="15">
        <f>GB460*SQRT(AR460)</f>
        <v>2.7539607840345148</v>
      </c>
      <c r="GD460" s="15">
        <f t="shared" si="421"/>
        <v>1.8705882352941177</v>
      </c>
      <c r="GE460" s="15">
        <f t="shared" si="422"/>
        <v>14.8</v>
      </c>
      <c r="GF460" s="15">
        <f t="shared" si="423"/>
        <v>0.62625294572991486</v>
      </c>
      <c r="GG460" s="15">
        <f>((GC460*GC460)/(AR460*GA460*GA460)+(FZ460*FZ460)/(AR460*FX460*FX460))</f>
        <v>4.9999999999999992E-3</v>
      </c>
      <c r="GI460" s="15">
        <v>1</v>
      </c>
      <c r="GJ460" s="15">
        <f t="shared" si="446"/>
        <v>0.05</v>
      </c>
      <c r="GK460" s="15">
        <f>GJ460*SQRT(AR164)</f>
        <v>8.6602540378443865E-2</v>
      </c>
      <c r="GL460" s="15">
        <v>12.9</v>
      </c>
      <c r="GM460" s="15">
        <f t="shared" si="447"/>
        <v>0.64500000000000002</v>
      </c>
      <c r="GN460" s="15">
        <f>GM460*SQRT(AR164)</f>
        <v>1.1171727708819259</v>
      </c>
      <c r="GO460" s="15">
        <f t="shared" si="425"/>
        <v>12.9</v>
      </c>
      <c r="GP460" s="15">
        <f t="shared" si="426"/>
        <v>11.9</v>
      </c>
      <c r="GQ460" s="15">
        <f t="shared" si="427"/>
        <v>2.5572273113676265</v>
      </c>
      <c r="GR460" s="15">
        <f>((GN460*GN460)/(AR164*GL460*GL460)+(GK460*GK460)/(AR164*GI460*GI460))</f>
        <v>4.9999999999999992E-3</v>
      </c>
      <c r="HE460" s="15">
        <v>6967</v>
      </c>
      <c r="HF460" s="15">
        <v>1400</v>
      </c>
      <c r="HG460" s="15">
        <f>HF460*SQRT(AR179)</f>
        <v>2424.871130596428</v>
      </c>
      <c r="HH460" s="15">
        <v>13416</v>
      </c>
      <c r="HI460" s="15">
        <v>1140</v>
      </c>
      <c r="HJ460" s="15">
        <f>HI460*SQRT(AR179)</f>
        <v>1974.5379206285199</v>
      </c>
      <c r="HK460" s="15">
        <f t="shared" si="431"/>
        <v>1.9256494904550021</v>
      </c>
      <c r="HL460" s="15">
        <f t="shared" si="432"/>
        <v>6449</v>
      </c>
      <c r="HM460" s="15">
        <f t="shared" si="433"/>
        <v>0.65526330847292691</v>
      </c>
      <c r="HN460" s="15">
        <f>((HJ460*HJ460)/(AR179*HH460*HH460)+(HG460*HG460)/(AR179*HE460*HE460))</f>
        <v>4.7600265661572411E-2</v>
      </c>
      <c r="HP460" s="15" t="s">
        <v>766</v>
      </c>
      <c r="HV460" s="15">
        <f t="shared" si="434"/>
        <v>1373.4936602774621</v>
      </c>
      <c r="HW460" s="15">
        <f t="shared" si="435"/>
        <v>0.65526330847292691</v>
      </c>
      <c r="HX460" s="25">
        <f>DA460</f>
        <v>90000</v>
      </c>
      <c r="HY460" s="25">
        <f>CY460</f>
        <v>30000</v>
      </c>
      <c r="HZ460" s="25">
        <f>CZ460</f>
        <v>38.46153846153846</v>
      </c>
      <c r="IA460" s="25">
        <f>DA460</f>
        <v>90000</v>
      </c>
    </row>
    <row r="461" spans="1:235" s="15" customFormat="1" x14ac:dyDescent="0.25">
      <c r="A461" s="31">
        <v>459</v>
      </c>
      <c r="B461" s="1">
        <v>81</v>
      </c>
      <c r="C461" s="1">
        <v>93</v>
      </c>
      <c r="D461" s="63" t="s">
        <v>419</v>
      </c>
      <c r="E461" s="1">
        <v>5</v>
      </c>
      <c r="F461" s="15" t="s">
        <v>798</v>
      </c>
      <c r="G461" s="15" t="s">
        <v>2369</v>
      </c>
      <c r="H461" s="15" t="s">
        <v>839</v>
      </c>
      <c r="I461" s="1">
        <v>2020</v>
      </c>
      <c r="J461" s="15" t="s">
        <v>1290</v>
      </c>
      <c r="K461" s="1" t="s">
        <v>518</v>
      </c>
      <c r="L461" s="15" t="s">
        <v>2370</v>
      </c>
      <c r="M461" s="15" t="s">
        <v>73</v>
      </c>
      <c r="N461" s="15" t="s">
        <v>520</v>
      </c>
      <c r="O461" s="31">
        <v>2</v>
      </c>
      <c r="P461" s="15">
        <v>34.450000000000003</v>
      </c>
      <c r="Q461" s="15">
        <v>117.48</v>
      </c>
      <c r="U461" s="15" t="s">
        <v>549</v>
      </c>
      <c r="V461" s="31">
        <v>1</v>
      </c>
      <c r="W461" s="15" t="s">
        <v>1153</v>
      </c>
      <c r="X461" s="15" t="s">
        <v>2371</v>
      </c>
      <c r="Y461" s="1">
        <v>4</v>
      </c>
      <c r="Z461" s="15">
        <v>7.54</v>
      </c>
      <c r="AA461" s="15" t="s">
        <v>574</v>
      </c>
      <c r="AB461" s="15">
        <f t="shared" si="436"/>
        <v>7.54</v>
      </c>
      <c r="AC461" s="60">
        <v>6</v>
      </c>
      <c r="AD461" s="15">
        <v>16.2</v>
      </c>
      <c r="AL461" s="15" t="s">
        <v>544</v>
      </c>
      <c r="AM461" s="1">
        <v>3</v>
      </c>
      <c r="AP461" s="15" t="s">
        <v>1291</v>
      </c>
      <c r="AQ461" s="1">
        <v>5</v>
      </c>
      <c r="AR461" s="1">
        <v>3</v>
      </c>
      <c r="BP461" s="16"/>
      <c r="BQ461" s="16"/>
      <c r="BR461" s="16"/>
      <c r="BU461" s="16"/>
      <c r="DB461" s="15" t="s">
        <v>717</v>
      </c>
      <c r="DD461" s="15" t="s">
        <v>2372</v>
      </c>
      <c r="DE461" s="15">
        <f>15570*1.39/2</f>
        <v>10821.15</v>
      </c>
      <c r="DF461" s="15" t="s">
        <v>766</v>
      </c>
      <c r="DS461" s="15">
        <f>DE461</f>
        <v>10821.15</v>
      </c>
      <c r="DT461" s="15">
        <f t="shared" ref="DT461:DT467" si="448">DS461/0.6/1000</f>
        <v>18.035250000000001</v>
      </c>
      <c r="DU461" s="15">
        <f t="shared" ref="DU461:DU467" si="449">DS461*0.2</f>
        <v>2164.23</v>
      </c>
      <c r="EZ461" s="21"/>
      <c r="FA461" s="21"/>
      <c r="FC461" s="21"/>
      <c r="FD461" s="21"/>
      <c r="FF461" s="21"/>
      <c r="FG461" s="21"/>
      <c r="FK461" s="16">
        <f t="shared" si="390"/>
        <v>7.93</v>
      </c>
      <c r="FL461" s="16">
        <f t="shared" si="391"/>
        <v>7.56</v>
      </c>
      <c r="FM461" s="15">
        <v>7.93</v>
      </c>
      <c r="FN461" s="15">
        <v>0.12</v>
      </c>
      <c r="FO461" s="15">
        <f>FN461*SQRT(AR461)</f>
        <v>0.20784609690826525</v>
      </c>
      <c r="FP461" s="15">
        <v>7.56</v>
      </c>
      <c r="FQ461" s="15">
        <v>0.09</v>
      </c>
      <c r="FR461" s="15">
        <f>FQ461*SQRT(AR461)</f>
        <v>0.15588457268119893</v>
      </c>
      <c r="FS461" s="15">
        <f t="shared" si="394"/>
        <v>0.95334174022698615</v>
      </c>
      <c r="FT461" s="15">
        <f t="shared" si="395"/>
        <v>-0.37000000000000011</v>
      </c>
      <c r="FU461" s="15">
        <f t="shared" si="396"/>
        <v>-4.7781845455315164E-2</v>
      </c>
      <c r="FV461" s="15">
        <f>((FR461*FR461)/(AR461*FP461*FP461)+(FO461*FO461)/(AR461*FM461*FM461))</f>
        <v>3.7071314529075789E-4</v>
      </c>
      <c r="FX461" s="15">
        <v>15.3</v>
      </c>
      <c r="FY461" s="15">
        <v>0.4</v>
      </c>
      <c r="FZ461" s="15">
        <f>FY461*SQRT(AR461)</f>
        <v>0.69282032302755092</v>
      </c>
      <c r="GA461" s="15">
        <v>18.100000000000001</v>
      </c>
      <c r="GB461" s="15">
        <v>0.5</v>
      </c>
      <c r="GC461" s="15">
        <f>GB461*SQRT(AR461)</f>
        <v>0.8660254037844386</v>
      </c>
      <c r="GD461" s="15">
        <f t="shared" si="421"/>
        <v>1.1830065359477124</v>
      </c>
      <c r="GE461" s="15">
        <f t="shared" si="422"/>
        <v>2.8000000000000007</v>
      </c>
      <c r="GF461" s="15">
        <f t="shared" si="423"/>
        <v>0.16805910987339034</v>
      </c>
      <c r="GG461" s="15">
        <f>((GC461*GC461)/(AR461*GA461*GA461)+(FZ461*FZ461)/(AR461*FX461*FX461))</f>
        <v>1.4466002693910469E-3</v>
      </c>
      <c r="HE461" s="15">
        <v>15570</v>
      </c>
      <c r="HF461" s="15">
        <v>280</v>
      </c>
      <c r="HG461" s="15">
        <f>HF461*SQRT(AR180)</f>
        <v>484.97422611928562</v>
      </c>
      <c r="HH461" s="15">
        <v>18940</v>
      </c>
      <c r="HI461" s="15">
        <v>1800</v>
      </c>
      <c r="HJ461" s="15">
        <f>HI461*SQRT(AR180)</f>
        <v>3117.6914536239788</v>
      </c>
      <c r="HK461" s="15">
        <f t="shared" si="431"/>
        <v>1.216441875401413</v>
      </c>
      <c r="HL461" s="15">
        <f t="shared" si="432"/>
        <v>3370</v>
      </c>
      <c r="HM461" s="15">
        <f t="shared" si="433"/>
        <v>0.19593010191202609</v>
      </c>
      <c r="HN461" s="15">
        <f>((HJ461*HJ461)/(AR180*HH461*HH461)+(HG461*HG461)/(AR180*HE461*HE461))</f>
        <v>9.3554226640244452E-3</v>
      </c>
      <c r="HP461" s="15" t="s">
        <v>766</v>
      </c>
      <c r="HV461" s="15">
        <f t="shared" si="434"/>
        <v>110.45929027137207</v>
      </c>
      <c r="HW461" s="15">
        <f t="shared" si="435"/>
        <v>0.19593010191202609</v>
      </c>
      <c r="HX461" s="15">
        <f>DU461</f>
        <v>2164.23</v>
      </c>
      <c r="HY461" s="15">
        <f t="shared" ref="HY461:IA467" si="450">DS461</f>
        <v>10821.15</v>
      </c>
      <c r="HZ461" s="15">
        <f t="shared" si="450"/>
        <v>18.035250000000001</v>
      </c>
      <c r="IA461" s="15">
        <f t="shared" si="450"/>
        <v>2164.23</v>
      </c>
    </row>
    <row r="462" spans="1:235" s="15" customFormat="1" x14ac:dyDescent="0.25">
      <c r="A462" s="31">
        <v>460</v>
      </c>
      <c r="B462" s="1">
        <v>81</v>
      </c>
      <c r="C462" s="1">
        <v>93</v>
      </c>
      <c r="D462" s="63" t="s">
        <v>420</v>
      </c>
      <c r="E462" s="1">
        <v>5</v>
      </c>
      <c r="F462" s="15" t="s">
        <v>798</v>
      </c>
      <c r="G462" s="15" t="s">
        <v>2369</v>
      </c>
      <c r="H462" s="15" t="s">
        <v>839</v>
      </c>
      <c r="I462" s="1">
        <v>2020</v>
      </c>
      <c r="J462" s="15" t="s">
        <v>1290</v>
      </c>
      <c r="K462" s="1" t="s">
        <v>518</v>
      </c>
      <c r="L462" s="15" t="s">
        <v>2370</v>
      </c>
      <c r="M462" s="15" t="s">
        <v>73</v>
      </c>
      <c r="N462" s="15" t="s">
        <v>520</v>
      </c>
      <c r="O462" s="31">
        <v>2</v>
      </c>
      <c r="P462" s="15">
        <v>34.450000000000003</v>
      </c>
      <c r="Q462" s="15">
        <v>117.48</v>
      </c>
      <c r="U462" s="15" t="s">
        <v>549</v>
      </c>
      <c r="V462" s="31">
        <v>1</v>
      </c>
      <c r="W462" s="15" t="s">
        <v>1153</v>
      </c>
      <c r="X462" s="15" t="s">
        <v>2371</v>
      </c>
      <c r="Y462" s="1">
        <v>4</v>
      </c>
      <c r="Z462" s="15">
        <v>7.54</v>
      </c>
      <c r="AA462" s="15" t="s">
        <v>574</v>
      </c>
      <c r="AB462" s="15">
        <f t="shared" si="436"/>
        <v>7.54</v>
      </c>
      <c r="AC462" s="60">
        <v>6</v>
      </c>
      <c r="AD462" s="15">
        <v>16.2</v>
      </c>
      <c r="AL462" s="15" t="s">
        <v>544</v>
      </c>
      <c r="AM462" s="1">
        <v>3</v>
      </c>
      <c r="AP462" s="15" t="s">
        <v>2373</v>
      </c>
      <c r="AQ462" s="1">
        <v>5</v>
      </c>
      <c r="AR462" s="1">
        <v>3</v>
      </c>
      <c r="BP462" s="16"/>
      <c r="BQ462" s="16"/>
      <c r="BR462" s="16"/>
      <c r="BU462" s="16"/>
      <c r="DB462" s="15" t="s">
        <v>717</v>
      </c>
      <c r="DD462" s="15" t="s">
        <v>2374</v>
      </c>
      <c r="DE462" s="15">
        <f>15570*1.39</f>
        <v>21642.3</v>
      </c>
      <c r="DF462" s="15" t="s">
        <v>766</v>
      </c>
      <c r="DS462" s="15">
        <f>DE462</f>
        <v>21642.3</v>
      </c>
      <c r="DT462" s="15">
        <f t="shared" si="448"/>
        <v>36.070500000000003</v>
      </c>
      <c r="DU462" s="15">
        <f t="shared" si="449"/>
        <v>4328.46</v>
      </c>
      <c r="EZ462" s="21"/>
      <c r="FA462" s="21"/>
      <c r="FC462" s="21"/>
      <c r="FD462" s="21"/>
      <c r="FF462" s="21"/>
      <c r="FG462" s="21"/>
      <c r="FK462" s="16">
        <f t="shared" si="390"/>
        <v>7.93</v>
      </c>
      <c r="FL462" s="16">
        <f t="shared" si="391"/>
        <v>7.87</v>
      </c>
      <c r="FM462" s="15">
        <v>7.93</v>
      </c>
      <c r="FN462" s="15">
        <v>12</v>
      </c>
      <c r="FO462" s="15">
        <f>FN462*SQRT(AR462)</f>
        <v>20.784609690826528</v>
      </c>
      <c r="FP462" s="15">
        <v>7.87</v>
      </c>
      <c r="FQ462" s="15">
        <v>0.17</v>
      </c>
      <c r="FR462" s="15">
        <f>FQ462*SQRT(AR462)</f>
        <v>0.29444863728670917</v>
      </c>
      <c r="FS462" s="15">
        <f t="shared" si="394"/>
        <v>0.99243379571248425</v>
      </c>
      <c r="FT462" s="15">
        <f t="shared" si="395"/>
        <v>-5.9999999999999609E-2</v>
      </c>
      <c r="FU462" s="15">
        <f t="shared" si="396"/>
        <v>-7.5949732174449558E-3</v>
      </c>
      <c r="FV462" s="15">
        <f>((FR462*FR462)/(AR462*FP462*FP462)+(FO462*FO462)/(AR462*FM462*FM462))</f>
        <v>2.290364496731506</v>
      </c>
      <c r="FX462" s="15">
        <v>15.3</v>
      </c>
      <c r="FY462" s="15">
        <v>0.4</v>
      </c>
      <c r="FZ462" s="15">
        <f>FY462*SQRT(AR462)</f>
        <v>0.69282032302755092</v>
      </c>
      <c r="GA462" s="15">
        <v>17.600000000000001</v>
      </c>
      <c r="GB462" s="15">
        <v>0.2</v>
      </c>
      <c r="GC462" s="15">
        <f>GB462*SQRT(AR462)</f>
        <v>0.34641016151377546</v>
      </c>
      <c r="GD462" s="15">
        <f t="shared" si="421"/>
        <v>1.150326797385621</v>
      </c>
      <c r="GE462" s="15">
        <f t="shared" si="422"/>
        <v>2.3000000000000007</v>
      </c>
      <c r="GF462" s="15">
        <f t="shared" si="423"/>
        <v>0.14004607364571653</v>
      </c>
      <c r="GG462" s="15">
        <f>((GC462*GC462)/(AR462*GA462*GA462)+(FZ462*FZ462)/(AR462*FX462*FX462))</f>
        <v>8.1263003139641482E-4</v>
      </c>
      <c r="HE462" s="15">
        <v>15570</v>
      </c>
      <c r="HF462" s="15">
        <v>280</v>
      </c>
      <c r="HG462" s="15">
        <f>HF462*SQRT(AR181)</f>
        <v>484.97422611928562</v>
      </c>
      <c r="HH462" s="15">
        <v>22180</v>
      </c>
      <c r="HI462" s="15">
        <v>1540</v>
      </c>
      <c r="HJ462" s="15">
        <f>HI462*SQRT(AR181)</f>
        <v>2667.358243656071</v>
      </c>
      <c r="HK462" s="15">
        <f t="shared" si="431"/>
        <v>1.4245343609505459</v>
      </c>
      <c r="HL462" s="15">
        <f t="shared" si="432"/>
        <v>6610</v>
      </c>
      <c r="HM462" s="15">
        <f t="shared" si="433"/>
        <v>0.35384499607631525</v>
      </c>
      <c r="HN462" s="15">
        <f>((HJ462*HJ462)/(AR181*HH462*HH462)+(HG462*HG462)/(AR181*HE462*HE462))</f>
        <v>5.144190727821343E-3</v>
      </c>
      <c r="HP462" s="15" t="s">
        <v>766</v>
      </c>
      <c r="HV462" s="15">
        <f t="shared" si="434"/>
        <v>122.32644372527633</v>
      </c>
      <c r="HW462" s="15">
        <f t="shared" si="435"/>
        <v>0.35384499607631525</v>
      </c>
      <c r="HX462" s="15">
        <f>DU462</f>
        <v>4328.46</v>
      </c>
      <c r="HY462" s="15">
        <f t="shared" si="450"/>
        <v>21642.3</v>
      </c>
      <c r="HZ462" s="15">
        <f t="shared" si="450"/>
        <v>36.070500000000003</v>
      </c>
      <c r="IA462" s="15">
        <f t="shared" si="450"/>
        <v>4328.46</v>
      </c>
    </row>
    <row r="463" spans="1:235" s="15" customFormat="1" x14ac:dyDescent="0.25">
      <c r="A463" s="31">
        <v>461</v>
      </c>
      <c r="B463" s="1">
        <v>81</v>
      </c>
      <c r="C463" s="1">
        <v>93</v>
      </c>
      <c r="D463" s="63" t="s">
        <v>421</v>
      </c>
      <c r="E463" s="1">
        <v>5</v>
      </c>
      <c r="F463" s="15" t="s">
        <v>798</v>
      </c>
      <c r="G463" s="15" t="s">
        <v>2369</v>
      </c>
      <c r="H463" s="15" t="s">
        <v>839</v>
      </c>
      <c r="I463" s="1">
        <v>2020</v>
      </c>
      <c r="J463" s="15" t="s">
        <v>1290</v>
      </c>
      <c r="K463" s="1" t="s">
        <v>518</v>
      </c>
      <c r="L463" s="15" t="s">
        <v>2370</v>
      </c>
      <c r="M463" s="15" t="s">
        <v>73</v>
      </c>
      <c r="N463" s="15" t="s">
        <v>520</v>
      </c>
      <c r="O463" s="31">
        <v>2</v>
      </c>
      <c r="P463" s="15">
        <v>34.450000000000003</v>
      </c>
      <c r="Q463" s="15">
        <v>117.48</v>
      </c>
      <c r="U463" s="15" t="s">
        <v>549</v>
      </c>
      <c r="V463" s="31">
        <v>1</v>
      </c>
      <c r="W463" s="15" t="s">
        <v>1153</v>
      </c>
      <c r="X463" s="15" t="s">
        <v>2371</v>
      </c>
      <c r="Y463" s="1">
        <v>4</v>
      </c>
      <c r="Z463" s="15">
        <v>7.54</v>
      </c>
      <c r="AA463" s="15" t="s">
        <v>574</v>
      </c>
      <c r="AB463" s="15">
        <f t="shared" si="436"/>
        <v>7.54</v>
      </c>
      <c r="AC463" s="60">
        <v>6</v>
      </c>
      <c r="AD463" s="15">
        <v>16.2</v>
      </c>
      <c r="AL463" s="15" t="s">
        <v>544</v>
      </c>
      <c r="AM463" s="1">
        <v>3</v>
      </c>
      <c r="AP463" s="15" t="s">
        <v>1291</v>
      </c>
      <c r="AQ463" s="1">
        <v>5</v>
      </c>
      <c r="AR463" s="1">
        <v>3</v>
      </c>
      <c r="BP463" s="16"/>
      <c r="BQ463" s="16"/>
      <c r="BR463" s="16"/>
      <c r="BU463" s="16"/>
      <c r="DB463" s="15" t="s">
        <v>717</v>
      </c>
      <c r="DD463" s="15" t="s">
        <v>2372</v>
      </c>
      <c r="DE463" s="15">
        <f>8720*1.39/2</f>
        <v>6060.4</v>
      </c>
      <c r="DF463" s="15" t="s">
        <v>766</v>
      </c>
      <c r="DS463" s="15">
        <f>DE463</f>
        <v>6060.4</v>
      </c>
      <c r="DT463" s="15">
        <f t="shared" si="448"/>
        <v>10.100666666666665</v>
      </c>
      <c r="DU463" s="15">
        <f t="shared" si="449"/>
        <v>1212.08</v>
      </c>
      <c r="EZ463" s="21"/>
      <c r="FA463" s="21"/>
      <c r="FC463" s="21"/>
      <c r="FD463" s="21"/>
      <c r="FF463" s="21"/>
      <c r="FG463" s="21"/>
      <c r="FK463" s="16">
        <f t="shared" si="390"/>
        <v>8.41</v>
      </c>
      <c r="FL463" s="16">
        <f t="shared" si="391"/>
        <v>8.27</v>
      </c>
      <c r="FM463" s="15">
        <v>8.41</v>
      </c>
      <c r="FN463" s="15">
        <v>0.08</v>
      </c>
      <c r="FO463" s="15">
        <f>FN463*SQRT(AR463)</f>
        <v>0.13856406460551018</v>
      </c>
      <c r="FP463" s="15">
        <v>8.27</v>
      </c>
      <c r="FQ463" s="15">
        <v>0.08</v>
      </c>
      <c r="FR463" s="15">
        <f>FQ463*SQRT(AR463)</f>
        <v>0.13856406460551018</v>
      </c>
      <c r="FS463" s="15">
        <f t="shared" si="394"/>
        <v>0.98335315101070153</v>
      </c>
      <c r="FT463" s="15">
        <f t="shared" si="395"/>
        <v>-0.14000000000000057</v>
      </c>
      <c r="FU463" s="15">
        <f t="shared" si="396"/>
        <v>-1.6786964949256689E-2</v>
      </c>
      <c r="FV463" s="15">
        <f>((FR463*FR463)/(AR463*FP463*FP463)+(FO463*FO463)/(AR463*FM463*FM463))</f>
        <v>1.8406433833712454E-4</v>
      </c>
      <c r="FX463" s="15">
        <v>13.5</v>
      </c>
      <c r="FY463" s="15">
        <v>0.5</v>
      </c>
      <c r="FZ463" s="15">
        <f>FY463*SQRT(AR463)</f>
        <v>0.8660254037844386</v>
      </c>
      <c r="GA463" s="15">
        <v>16.399999999999999</v>
      </c>
      <c r="GB463" s="15">
        <v>0.1</v>
      </c>
      <c r="GC463" s="15">
        <f>GB463*SQRT(AR463)</f>
        <v>0.17320508075688773</v>
      </c>
      <c r="GD463" s="15">
        <f t="shared" si="421"/>
        <v>1.2148148148148148</v>
      </c>
      <c r="GE463" s="15">
        <f t="shared" si="422"/>
        <v>2.8999999999999986</v>
      </c>
      <c r="GF463" s="15">
        <f t="shared" si="423"/>
        <v>0.19459164938576912</v>
      </c>
      <c r="GG463" s="15">
        <f>((GC463*GC463)/(AR463*GA463*GA463)+(FZ463*FZ463)/(AR463*FX463*FX463))</f>
        <v>1.4089223623341321E-3</v>
      </c>
      <c r="HE463" s="15">
        <v>8720</v>
      </c>
      <c r="HF463" s="15">
        <v>1130</v>
      </c>
      <c r="HG463" s="15">
        <f>HF463*SQRT(AR182)</f>
        <v>1957.2174125528313</v>
      </c>
      <c r="HH463" s="15">
        <v>12410</v>
      </c>
      <c r="HI463" s="15">
        <v>690</v>
      </c>
      <c r="HJ463" s="15">
        <f>HI463*SQRT(AR182)</f>
        <v>1195.1150572225254</v>
      </c>
      <c r="HK463" s="15">
        <f t="shared" si="431"/>
        <v>1.423165137614679</v>
      </c>
      <c r="HL463" s="15">
        <f t="shared" si="432"/>
        <v>3690</v>
      </c>
      <c r="HM463" s="15">
        <f t="shared" si="433"/>
        <v>0.35288336129562836</v>
      </c>
      <c r="HN463" s="15">
        <f>((HJ463*HJ463)/(AR182*HH463*HH463)+(HG463*HG463)/(AR182*HE463*HE463))</f>
        <v>1.9884226832824096E-2</v>
      </c>
      <c r="HP463" s="15" t="s">
        <v>766</v>
      </c>
      <c r="HV463" s="15">
        <f t="shared" si="434"/>
        <v>34.347893183452726</v>
      </c>
      <c r="HW463" s="15">
        <f t="shared" si="435"/>
        <v>0.35288336129562836</v>
      </c>
      <c r="HX463" s="15">
        <f>DU463</f>
        <v>1212.08</v>
      </c>
      <c r="HY463" s="15">
        <f t="shared" si="450"/>
        <v>6060.4</v>
      </c>
      <c r="HZ463" s="15">
        <f t="shared" si="450"/>
        <v>10.100666666666665</v>
      </c>
      <c r="IA463" s="15">
        <f t="shared" si="450"/>
        <v>1212.08</v>
      </c>
    </row>
    <row r="464" spans="1:235" s="15" customFormat="1" x14ac:dyDescent="0.25">
      <c r="A464" s="31">
        <v>462</v>
      </c>
      <c r="B464" s="1">
        <v>81</v>
      </c>
      <c r="C464" s="1">
        <v>93</v>
      </c>
      <c r="D464" s="63" t="s">
        <v>422</v>
      </c>
      <c r="E464" s="1">
        <v>5</v>
      </c>
      <c r="F464" s="15" t="s">
        <v>798</v>
      </c>
      <c r="G464" s="15" t="s">
        <v>2369</v>
      </c>
      <c r="H464" s="15" t="s">
        <v>839</v>
      </c>
      <c r="I464" s="1">
        <v>2020</v>
      </c>
      <c r="J464" s="15" t="s">
        <v>1290</v>
      </c>
      <c r="K464" s="1" t="s">
        <v>518</v>
      </c>
      <c r="L464" s="15" t="s">
        <v>2370</v>
      </c>
      <c r="M464" s="15" t="s">
        <v>73</v>
      </c>
      <c r="N464" s="15" t="s">
        <v>520</v>
      </c>
      <c r="O464" s="31">
        <v>2</v>
      </c>
      <c r="P464" s="15">
        <v>34.450000000000003</v>
      </c>
      <c r="Q464" s="15">
        <v>117.48</v>
      </c>
      <c r="U464" s="15" t="s">
        <v>549</v>
      </c>
      <c r="V464" s="31">
        <v>1</v>
      </c>
      <c r="W464" s="15" t="s">
        <v>1153</v>
      </c>
      <c r="X464" s="15" t="s">
        <v>2371</v>
      </c>
      <c r="Y464" s="1">
        <v>4</v>
      </c>
      <c r="Z464" s="15">
        <v>7.54</v>
      </c>
      <c r="AA464" s="15" t="s">
        <v>574</v>
      </c>
      <c r="AB464" s="15">
        <f t="shared" si="436"/>
        <v>7.54</v>
      </c>
      <c r="AC464" s="60">
        <v>6</v>
      </c>
      <c r="AD464" s="15">
        <v>16.2</v>
      </c>
      <c r="AL464" s="15" t="s">
        <v>544</v>
      </c>
      <c r="AM464" s="1">
        <v>3</v>
      </c>
      <c r="AP464" s="15" t="s">
        <v>1291</v>
      </c>
      <c r="AQ464" s="1">
        <v>5</v>
      </c>
      <c r="AR464" s="1">
        <v>3</v>
      </c>
      <c r="BP464" s="16"/>
      <c r="BQ464" s="16"/>
      <c r="BR464" s="16"/>
      <c r="BU464" s="16"/>
      <c r="DB464" s="15" t="s">
        <v>717</v>
      </c>
      <c r="DD464" s="15" t="s">
        <v>2374</v>
      </c>
      <c r="DE464" s="15">
        <f>8720*1.39</f>
        <v>12120.8</v>
      </c>
      <c r="DF464" s="15" t="s">
        <v>766</v>
      </c>
      <c r="DS464" s="15">
        <f>DE464</f>
        <v>12120.8</v>
      </c>
      <c r="DT464" s="15">
        <f t="shared" si="448"/>
        <v>20.201333333333331</v>
      </c>
      <c r="DU464" s="15">
        <f t="shared" si="449"/>
        <v>2424.16</v>
      </c>
      <c r="EZ464" s="16"/>
      <c r="FA464" s="16"/>
      <c r="FB464" s="16"/>
      <c r="FC464" s="16"/>
      <c r="FD464" s="16"/>
      <c r="FE464" s="16"/>
      <c r="FF464" s="16"/>
      <c r="FG464" s="16"/>
      <c r="FH464" s="16"/>
      <c r="FI464" s="16"/>
      <c r="FJ464" s="16"/>
      <c r="FK464" s="16">
        <f t="shared" si="390"/>
        <v>8.41</v>
      </c>
      <c r="FL464" s="16">
        <f t="shared" si="391"/>
        <v>8.19</v>
      </c>
      <c r="FM464" s="15">
        <v>8.41</v>
      </c>
      <c r="FN464" s="15">
        <v>0.08</v>
      </c>
      <c r="FO464" s="15">
        <f>FN464*SQRT(AR464)</f>
        <v>0.13856406460551018</v>
      </c>
      <c r="FP464" s="15">
        <v>8.19</v>
      </c>
      <c r="FQ464" s="15">
        <v>0.02</v>
      </c>
      <c r="FR464" s="15">
        <f>FQ464*SQRT(AR464)</f>
        <v>3.4641016151377546E-2</v>
      </c>
      <c r="FS464" s="15">
        <f t="shared" si="394"/>
        <v>0.97384066587395945</v>
      </c>
      <c r="FT464" s="15">
        <f t="shared" si="395"/>
        <v>-0.22000000000000064</v>
      </c>
      <c r="FU464" s="15">
        <f t="shared" si="396"/>
        <v>-2.6507576119878529E-2</v>
      </c>
      <c r="FV464" s="15">
        <f>((FR464*FR464)/(AR464*FP464*FP464)+(FO464*FO464)/(AR464*FM464*FM464))</f>
        <v>9.6450749403482873E-5</v>
      </c>
      <c r="FX464" s="15">
        <v>13.5</v>
      </c>
      <c r="FY464" s="15">
        <v>0.5</v>
      </c>
      <c r="FZ464" s="15">
        <f>FY464*SQRT(AR464)</f>
        <v>0.8660254037844386</v>
      </c>
      <c r="GA464" s="15">
        <v>19.7</v>
      </c>
      <c r="GB464" s="15">
        <v>0.8</v>
      </c>
      <c r="GC464" s="15">
        <f>GB464*SQRT(AR464)</f>
        <v>1.3856406460551018</v>
      </c>
      <c r="GD464" s="15">
        <f t="shared" si="421"/>
        <v>1.4592592592592593</v>
      </c>
      <c r="GE464" s="15">
        <f t="shared" si="422"/>
        <v>6.1999999999999993</v>
      </c>
      <c r="GF464" s="15">
        <f t="shared" si="423"/>
        <v>0.37792895029955886</v>
      </c>
      <c r="GG464" s="15">
        <f>((GC464*GC464)/(AR464*GA464*GA464)+(FZ464*FZ464)/(AR464*FX464*FX464))</f>
        <v>3.0208441249026529E-3</v>
      </c>
      <c r="HE464" s="15">
        <v>8720</v>
      </c>
      <c r="HF464" s="15">
        <v>1130</v>
      </c>
      <c r="HG464" s="15">
        <f>HF464*SQRT(AR183)</f>
        <v>1957.2174125528313</v>
      </c>
      <c r="HH464" s="15">
        <v>15150</v>
      </c>
      <c r="HI464" s="15">
        <v>710</v>
      </c>
      <c r="HJ464" s="15">
        <f>HI464*SQRT(AR183)</f>
        <v>1229.7560733739028</v>
      </c>
      <c r="HK464" s="15">
        <f t="shared" si="431"/>
        <v>1.7373853211009174</v>
      </c>
      <c r="HL464" s="15">
        <f t="shared" si="432"/>
        <v>6430</v>
      </c>
      <c r="HM464" s="15">
        <f t="shared" si="433"/>
        <v>0.55238129403449143</v>
      </c>
      <c r="HN464" s="15">
        <f>((HJ464*HJ464)/(AR183*HH464*HH464)+(HG464*HG464)/(AR183*HE464*HE464))</f>
        <v>1.8989129828461924E-2</v>
      </c>
      <c r="HP464" s="15" t="s">
        <v>766</v>
      </c>
      <c r="HV464" s="15">
        <f t="shared" si="434"/>
        <v>43.885628028682525</v>
      </c>
      <c r="HW464" s="15">
        <f t="shared" si="435"/>
        <v>0.55238129403449143</v>
      </c>
      <c r="HX464" s="15">
        <f>DU464</f>
        <v>2424.16</v>
      </c>
      <c r="HY464" s="15">
        <f t="shared" si="450"/>
        <v>12120.8</v>
      </c>
      <c r="HZ464" s="15">
        <f t="shared" si="450"/>
        <v>20.201333333333331</v>
      </c>
      <c r="IA464" s="15">
        <f t="shared" si="450"/>
        <v>2424.16</v>
      </c>
    </row>
    <row r="465" spans="1:235" s="15" customFormat="1" ht="15" customHeight="1" x14ac:dyDescent="0.25">
      <c r="A465" s="31">
        <v>463</v>
      </c>
      <c r="B465" s="1">
        <v>82</v>
      </c>
      <c r="C465" s="1">
        <v>94</v>
      </c>
      <c r="D465" s="63" t="s">
        <v>423</v>
      </c>
      <c r="E465" s="1">
        <v>5</v>
      </c>
      <c r="F465" s="15" t="s">
        <v>798</v>
      </c>
      <c r="G465" s="15" t="s">
        <v>1292</v>
      </c>
      <c r="H465" s="15" t="s">
        <v>1183</v>
      </c>
      <c r="I465" s="1">
        <v>2020</v>
      </c>
      <c r="J465" s="15" t="s">
        <v>1293</v>
      </c>
      <c r="K465" s="1" t="s">
        <v>1295</v>
      </c>
      <c r="L465" s="15" t="s">
        <v>779</v>
      </c>
      <c r="M465" s="15" t="s">
        <v>73</v>
      </c>
      <c r="N465" s="15" t="s">
        <v>520</v>
      </c>
      <c r="O465" s="31">
        <v>2</v>
      </c>
      <c r="P465" s="15">
        <v>28.55</v>
      </c>
      <c r="Q465" s="15">
        <v>113.33</v>
      </c>
      <c r="R465" s="15">
        <v>80</v>
      </c>
      <c r="S465" s="15">
        <v>1330</v>
      </c>
      <c r="T465" s="15">
        <v>17.5</v>
      </c>
      <c r="U465" s="15" t="s">
        <v>549</v>
      </c>
      <c r="V465" s="31">
        <v>1</v>
      </c>
      <c r="W465" s="15" t="s">
        <v>1153</v>
      </c>
      <c r="X465" s="15" t="s">
        <v>689</v>
      </c>
      <c r="Y465" s="1">
        <v>1</v>
      </c>
      <c r="Z465" s="15">
        <v>5.21</v>
      </c>
      <c r="AA465" s="15" t="s">
        <v>574</v>
      </c>
      <c r="AB465" s="15">
        <f t="shared" si="436"/>
        <v>5.21</v>
      </c>
      <c r="AC465" s="1">
        <v>3</v>
      </c>
      <c r="AD465" s="15">
        <f>18.9*1.74</f>
        <v>32.885999999999996</v>
      </c>
      <c r="AM465" s="1"/>
      <c r="AP465" s="15" t="s">
        <v>1185</v>
      </c>
      <c r="AQ465" s="61">
        <v>3</v>
      </c>
      <c r="AR465" s="1">
        <v>3</v>
      </c>
      <c r="BP465" s="16"/>
      <c r="BQ465" s="16"/>
      <c r="BR465" s="16"/>
      <c r="BU465" s="16"/>
      <c r="DB465" s="15" t="s">
        <v>835</v>
      </c>
      <c r="DD465" s="15">
        <v>6000</v>
      </c>
      <c r="DE465" s="15">
        <f>DD465</f>
        <v>6000</v>
      </c>
      <c r="DF465" s="15" t="s">
        <v>766</v>
      </c>
      <c r="DS465" s="15">
        <f>DE465</f>
        <v>6000</v>
      </c>
      <c r="DT465" s="15">
        <f t="shared" si="448"/>
        <v>10</v>
      </c>
      <c r="DU465" s="15">
        <f t="shared" si="449"/>
        <v>1200</v>
      </c>
      <c r="EZ465" s="16"/>
      <c r="FA465" s="16"/>
      <c r="FB465" s="16"/>
      <c r="FC465" s="16"/>
      <c r="FD465" s="16"/>
      <c r="FE465" s="16"/>
      <c r="FF465" s="16"/>
      <c r="FG465" s="16"/>
      <c r="FH465" s="16"/>
      <c r="FI465" s="16"/>
      <c r="FJ465" s="16"/>
      <c r="FK465" s="16">
        <f t="shared" si="390"/>
        <v>5.2</v>
      </c>
      <c r="FL465" s="16">
        <f t="shared" si="391"/>
        <v>5.4</v>
      </c>
      <c r="FM465" s="15">
        <v>5.2</v>
      </c>
      <c r="FN465" s="15">
        <v>0.02</v>
      </c>
      <c r="FO465" s="15">
        <f>FN465*SQRT(AR465)</f>
        <v>3.4641016151377546E-2</v>
      </c>
      <c r="FP465" s="15">
        <v>5.4</v>
      </c>
      <c r="FQ465" s="15">
        <v>0.13</v>
      </c>
      <c r="FR465" s="15">
        <f>FQ465*SQRT(AR465)</f>
        <v>0.22516660498395405</v>
      </c>
      <c r="FS465" s="15">
        <f t="shared" si="394"/>
        <v>1.0384615384615385</v>
      </c>
      <c r="FT465" s="15">
        <f t="shared" si="395"/>
        <v>0.20000000000000018</v>
      </c>
      <c r="FU465" s="15">
        <f t="shared" si="396"/>
        <v>3.774032798284721E-2</v>
      </c>
      <c r="FV465" s="15">
        <f>((FR465*FR465)/(AR465*FP465*FP465)+(FO465*FO465)/(AR465*FM465*FM465))</f>
        <v>5.9435394193228938E-4</v>
      </c>
      <c r="FX465" s="15">
        <v>33.06</v>
      </c>
      <c r="FY465" s="15">
        <v>0.87</v>
      </c>
      <c r="FZ465" s="15">
        <f>FY465*SQRT(AR465)</f>
        <v>1.5068842025849232</v>
      </c>
      <c r="GA465" s="15">
        <v>36.54</v>
      </c>
      <c r="GB465" s="15">
        <v>3.1320000000000001</v>
      </c>
      <c r="GC465" s="15">
        <f>GB465*SQRT(AR465)</f>
        <v>5.4247831293057232</v>
      </c>
      <c r="GD465" s="15">
        <v>1.9231578947368422</v>
      </c>
      <c r="GE465" s="15">
        <v>3.48</v>
      </c>
      <c r="GF465" s="15">
        <f t="shared" si="423"/>
        <v>0.10008345855698275</v>
      </c>
      <c r="GG465" s="15">
        <f>((GC465*GC465)/(AR465*GA465*GA465)+(FZ465*FZ465)/(AR465*FX465*FX465))</f>
        <v>8.039459551133471E-3</v>
      </c>
      <c r="HY465" s="15">
        <f t="shared" si="450"/>
        <v>6000</v>
      </c>
      <c r="HZ465" s="15">
        <f t="shared" si="450"/>
        <v>10</v>
      </c>
      <c r="IA465" s="15">
        <f t="shared" si="450"/>
        <v>1200</v>
      </c>
    </row>
    <row r="466" spans="1:235" s="15" customFormat="1" x14ac:dyDescent="0.25">
      <c r="A466" s="31">
        <v>464</v>
      </c>
      <c r="B466" s="1">
        <v>82</v>
      </c>
      <c r="C466" s="1">
        <v>94</v>
      </c>
      <c r="D466" s="63" t="s">
        <v>424</v>
      </c>
      <c r="E466" s="1">
        <v>5</v>
      </c>
      <c r="F466" s="15" t="s">
        <v>798</v>
      </c>
      <c r="G466" s="15" t="s">
        <v>1292</v>
      </c>
      <c r="H466" s="15" t="s">
        <v>1183</v>
      </c>
      <c r="I466" s="1">
        <v>2020</v>
      </c>
      <c r="J466" s="15" t="s">
        <v>1293</v>
      </c>
      <c r="K466" s="1" t="s">
        <v>1295</v>
      </c>
      <c r="L466" s="15" t="s">
        <v>779</v>
      </c>
      <c r="M466" s="15" t="s">
        <v>73</v>
      </c>
      <c r="N466" s="15" t="s">
        <v>520</v>
      </c>
      <c r="O466" s="31">
        <v>2</v>
      </c>
      <c r="P466" s="15">
        <v>28.55</v>
      </c>
      <c r="Q466" s="15">
        <v>113.33</v>
      </c>
      <c r="R466" s="15">
        <v>80</v>
      </c>
      <c r="S466" s="15">
        <v>1330</v>
      </c>
      <c r="T466" s="15">
        <v>17.5</v>
      </c>
      <c r="U466" s="15" t="s">
        <v>549</v>
      </c>
      <c r="V466" s="31">
        <v>1</v>
      </c>
      <c r="W466" s="15" t="s">
        <v>1294</v>
      </c>
      <c r="X466" s="15" t="s">
        <v>689</v>
      </c>
      <c r="Y466" s="1">
        <v>1</v>
      </c>
      <c r="Z466" s="15">
        <v>5.21</v>
      </c>
      <c r="AA466" s="15" t="s">
        <v>574</v>
      </c>
      <c r="AB466" s="15">
        <f t="shared" si="436"/>
        <v>5.21</v>
      </c>
      <c r="AC466" s="1">
        <v>3</v>
      </c>
      <c r="AD466" s="15">
        <f>18.9*1.74</f>
        <v>32.885999999999996</v>
      </c>
      <c r="AM466" s="1"/>
      <c r="AP466" s="15" t="s">
        <v>1185</v>
      </c>
      <c r="AQ466" s="61">
        <v>3</v>
      </c>
      <c r="AR466" s="1">
        <v>3</v>
      </c>
      <c r="BP466" s="16"/>
      <c r="BQ466" s="16"/>
      <c r="BR466" s="16"/>
      <c r="BU466" s="16"/>
      <c r="DB466" s="15" t="s">
        <v>835</v>
      </c>
      <c r="DD466" s="15">
        <v>6000</v>
      </c>
      <c r="DE466" s="15">
        <f>DD466</f>
        <v>6000</v>
      </c>
      <c r="DF466" s="15" t="s">
        <v>766</v>
      </c>
      <c r="DS466" s="15">
        <f>DE466</f>
        <v>6000</v>
      </c>
      <c r="DT466" s="15">
        <f t="shared" si="448"/>
        <v>10</v>
      </c>
      <c r="DU466" s="15">
        <f t="shared" si="449"/>
        <v>1200</v>
      </c>
      <c r="EZ466" s="16"/>
      <c r="FA466" s="16"/>
      <c r="FB466" s="16"/>
      <c r="FC466" s="16"/>
      <c r="FD466" s="16"/>
      <c r="FE466" s="16"/>
      <c r="FF466" s="16"/>
      <c r="FG466" s="16"/>
      <c r="FH466" s="16"/>
      <c r="FI466" s="16"/>
      <c r="FJ466" s="16"/>
      <c r="FK466" s="16">
        <f t="shared" si="390"/>
        <v>5.3</v>
      </c>
      <c r="FL466" s="16">
        <f t="shared" si="391"/>
        <v>5.3</v>
      </c>
      <c r="FM466" s="15">
        <v>5.3</v>
      </c>
      <c r="FN466" s="15">
        <v>0.08</v>
      </c>
      <c r="FO466" s="15">
        <f>FN466*SQRT(AR466)</f>
        <v>0.13856406460551018</v>
      </c>
      <c r="FP466" s="15">
        <v>5.3</v>
      </c>
      <c r="FQ466" s="15">
        <v>0.03</v>
      </c>
      <c r="FR466" s="15">
        <f>FQ466*SQRT(AR466)</f>
        <v>5.1961524227066312E-2</v>
      </c>
      <c r="FS466" s="15">
        <f t="shared" si="394"/>
        <v>1</v>
      </c>
      <c r="FT466" s="15">
        <f t="shared" si="395"/>
        <v>0</v>
      </c>
      <c r="FU466" s="15">
        <f t="shared" si="396"/>
        <v>0</v>
      </c>
      <c r="FV466" s="15">
        <f>((FR466*FR466)/(AR466*FP466*FP466)+(FO466*FO466)/(AR466*FM466*FM466))</f>
        <v>2.5987896048415809E-4</v>
      </c>
      <c r="FX466" s="15">
        <v>29.58</v>
      </c>
      <c r="FY466" s="15">
        <v>0.87</v>
      </c>
      <c r="FZ466" s="15">
        <f>FY466*SQRT(AR466)</f>
        <v>1.5068842025849232</v>
      </c>
      <c r="GA466" s="15">
        <v>37.235999999999997</v>
      </c>
      <c r="GB466" s="15">
        <v>1.218</v>
      </c>
      <c r="GC466" s="15">
        <f>GB466*SQRT(AR466)</f>
        <v>2.1096378836188925</v>
      </c>
      <c r="GD466" s="15">
        <v>7.1647058823529411E-2</v>
      </c>
      <c r="GE466" s="15">
        <v>7.6559999999999979</v>
      </c>
      <c r="GF466" s="15">
        <f t="shared" si="423"/>
        <v>0.23017757797159</v>
      </c>
      <c r="GG466" s="15">
        <f>((GC466*GC466)/(AR466*GA466*GA466)+(FZ466*FZ466)/(AR466*FX466*FX466))</f>
        <v>1.935014345248871E-3</v>
      </c>
      <c r="HY466" s="15">
        <f t="shared" si="450"/>
        <v>6000</v>
      </c>
      <c r="HZ466" s="15">
        <f t="shared" si="450"/>
        <v>10</v>
      </c>
      <c r="IA466" s="15">
        <f t="shared" si="450"/>
        <v>1200</v>
      </c>
    </row>
    <row r="467" spans="1:235" s="15" customFormat="1" x14ac:dyDescent="0.25">
      <c r="A467" s="31">
        <v>465</v>
      </c>
      <c r="B467" s="1">
        <v>83</v>
      </c>
      <c r="C467" s="1">
        <v>95</v>
      </c>
      <c r="D467" s="63" t="s">
        <v>425</v>
      </c>
      <c r="E467" s="1">
        <v>5</v>
      </c>
      <c r="F467" s="15" t="s">
        <v>798</v>
      </c>
      <c r="G467" s="15" t="s">
        <v>1298</v>
      </c>
      <c r="H467" s="15" t="s">
        <v>930</v>
      </c>
      <c r="I467" s="1">
        <v>2019</v>
      </c>
      <c r="J467" s="15" t="s">
        <v>1299</v>
      </c>
      <c r="K467" s="1" t="s">
        <v>1300</v>
      </c>
      <c r="L467" s="15" t="s">
        <v>1301</v>
      </c>
      <c r="M467" s="15" t="s">
        <v>73</v>
      </c>
      <c r="N467" s="15" t="s">
        <v>520</v>
      </c>
      <c r="O467" s="31">
        <v>2</v>
      </c>
      <c r="P467" s="15">
        <v>32.58</v>
      </c>
      <c r="Q467" s="15">
        <v>119.7</v>
      </c>
      <c r="S467" s="15">
        <v>1150</v>
      </c>
      <c r="T467" s="15">
        <v>15</v>
      </c>
      <c r="U467" s="15" t="s">
        <v>549</v>
      </c>
      <c r="V467" s="31">
        <v>1</v>
      </c>
      <c r="W467" s="15" t="s">
        <v>1179</v>
      </c>
      <c r="X467" s="15" t="s">
        <v>689</v>
      </c>
      <c r="Y467" s="1">
        <v>1</v>
      </c>
      <c r="Z467" s="15">
        <v>5.8</v>
      </c>
      <c r="AA467" s="15" t="s">
        <v>574</v>
      </c>
      <c r="AB467" s="15">
        <f t="shared" si="436"/>
        <v>5.8</v>
      </c>
      <c r="AC467" s="1">
        <v>4</v>
      </c>
      <c r="AD467" s="15">
        <f>19*1.74</f>
        <v>33.06</v>
      </c>
      <c r="AF467" s="15">
        <v>17</v>
      </c>
      <c r="AJ467" s="15">
        <v>13.6</v>
      </c>
      <c r="AK467" s="15">
        <v>28.5</v>
      </c>
      <c r="AL467" s="15">
        <v>57.8</v>
      </c>
      <c r="AM467" s="1">
        <v>1</v>
      </c>
      <c r="AO467" s="1">
        <v>3</v>
      </c>
      <c r="AP467" s="15" t="s">
        <v>1302</v>
      </c>
      <c r="AQ467" s="57">
        <v>9</v>
      </c>
      <c r="AR467" s="1">
        <v>3</v>
      </c>
      <c r="BP467" s="16"/>
      <c r="BQ467" s="16"/>
      <c r="BR467" s="16"/>
      <c r="BU467" s="16"/>
      <c r="DB467" s="15" t="s">
        <v>1321</v>
      </c>
      <c r="DD467" s="15">
        <v>6000</v>
      </c>
      <c r="DE467" s="15">
        <f>DD467</f>
        <v>6000</v>
      </c>
      <c r="DF467" s="15" t="s">
        <v>766</v>
      </c>
      <c r="DI467" s="15">
        <v>7.33</v>
      </c>
      <c r="DS467" s="15">
        <f>DE467</f>
        <v>6000</v>
      </c>
      <c r="DT467" s="15">
        <f t="shared" si="448"/>
        <v>10</v>
      </c>
      <c r="DU467" s="15">
        <f t="shared" si="449"/>
        <v>1200</v>
      </c>
      <c r="EZ467" s="16"/>
      <c r="FA467" s="16"/>
      <c r="FB467" s="16"/>
      <c r="FC467" s="16"/>
      <c r="FD467" s="16"/>
      <c r="FE467" s="16"/>
      <c r="FF467" s="16"/>
      <c r="FG467" s="16"/>
      <c r="FH467" s="16"/>
      <c r="FI467" s="16"/>
      <c r="FJ467" s="16"/>
      <c r="FK467" s="16">
        <f t="shared" si="390"/>
        <v>5.72</v>
      </c>
      <c r="FL467" s="16">
        <f t="shared" si="391"/>
        <v>5.82</v>
      </c>
      <c r="FM467" s="15">
        <v>5.72</v>
      </c>
      <c r="FN467" s="15">
        <v>0.08</v>
      </c>
      <c r="FO467" s="15">
        <f>FN467*SQRT(AR467)</f>
        <v>0.13856406460551018</v>
      </c>
      <c r="FP467" s="15">
        <v>5.82</v>
      </c>
      <c r="FQ467" s="15">
        <v>0.03</v>
      </c>
      <c r="FR467" s="15">
        <f>FQ467*SQRT(AR467)</f>
        <v>5.1961524227066312E-2</v>
      </c>
      <c r="FS467" s="15">
        <f t="shared" si="394"/>
        <v>1.0174825174825175</v>
      </c>
      <c r="FT467" s="15">
        <f t="shared" si="395"/>
        <v>0.10000000000000053</v>
      </c>
      <c r="FU467" s="15">
        <f t="shared" si="396"/>
        <v>1.7331456351640018E-2</v>
      </c>
      <c r="FV467" s="15">
        <f>((FR467*FR467)/(AR467*FP467*FP467)+(FO467*FO467)/(AR467*FM467*FM467))</f>
        <v>2.2217889224408055E-4</v>
      </c>
      <c r="FX467" s="15">
        <v>33.756</v>
      </c>
      <c r="FY467" s="15">
        <v>1.044</v>
      </c>
      <c r="FZ467" s="15">
        <f>FY467*SQRT(AR467)</f>
        <v>1.8082610431019079</v>
      </c>
      <c r="GA467" s="15">
        <v>32.015999999999998</v>
      </c>
      <c r="GB467" s="15">
        <v>2.0880000000000001</v>
      </c>
      <c r="GC467" s="15">
        <f>GB467*SQRT(AR467)</f>
        <v>3.6165220862038159</v>
      </c>
      <c r="GD467" s="15">
        <v>1.6503092783505153</v>
      </c>
      <c r="GE467" s="15">
        <v>-1.74</v>
      </c>
      <c r="GF467" s="15">
        <f t="shared" si="423"/>
        <v>-5.2922401454342349E-2</v>
      </c>
      <c r="GG467" s="15">
        <f>((GC467*GC467)/(AR467*GA467*GA467)+(FZ467*FZ467)/(AR467*FX467*FX467))</f>
        <v>5.2098391095200857E-3</v>
      </c>
      <c r="GI467" s="15">
        <v>17.7</v>
      </c>
      <c r="GJ467" s="15">
        <v>0.5</v>
      </c>
      <c r="GK467" s="15">
        <f>GJ467*SQRT(AR151)</f>
        <v>0.8660254037844386</v>
      </c>
      <c r="GL467" s="15">
        <v>20.3</v>
      </c>
      <c r="GM467" s="15">
        <v>1.4</v>
      </c>
      <c r="GN467" s="15">
        <f>GM467*SQRT(AR151)</f>
        <v>2.4248711305964279</v>
      </c>
      <c r="GO467" s="15">
        <f t="shared" ref="GO467:GO485" si="451">GL467/GI467</f>
        <v>1.1468926553672316</v>
      </c>
      <c r="GP467" s="15">
        <f t="shared" ref="GP467:GP485" si="452">GL467-GI467</f>
        <v>2.6000000000000014</v>
      </c>
      <c r="GQ467" s="15">
        <f t="shared" ref="GQ467:GQ485" si="453">LN(GL467)-LN(GI467)</f>
        <v>0.13705624646795833</v>
      </c>
      <c r="GR467" s="15">
        <f>((GN467*GN467)/(AR151*GL467*GL467)+(GK467*GK467)/(AR151*GI467*GI467))</f>
        <v>5.5542252681060542E-3</v>
      </c>
      <c r="HE467" s="15">
        <v>7240</v>
      </c>
      <c r="HF467" s="15">
        <v>190</v>
      </c>
      <c r="HG467" s="15">
        <f>HF467*SQRT(AR166)</f>
        <v>329.08965343808666</v>
      </c>
      <c r="HH467" s="15">
        <v>7290</v>
      </c>
      <c r="HI467" s="15">
        <v>690</v>
      </c>
      <c r="HJ467" s="15">
        <f>HI467*SQRT(AR166)</f>
        <v>1195.1150572225254</v>
      </c>
      <c r="HK467" s="15">
        <f t="shared" ref="HK467:HK473" si="454">HH467/HE467</f>
        <v>1.0069060773480663</v>
      </c>
      <c r="HL467" s="15">
        <f t="shared" ref="HL467:HL473" si="455">HH467-HE467</f>
        <v>50</v>
      </c>
      <c r="HM467" s="15">
        <f t="shared" ref="HM467:HM473" si="456">LN(HH467)-LN(HE467)</f>
        <v>6.8823396229404921E-3</v>
      </c>
      <c r="HN467" s="15">
        <f>((HJ467*HJ467)/(AR166*HH467*HH467)+(HG467*HG467)/(AR166*HE467*HE467))</f>
        <v>9.6473614292927525E-3</v>
      </c>
      <c r="HP467" s="15" t="s">
        <v>766</v>
      </c>
      <c r="HV467" s="15">
        <f t="shared" ref="HV467:HV473" si="457">HX467/HW467/100</f>
        <v>1743.593117666137</v>
      </c>
      <c r="HW467" s="15">
        <f t="shared" ref="HW467:HW473" si="458">HM467</f>
        <v>6.8823396229404921E-3</v>
      </c>
      <c r="HX467" s="15">
        <f>DU467</f>
        <v>1200</v>
      </c>
      <c r="HY467" s="15">
        <f t="shared" si="450"/>
        <v>6000</v>
      </c>
      <c r="HZ467" s="15">
        <f t="shared" si="450"/>
        <v>10</v>
      </c>
      <c r="IA467" s="15">
        <f t="shared" si="450"/>
        <v>1200</v>
      </c>
    </row>
    <row r="468" spans="1:235" s="15" customFormat="1" x14ac:dyDescent="0.25">
      <c r="A468" s="31">
        <v>466</v>
      </c>
      <c r="B468" s="1">
        <v>83</v>
      </c>
      <c r="C468" s="1">
        <v>95</v>
      </c>
      <c r="D468" s="63" t="s">
        <v>426</v>
      </c>
      <c r="E468" s="1">
        <v>2</v>
      </c>
      <c r="F468" s="15" t="s">
        <v>777</v>
      </c>
      <c r="G468" s="15" t="s">
        <v>1298</v>
      </c>
      <c r="H468" s="15" t="s">
        <v>930</v>
      </c>
      <c r="I468" s="1">
        <v>2019</v>
      </c>
      <c r="J468" s="15" t="s">
        <v>1299</v>
      </c>
      <c r="K468" s="1" t="s">
        <v>1300</v>
      </c>
      <c r="L468" s="15" t="s">
        <v>1301</v>
      </c>
      <c r="M468" s="15" t="s">
        <v>73</v>
      </c>
      <c r="N468" s="15" t="s">
        <v>520</v>
      </c>
      <c r="O468" s="31">
        <v>2</v>
      </c>
      <c r="P468" s="15">
        <v>32.58</v>
      </c>
      <c r="Q468" s="15">
        <v>119.7</v>
      </c>
      <c r="S468" s="15">
        <v>1150</v>
      </c>
      <c r="T468" s="15">
        <v>15</v>
      </c>
      <c r="U468" s="15" t="s">
        <v>549</v>
      </c>
      <c r="V468" s="31">
        <v>1</v>
      </c>
      <c r="W468" s="15" t="s">
        <v>1179</v>
      </c>
      <c r="X468" s="15" t="s">
        <v>689</v>
      </c>
      <c r="Y468" s="1">
        <v>1</v>
      </c>
      <c r="Z468" s="15">
        <v>5.8</v>
      </c>
      <c r="AA468" s="15" t="s">
        <v>574</v>
      </c>
      <c r="AB468" s="15">
        <f t="shared" si="436"/>
        <v>5.8</v>
      </c>
      <c r="AC468" s="1">
        <v>4</v>
      </c>
      <c r="AD468" s="15">
        <f>19*1.74</f>
        <v>33.06</v>
      </c>
      <c r="AF468" s="15">
        <v>17</v>
      </c>
      <c r="AJ468" s="15">
        <v>13.6</v>
      </c>
      <c r="AK468" s="15">
        <v>28.5</v>
      </c>
      <c r="AL468" s="15">
        <v>57.8</v>
      </c>
      <c r="AM468" s="1">
        <v>1</v>
      </c>
      <c r="AO468" s="1">
        <v>3</v>
      </c>
      <c r="AP468" s="15" t="s">
        <v>1302</v>
      </c>
      <c r="AQ468" s="57">
        <v>9</v>
      </c>
      <c r="AR468" s="1">
        <v>3</v>
      </c>
      <c r="BP468" s="16"/>
      <c r="BQ468" s="16"/>
      <c r="BR468" s="16"/>
      <c r="BU468" s="16"/>
      <c r="CC468" s="15" t="s">
        <v>1303</v>
      </c>
      <c r="CE468" s="15">
        <v>2400</v>
      </c>
      <c r="CF468" s="15">
        <f>CE468</f>
        <v>2400</v>
      </c>
      <c r="CG468" s="15" t="s">
        <v>766</v>
      </c>
      <c r="CH468" s="15">
        <v>9.52</v>
      </c>
      <c r="CI468" s="15">
        <v>400</v>
      </c>
      <c r="CK468" s="15">
        <v>598</v>
      </c>
      <c r="CL468" s="15">
        <v>13.4</v>
      </c>
      <c r="CM468" s="15">
        <v>2.4700000000000002</v>
      </c>
      <c r="CY468" s="25">
        <f>CF468</f>
        <v>2400</v>
      </c>
      <c r="CZ468" s="25">
        <f>CY468/0.78/1000</f>
        <v>3.0769230769230766</v>
      </c>
      <c r="DA468" s="25">
        <f>CY468*3</f>
        <v>7200</v>
      </c>
      <c r="EZ468" s="16"/>
      <c r="FA468" s="16"/>
      <c r="FB468" s="16"/>
      <c r="FC468" s="16"/>
      <c r="FD468" s="16"/>
      <c r="FE468" s="16"/>
      <c r="FF468" s="16"/>
      <c r="FG468" s="16"/>
      <c r="FH468" s="16"/>
      <c r="FI468" s="16"/>
      <c r="FJ468" s="16"/>
      <c r="FK468" s="16">
        <f t="shared" si="390"/>
        <v>5.72</v>
      </c>
      <c r="FL468" s="16">
        <f t="shared" si="391"/>
        <v>6.1</v>
      </c>
      <c r="FM468" s="15">
        <v>5.72</v>
      </c>
      <c r="FN468" s="15">
        <v>0.08</v>
      </c>
      <c r="FO468" s="15">
        <f>FN468*SQRT(AR468)</f>
        <v>0.13856406460551018</v>
      </c>
      <c r="FP468" s="15">
        <v>6.1</v>
      </c>
      <c r="FQ468" s="15">
        <v>0.01</v>
      </c>
      <c r="FR468" s="15">
        <f>FQ468*SQRT(AR468)</f>
        <v>1.7320508075688773E-2</v>
      </c>
      <c r="FS468" s="15">
        <f t="shared" si="394"/>
        <v>1.0664335664335665</v>
      </c>
      <c r="FT468" s="15">
        <f t="shared" si="395"/>
        <v>0.37999999999999989</v>
      </c>
      <c r="FU468" s="15">
        <f t="shared" si="396"/>
        <v>6.4319965787559052E-2</v>
      </c>
      <c r="FV468" s="15">
        <f>((FR468*FR468)/(AR468*FP468*FP468)+(FO468*FO468)/(AR468*FM468*FM468))</f>
        <v>1.9829603682729866E-4</v>
      </c>
      <c r="FX468" s="15">
        <v>33.756</v>
      </c>
      <c r="FY468" s="15">
        <v>1.044</v>
      </c>
      <c r="FZ468" s="15">
        <f>FY468*SQRT(AR468)</f>
        <v>1.8082610431019079</v>
      </c>
      <c r="GA468" s="15">
        <v>35.844000000000001</v>
      </c>
      <c r="GB468" s="15">
        <v>0.69600000000000006</v>
      </c>
      <c r="GC468" s="15">
        <f>GB468*SQRT(AR468)</f>
        <v>1.2055073620679386</v>
      </c>
      <c r="GD468" s="15">
        <v>1.8476288659793818</v>
      </c>
      <c r="GE468" s="15">
        <v>2.088000000000005</v>
      </c>
      <c r="GF468" s="15">
        <f t="shared" si="423"/>
        <v>6.0018009726253041E-2</v>
      </c>
      <c r="GG468" s="15">
        <f>((GC468*GC468)/(AR468*GA468*GA468)+(FZ468*FZ468)/(AR468*FX468*FX468))</f>
        <v>1.3335693446291635E-3</v>
      </c>
      <c r="GI468" s="15">
        <v>17.7</v>
      </c>
      <c r="GJ468" s="15">
        <v>0.5</v>
      </c>
      <c r="GK468" s="15">
        <f>GJ468*SQRT(AR152)</f>
        <v>0.8660254037844386</v>
      </c>
      <c r="GL468" s="15">
        <v>19.8</v>
      </c>
      <c r="GM468" s="15">
        <v>0.9</v>
      </c>
      <c r="GN468" s="15">
        <f>GM468*SQRT(AR152)</f>
        <v>1.5588457268119895</v>
      </c>
      <c r="GO468" s="15">
        <f t="shared" si="451"/>
        <v>1.1186440677966103</v>
      </c>
      <c r="GP468" s="15">
        <f t="shared" si="452"/>
        <v>2.1000000000000014</v>
      </c>
      <c r="GQ468" s="15">
        <f t="shared" si="453"/>
        <v>0.11211729812070637</v>
      </c>
      <c r="GR468" s="15">
        <f>((GN468*GN468)/(AR152*GL468*GL468)+(GK468*GK468)/(AR152*GI468*GI468))</f>
        <v>2.8640984022144083E-3</v>
      </c>
      <c r="HE468" s="15">
        <v>7240</v>
      </c>
      <c r="HF468" s="15">
        <v>190</v>
      </c>
      <c r="HG468" s="15">
        <f>HF468*SQRT(AR167)</f>
        <v>329.08965343808666</v>
      </c>
      <c r="HH468" s="15">
        <v>7540</v>
      </c>
      <c r="HI468" s="15">
        <v>390</v>
      </c>
      <c r="HJ468" s="15">
        <f>HI468*SQRT(AR167)</f>
        <v>675.49981495186205</v>
      </c>
      <c r="HK468" s="15">
        <f t="shared" si="454"/>
        <v>1.0414364640883977</v>
      </c>
      <c r="HL468" s="15">
        <f t="shared" si="455"/>
        <v>300</v>
      </c>
      <c r="HM468" s="15">
        <f t="shared" si="456"/>
        <v>4.0600975622238522E-2</v>
      </c>
      <c r="HN468" s="15">
        <f>((HJ468*HJ468)/(AR167*HH468*HH468)+(HG468*HG468)/(AR167*HE468*HE468))</f>
        <v>3.36408642334181E-3</v>
      </c>
      <c r="HP468" s="15" t="s">
        <v>766</v>
      </c>
      <c r="HV468" s="15">
        <f t="shared" si="457"/>
        <v>1773.3564008388796</v>
      </c>
      <c r="HW468" s="15">
        <f t="shared" si="458"/>
        <v>4.0600975622238522E-2</v>
      </c>
      <c r="HX468" s="25">
        <f>DA468</f>
        <v>7200</v>
      </c>
      <c r="HY468" s="25">
        <f>CY468</f>
        <v>2400</v>
      </c>
      <c r="HZ468" s="25">
        <f>CZ468</f>
        <v>3.0769230769230766</v>
      </c>
      <c r="IA468" s="25">
        <f>DA468</f>
        <v>7200</v>
      </c>
    </row>
    <row r="469" spans="1:235" s="15" customFormat="1" x14ac:dyDescent="0.25">
      <c r="A469" s="31">
        <v>467</v>
      </c>
      <c r="B469" s="1">
        <v>83</v>
      </c>
      <c r="C469" s="1">
        <v>95</v>
      </c>
      <c r="D469" s="63" t="s">
        <v>427</v>
      </c>
      <c r="E469" s="1">
        <v>2</v>
      </c>
      <c r="F469" s="15" t="s">
        <v>777</v>
      </c>
      <c r="G469" s="15" t="s">
        <v>1298</v>
      </c>
      <c r="H469" s="15" t="s">
        <v>930</v>
      </c>
      <c r="I469" s="1">
        <v>2019</v>
      </c>
      <c r="J469" s="15" t="s">
        <v>1299</v>
      </c>
      <c r="K469" s="1" t="s">
        <v>1300</v>
      </c>
      <c r="L469" s="15" t="s">
        <v>1301</v>
      </c>
      <c r="M469" s="15" t="s">
        <v>73</v>
      </c>
      <c r="N469" s="15" t="s">
        <v>520</v>
      </c>
      <c r="O469" s="31">
        <v>2</v>
      </c>
      <c r="P469" s="15">
        <v>32.58</v>
      </c>
      <c r="Q469" s="15">
        <v>119.7</v>
      </c>
      <c r="S469" s="15">
        <v>1150</v>
      </c>
      <c r="T469" s="15">
        <v>15</v>
      </c>
      <c r="U469" s="15" t="s">
        <v>549</v>
      </c>
      <c r="V469" s="31">
        <v>1</v>
      </c>
      <c r="W469" s="15" t="s">
        <v>1179</v>
      </c>
      <c r="X469" s="15" t="s">
        <v>689</v>
      </c>
      <c r="Y469" s="1">
        <v>1</v>
      </c>
      <c r="Z469" s="15">
        <v>5.8</v>
      </c>
      <c r="AA469" s="15" t="s">
        <v>574</v>
      </c>
      <c r="AB469" s="15">
        <f t="shared" si="436"/>
        <v>5.8</v>
      </c>
      <c r="AC469" s="1">
        <v>4</v>
      </c>
      <c r="AD469" s="15">
        <f>19*1.74</f>
        <v>33.06</v>
      </c>
      <c r="AF469" s="15">
        <v>17</v>
      </c>
      <c r="AJ469" s="15">
        <v>13.6</v>
      </c>
      <c r="AK469" s="15">
        <v>28.5</v>
      </c>
      <c r="AL469" s="15">
        <v>57.8</v>
      </c>
      <c r="AM469" s="1">
        <v>1</v>
      </c>
      <c r="AO469" s="1">
        <v>3</v>
      </c>
      <c r="AP469" s="15" t="s">
        <v>1302</v>
      </c>
      <c r="AQ469" s="57">
        <v>9</v>
      </c>
      <c r="AR469" s="1">
        <v>3</v>
      </c>
      <c r="BP469" s="16"/>
      <c r="BQ469" s="16"/>
      <c r="BR469" s="16"/>
      <c r="BU469" s="16"/>
      <c r="CC469" s="15" t="s">
        <v>1303</v>
      </c>
      <c r="CE469" s="15">
        <v>6000</v>
      </c>
      <c r="CF469" s="15">
        <f>CE469</f>
        <v>6000</v>
      </c>
      <c r="CG469" s="15" t="s">
        <v>766</v>
      </c>
      <c r="CH469" s="15">
        <v>9.52</v>
      </c>
      <c r="CI469" s="15">
        <v>400</v>
      </c>
      <c r="CK469" s="15">
        <v>598</v>
      </c>
      <c r="CL469" s="15">
        <v>13.4</v>
      </c>
      <c r="CM469" s="15">
        <v>2.4700000000000002</v>
      </c>
      <c r="CY469" s="25">
        <f>CF469</f>
        <v>6000</v>
      </c>
      <c r="CZ469" s="25">
        <f>CY469/0.78/1000</f>
        <v>7.6923076923076925</v>
      </c>
      <c r="DA469" s="25">
        <f>CY469*3</f>
        <v>18000</v>
      </c>
      <c r="EZ469" s="16"/>
      <c r="FA469" s="16"/>
      <c r="FB469" s="16"/>
      <c r="FC469" s="16"/>
      <c r="FD469" s="16"/>
      <c r="FE469" s="16"/>
      <c r="FF469" s="16"/>
      <c r="FG469" s="16"/>
      <c r="FH469" s="16"/>
      <c r="FI469" s="16"/>
      <c r="FJ469" s="16"/>
      <c r="FK469" s="16">
        <f t="shared" si="390"/>
        <v>5.72</v>
      </c>
      <c r="FL469" s="16">
        <f t="shared" si="391"/>
        <v>6.14</v>
      </c>
      <c r="FM469" s="15">
        <v>5.72</v>
      </c>
      <c r="FN469" s="15">
        <v>0.08</v>
      </c>
      <c r="FO469" s="15">
        <f>FN469*SQRT(AR469)</f>
        <v>0.13856406460551018</v>
      </c>
      <c r="FP469" s="15">
        <v>6.14</v>
      </c>
      <c r="FQ469" s="15">
        <v>0.02</v>
      </c>
      <c r="FR469" s="15">
        <f>FQ469*SQRT(AR469)</f>
        <v>3.4641016151377546E-2</v>
      </c>
      <c r="FS469" s="15">
        <f t="shared" si="394"/>
        <v>1.0734265734265733</v>
      </c>
      <c r="FT469" s="15">
        <f t="shared" si="395"/>
        <v>0.41999999999999993</v>
      </c>
      <c r="FU469" s="15">
        <f t="shared" si="396"/>
        <v>7.0855936767344696E-2</v>
      </c>
      <c r="FV469" s="15">
        <f>((FR469*FR469)/(AR469*FP469*FP469)+(FO469*FO469)/(AR469*FM469*FM469))</f>
        <v>2.062187793675587E-4</v>
      </c>
      <c r="FX469" s="15">
        <v>33.756</v>
      </c>
      <c r="FY469" s="15">
        <v>1.044</v>
      </c>
      <c r="FZ469" s="15">
        <f>FY469*SQRT(AR469)</f>
        <v>1.8082610431019079</v>
      </c>
      <c r="GA469" s="15">
        <v>43.673999999999999</v>
      </c>
      <c r="GB469" s="15">
        <v>0.87</v>
      </c>
      <c r="GC469" s="15">
        <f>GB469*SQRT(AR469)</f>
        <v>1.5068842025849232</v>
      </c>
      <c r="GD469" s="15">
        <v>2.2512371134020621</v>
      </c>
      <c r="GE469" s="15">
        <v>9.9180000000000046</v>
      </c>
      <c r="GF469" s="15">
        <f t="shared" si="423"/>
        <v>0.25759478006845571</v>
      </c>
      <c r="GG469" s="15">
        <f>((GC469*GC469)/(AR469*GA469*GA469)+(FZ469*FZ469)/(AR469*FX469*FX469))</f>
        <v>1.3533500790852155E-3</v>
      </c>
      <c r="GI469" s="15">
        <v>17.7</v>
      </c>
      <c r="GJ469" s="15">
        <v>0.5</v>
      </c>
      <c r="GK469" s="15">
        <f>GJ469*SQRT(AR153)</f>
        <v>0.8660254037844386</v>
      </c>
      <c r="GL469" s="15">
        <v>18.5</v>
      </c>
      <c r="GM469" s="15">
        <v>0.6</v>
      </c>
      <c r="GN469" s="15">
        <f>GM469*SQRT(AR153)</f>
        <v>1.0392304845413263</v>
      </c>
      <c r="GO469" s="15">
        <f t="shared" si="451"/>
        <v>1.0451977401129944</v>
      </c>
      <c r="GP469" s="15">
        <f t="shared" si="452"/>
        <v>0.80000000000000071</v>
      </c>
      <c r="GQ469" s="15">
        <f t="shared" si="453"/>
        <v>4.4206092504495587E-2</v>
      </c>
      <c r="GR469" s="15">
        <f>((GN469*GN469)/(AR153*GL469*GL469)+(GK469*GK469)/(AR153*GI469*GI469))</f>
        <v>1.8498453732193648E-3</v>
      </c>
      <c r="HE469" s="15">
        <v>7240</v>
      </c>
      <c r="HF469" s="15">
        <v>190</v>
      </c>
      <c r="HG469" s="15">
        <f>HF469*SQRT(AR168)</f>
        <v>329.08965343808666</v>
      </c>
      <c r="HH469" s="15">
        <v>7880</v>
      </c>
      <c r="HI469" s="15">
        <v>230</v>
      </c>
      <c r="HJ469" s="15">
        <f>HI469*SQRT(AR168)</f>
        <v>398.37168574084177</v>
      </c>
      <c r="HK469" s="15">
        <f t="shared" si="454"/>
        <v>1.0883977900552486</v>
      </c>
      <c r="HL469" s="15">
        <f t="shared" si="455"/>
        <v>640</v>
      </c>
      <c r="HM469" s="15">
        <f t="shared" si="456"/>
        <v>8.4706697472162418E-2</v>
      </c>
      <c r="HN469" s="15">
        <f>((HJ469*HJ469)/(AR168*HH469*HH469)+(HG469*HG469)/(AR168*HE469*HE469))</f>
        <v>1.5406286549710935E-3</v>
      </c>
      <c r="HP469" s="15" t="s">
        <v>766</v>
      </c>
      <c r="HV469" s="15">
        <f t="shared" si="457"/>
        <v>2124.979551459367</v>
      </c>
      <c r="HW469" s="15">
        <f t="shared" si="458"/>
        <v>8.4706697472162418E-2</v>
      </c>
      <c r="HX469" s="25">
        <f>DA469</f>
        <v>18000</v>
      </c>
      <c r="HY469" s="25">
        <f>CY469</f>
        <v>6000</v>
      </c>
      <c r="HZ469" s="25">
        <f>CZ469</f>
        <v>7.6923076923076925</v>
      </c>
      <c r="IA469" s="25">
        <f>DA469</f>
        <v>18000</v>
      </c>
    </row>
    <row r="470" spans="1:235" s="15" customFormat="1" x14ac:dyDescent="0.25">
      <c r="A470" s="31">
        <v>468</v>
      </c>
      <c r="B470" s="1">
        <v>83</v>
      </c>
      <c r="C470" s="1">
        <v>95</v>
      </c>
      <c r="D470" s="63" t="s">
        <v>428</v>
      </c>
      <c r="E470" s="1">
        <v>2</v>
      </c>
      <c r="F470" s="15" t="s">
        <v>777</v>
      </c>
      <c r="G470" s="15" t="s">
        <v>1298</v>
      </c>
      <c r="H470" s="15" t="s">
        <v>930</v>
      </c>
      <c r="I470" s="1">
        <v>2019</v>
      </c>
      <c r="J470" s="15" t="s">
        <v>1299</v>
      </c>
      <c r="K470" s="1" t="s">
        <v>1300</v>
      </c>
      <c r="L470" s="15" t="s">
        <v>1301</v>
      </c>
      <c r="M470" s="15" t="s">
        <v>73</v>
      </c>
      <c r="N470" s="15" t="s">
        <v>520</v>
      </c>
      <c r="O470" s="31">
        <v>2</v>
      </c>
      <c r="P470" s="15">
        <v>32.58</v>
      </c>
      <c r="Q470" s="15">
        <v>119.7</v>
      </c>
      <c r="S470" s="15">
        <v>1150</v>
      </c>
      <c r="T470" s="15">
        <v>15</v>
      </c>
      <c r="U470" s="15" t="s">
        <v>549</v>
      </c>
      <c r="V470" s="31">
        <v>1</v>
      </c>
      <c r="W470" s="15" t="s">
        <v>1179</v>
      </c>
      <c r="X470" s="15" t="s">
        <v>689</v>
      </c>
      <c r="Y470" s="1">
        <v>1</v>
      </c>
      <c r="Z470" s="15">
        <v>5.8</v>
      </c>
      <c r="AA470" s="15" t="s">
        <v>574</v>
      </c>
      <c r="AB470" s="15">
        <f t="shared" si="436"/>
        <v>5.8</v>
      </c>
      <c r="AC470" s="1">
        <v>4</v>
      </c>
      <c r="AD470" s="15">
        <f>19*1.74</f>
        <v>33.06</v>
      </c>
      <c r="AF470" s="15">
        <v>17</v>
      </c>
      <c r="AJ470" s="15">
        <v>13.6</v>
      </c>
      <c r="AK470" s="15">
        <v>28.5</v>
      </c>
      <c r="AL470" s="15">
        <v>57.8</v>
      </c>
      <c r="AM470" s="1">
        <v>1</v>
      </c>
      <c r="AO470" s="1">
        <v>3</v>
      </c>
      <c r="AP470" s="15" t="s">
        <v>1302</v>
      </c>
      <c r="AQ470" s="57">
        <v>9</v>
      </c>
      <c r="AR470" s="1">
        <v>3</v>
      </c>
      <c r="BP470" s="16"/>
      <c r="BQ470" s="16"/>
      <c r="BR470" s="16"/>
      <c r="BU470" s="16"/>
      <c r="CC470" s="15" t="s">
        <v>1303</v>
      </c>
      <c r="CE470" s="15">
        <v>12000</v>
      </c>
      <c r="CF470" s="15">
        <f>CE470</f>
        <v>12000</v>
      </c>
      <c r="CG470" s="15" t="s">
        <v>766</v>
      </c>
      <c r="CH470" s="15">
        <v>9.52</v>
      </c>
      <c r="CI470" s="15">
        <v>400</v>
      </c>
      <c r="CK470" s="15">
        <v>598</v>
      </c>
      <c r="CL470" s="15">
        <v>13.4</v>
      </c>
      <c r="CM470" s="15">
        <v>2.4700000000000002</v>
      </c>
      <c r="CY470" s="25">
        <f>CF470</f>
        <v>12000</v>
      </c>
      <c r="CZ470" s="25">
        <f>CY470/0.78/1000</f>
        <v>15.384615384615385</v>
      </c>
      <c r="DA470" s="25">
        <f>CY470*3</f>
        <v>36000</v>
      </c>
      <c r="EZ470" s="16"/>
      <c r="FA470" s="16"/>
      <c r="FB470" s="16"/>
      <c r="FC470" s="16"/>
      <c r="FD470" s="16"/>
      <c r="FE470" s="16"/>
      <c r="FF470" s="16"/>
      <c r="FG470" s="16"/>
      <c r="FH470" s="16"/>
      <c r="FI470" s="16"/>
      <c r="FJ470" s="16"/>
      <c r="FK470" s="16">
        <f t="shared" si="390"/>
        <v>5.72</v>
      </c>
      <c r="FL470" s="16">
        <f t="shared" si="391"/>
        <v>6.15</v>
      </c>
      <c r="FM470" s="15">
        <v>5.72</v>
      </c>
      <c r="FN470" s="15">
        <v>0.08</v>
      </c>
      <c r="FO470" s="15">
        <f>FN470*SQRT(AR470)</f>
        <v>0.13856406460551018</v>
      </c>
      <c r="FP470" s="15">
        <v>6.15</v>
      </c>
      <c r="FQ470" s="15">
        <v>0.04</v>
      </c>
      <c r="FR470" s="15">
        <f>FQ470*SQRT(AR470)</f>
        <v>6.9282032302755092E-2</v>
      </c>
      <c r="FS470" s="15">
        <f t="shared" si="394"/>
        <v>1.0751748251748252</v>
      </c>
      <c r="FT470" s="15">
        <f t="shared" si="395"/>
        <v>0.4300000000000006</v>
      </c>
      <c r="FU470" s="15">
        <f t="shared" si="396"/>
        <v>7.2483276426720256E-2</v>
      </c>
      <c r="FV470" s="15">
        <f>((FR470*FR470)/(AR470*FP470*FP470)+(FO470*FO470)/(AR470*FM470*FM470))</f>
        <v>2.3791144926998961E-4</v>
      </c>
      <c r="FX470" s="15">
        <v>33.756</v>
      </c>
      <c r="FY470" s="15">
        <v>1.044</v>
      </c>
      <c r="FZ470" s="15">
        <f>FY470*SQRT(AR470)</f>
        <v>1.8082610431019079</v>
      </c>
      <c r="GA470" s="15">
        <v>48.372</v>
      </c>
      <c r="GB470" s="15">
        <v>5.3940000000000001</v>
      </c>
      <c r="GC470" s="15">
        <f>GB470*SQRT(AR470)</f>
        <v>9.3426820560265238</v>
      </c>
      <c r="GD470" s="15">
        <v>2.4934020618556705</v>
      </c>
      <c r="GE470" s="15">
        <v>14.616000000000003</v>
      </c>
      <c r="GF470" s="15">
        <f t="shared" si="423"/>
        <v>0.35976295462730912</v>
      </c>
      <c r="GG470" s="15">
        <f>((GC470*GC470)/(AR470*GA470*GA470)+(FZ470*FZ470)/(AR470*FX470*FX470))</f>
        <v>1.3391187572249408E-2</v>
      </c>
      <c r="GI470" s="15">
        <v>17.7</v>
      </c>
      <c r="GJ470" s="15">
        <v>0.5</v>
      </c>
      <c r="GK470" s="15">
        <f>GJ470*SQRT(AR154)</f>
        <v>0.8660254037844386</v>
      </c>
      <c r="GL470" s="15">
        <v>19</v>
      </c>
      <c r="GM470" s="15">
        <v>0.8</v>
      </c>
      <c r="GN470" s="15">
        <f>GM470*SQRT(AR154)</f>
        <v>1.3856406460551018</v>
      </c>
      <c r="GO470" s="15">
        <f t="shared" si="451"/>
        <v>1.0734463276836159</v>
      </c>
      <c r="GP470" s="15">
        <f t="shared" si="452"/>
        <v>1.3000000000000007</v>
      </c>
      <c r="GQ470" s="15">
        <f t="shared" si="453"/>
        <v>7.0874339586656898E-2</v>
      </c>
      <c r="GR470" s="15">
        <f>((GN470*GN470)/(AR154*GL470*GL470)+(GK470*GK470)/(AR154*GI470*GI470))</f>
        <v>2.5708358853306374E-3</v>
      </c>
      <c r="HE470" s="15">
        <v>7240</v>
      </c>
      <c r="HF470" s="15">
        <v>190</v>
      </c>
      <c r="HG470" s="15">
        <f>HF470*SQRT(AR169)</f>
        <v>329.08965343808666</v>
      </c>
      <c r="HH470" s="15">
        <v>7160</v>
      </c>
      <c r="HI470" s="15">
        <v>410</v>
      </c>
      <c r="HJ470" s="15">
        <f>HI470*SQRT(AR169)</f>
        <v>710.14083110323963</v>
      </c>
      <c r="HK470" s="15">
        <f t="shared" si="454"/>
        <v>0.98895027624309395</v>
      </c>
      <c r="HL470" s="15">
        <f t="shared" si="455"/>
        <v>-80</v>
      </c>
      <c r="HM470" s="15">
        <f t="shared" si="456"/>
        <v>-1.1111225425072035E-2</v>
      </c>
      <c r="HN470" s="15">
        <f>((HJ470*HJ470)/(AR169*HH470*HH470)+(HG470*HG470)/(AR169*HE470*HE470))</f>
        <v>3.9677018824438729E-3</v>
      </c>
      <c r="HP470" s="15" t="s">
        <v>766</v>
      </c>
      <c r="HV470" s="15">
        <f t="shared" si="457"/>
        <v>-32399.666663919394</v>
      </c>
      <c r="HW470" s="15">
        <f t="shared" si="458"/>
        <v>-1.1111225425072035E-2</v>
      </c>
      <c r="HX470" s="25">
        <f>DA470</f>
        <v>36000</v>
      </c>
      <c r="HY470" s="25">
        <f>CY470</f>
        <v>12000</v>
      </c>
      <c r="HZ470" s="25">
        <f>CZ470</f>
        <v>15.384615384615385</v>
      </c>
      <c r="IA470" s="25">
        <f>DA470</f>
        <v>36000</v>
      </c>
    </row>
    <row r="471" spans="1:235" s="15" customFormat="1" x14ac:dyDescent="0.25">
      <c r="A471" s="31">
        <v>469</v>
      </c>
      <c r="B471" s="1">
        <v>84</v>
      </c>
      <c r="C471" s="1">
        <v>96</v>
      </c>
      <c r="D471" s="63" t="s">
        <v>429</v>
      </c>
      <c r="E471" s="1">
        <v>2</v>
      </c>
      <c r="F471" s="15" t="s">
        <v>777</v>
      </c>
      <c r="G471" s="15" t="s">
        <v>1305</v>
      </c>
      <c r="H471" s="15" t="s">
        <v>1306</v>
      </c>
      <c r="I471" s="1">
        <v>2016</v>
      </c>
      <c r="J471" s="15" t="s">
        <v>592</v>
      </c>
      <c r="K471" s="1" t="s">
        <v>1069</v>
      </c>
      <c r="L471" s="15" t="s">
        <v>1307</v>
      </c>
      <c r="M471" s="15" t="s">
        <v>1199</v>
      </c>
      <c r="N471" s="15" t="s">
        <v>1201</v>
      </c>
      <c r="O471" s="31">
        <v>1</v>
      </c>
      <c r="P471" s="15">
        <v>-17.134699999999999</v>
      </c>
      <c r="Q471" s="15">
        <v>145.4281</v>
      </c>
      <c r="R471" s="15">
        <v>594</v>
      </c>
      <c r="S471" s="15">
        <v>1032</v>
      </c>
      <c r="T471" s="15">
        <v>27.3</v>
      </c>
      <c r="U471" s="15" t="s">
        <v>549</v>
      </c>
      <c r="V471" s="31">
        <v>1</v>
      </c>
      <c r="W471" s="15" t="s">
        <v>1158</v>
      </c>
      <c r="X471" s="15" t="s">
        <v>1287</v>
      </c>
      <c r="Y471" s="1">
        <v>12</v>
      </c>
      <c r="Z471" s="15">
        <v>6.3</v>
      </c>
      <c r="AA471" s="15" t="s">
        <v>574</v>
      </c>
      <c r="AB471" s="15">
        <f t="shared" si="436"/>
        <v>6.3</v>
      </c>
      <c r="AC471" s="1">
        <v>5</v>
      </c>
      <c r="AD471" s="15">
        <f>20.1*1.74</f>
        <v>34.974000000000004</v>
      </c>
      <c r="AF471" s="15">
        <v>5.4</v>
      </c>
      <c r="AM471" s="1"/>
      <c r="AP471" s="15" t="s">
        <v>1203</v>
      </c>
      <c r="AQ471" s="1">
        <v>1</v>
      </c>
      <c r="AR471" s="1">
        <v>3</v>
      </c>
      <c r="BP471" s="16"/>
      <c r="BQ471" s="16"/>
      <c r="BR471" s="16"/>
      <c r="BU471" s="16"/>
      <c r="CC471" s="15" t="s">
        <v>1308</v>
      </c>
      <c r="CE471" s="15">
        <v>10000</v>
      </c>
      <c r="CF471" s="15">
        <f>CE471</f>
        <v>10000</v>
      </c>
      <c r="CG471" s="15" t="s">
        <v>766</v>
      </c>
      <c r="CH471" s="15">
        <v>8.3000000000000007</v>
      </c>
      <c r="CI471" s="15">
        <v>550</v>
      </c>
      <c r="CJ471" s="15">
        <v>11.2</v>
      </c>
      <c r="CK471" s="15">
        <v>475</v>
      </c>
      <c r="CL471" s="15">
        <v>3.8</v>
      </c>
      <c r="CN471" s="15">
        <v>7.4999999999999997E-2</v>
      </c>
      <c r="CY471" s="25">
        <f>CF471</f>
        <v>10000</v>
      </c>
      <c r="CZ471" s="25">
        <f>CY471/0.78/1000</f>
        <v>12.820512820512821</v>
      </c>
      <c r="DA471" s="25">
        <f>CY471*3</f>
        <v>30000</v>
      </c>
      <c r="EZ471" s="15">
        <v>0.75</v>
      </c>
      <c r="FA471" s="15">
        <f>EZ471*0.0596</f>
        <v>4.4700000000000004E-2</v>
      </c>
      <c r="FB471" s="15">
        <f>FA471*SQRT(AR471)</f>
        <v>7.7422671098328816E-2</v>
      </c>
      <c r="FC471" s="15">
        <v>0.72</v>
      </c>
      <c r="FD471" s="15">
        <f>FC471*0.0596</f>
        <v>4.2911999999999999E-2</v>
      </c>
      <c r="FE471" s="15">
        <f>FD471*SQRT(AR471)</f>
        <v>7.432576425439566E-2</v>
      </c>
      <c r="FF471" s="15">
        <f t="shared" ref="FF471:FF485" si="459">FC471/EZ471</f>
        <v>0.96</v>
      </c>
      <c r="FG471" s="15">
        <f t="shared" ref="FG471:FG485" si="460">FC471-EZ471</f>
        <v>-3.0000000000000027E-2</v>
      </c>
      <c r="FH471" s="15">
        <f t="shared" ref="FH471:FH485" si="461">LN(FC471)-LN(EZ471)</f>
        <v>-4.08219945202552E-2</v>
      </c>
      <c r="FI471" s="15">
        <f>((FE471*FE471)/(AR471*FC471*FC471)+(FB471*FB471)/(AR471*EZ471*EZ471))</f>
        <v>7.1043199999999999E-3</v>
      </c>
      <c r="FK471" s="16">
        <f t="shared" si="390"/>
        <v>5.41</v>
      </c>
      <c r="FL471" s="16">
        <f t="shared" si="391"/>
        <v>5.67</v>
      </c>
      <c r="FM471" s="15">
        <v>5.41</v>
      </c>
      <c r="FN471" s="15">
        <f>FM471*0.03</f>
        <v>0.1623</v>
      </c>
      <c r="FO471" s="15">
        <f>FN471*SQRT(AR471)</f>
        <v>0.28111184606842876</v>
      </c>
      <c r="FP471" s="15">
        <v>5.67</v>
      </c>
      <c r="FQ471" s="15">
        <f>FP471*0.03</f>
        <v>0.1701</v>
      </c>
      <c r="FR471" s="15">
        <f>FQ471*SQRT(AR471)</f>
        <v>0.29462184236746602</v>
      </c>
      <c r="FS471" s="15">
        <f t="shared" si="394"/>
        <v>1.0480591497227356</v>
      </c>
      <c r="FT471" s="15">
        <f t="shared" si="395"/>
        <v>0.25999999999999979</v>
      </c>
      <c r="FU471" s="15">
        <f t="shared" si="396"/>
        <v>4.6940024881270581E-2</v>
      </c>
      <c r="FV471" s="15">
        <f>((FR471*FR471)/(AR471*FP471*FP471)+(FO471*FO471)/(AR471*FM471*FM471))</f>
        <v>1.8E-3</v>
      </c>
      <c r="FX471" s="15">
        <f>21.5*1.74</f>
        <v>37.409999999999997</v>
      </c>
      <c r="FY471" s="15">
        <f>FX471*0.0355</f>
        <v>1.3280549999999998</v>
      </c>
      <c r="FZ471" s="15">
        <f>FY471*SQRT(AR471)</f>
        <v>2.300258735245885</v>
      </c>
      <c r="GA471" s="15">
        <f>37.3*1.74</f>
        <v>64.902000000000001</v>
      </c>
      <c r="GB471" s="15">
        <f>GA471*0.0355</f>
        <v>2.3040209999999997</v>
      </c>
      <c r="GC471" s="15">
        <f>GB471*SQRT(AR471)</f>
        <v>3.9906814337056513</v>
      </c>
      <c r="GD471" s="15">
        <f t="shared" ref="GD471:GD485" si="462">GA471/FX471</f>
        <v>1.7348837209302328</v>
      </c>
      <c r="GE471" s="15">
        <f t="shared" ref="GE471:GE485" si="463">GA471-FX471</f>
        <v>27.492000000000004</v>
      </c>
      <c r="GF471" s="15">
        <f t="shared" si="423"/>
        <v>0.55094039151615259</v>
      </c>
      <c r="GG471" s="15">
        <f>((GC471*GC471)/(AR471*GA471*GA471)+(FZ471*FZ471)/(AR471*FX471*FX471))</f>
        <v>2.5204999999999993E-3</v>
      </c>
      <c r="GI471" s="15">
        <v>5.2</v>
      </c>
      <c r="GJ471" s="15">
        <f>GI471*0.1</f>
        <v>0.52</v>
      </c>
      <c r="GK471" s="15">
        <f>GJ471*SQRT(AR155)</f>
        <v>0.9006664199358162</v>
      </c>
      <c r="GL471" s="15">
        <v>6.5</v>
      </c>
      <c r="GM471" s="15">
        <f>GL471*0.1</f>
        <v>0.65</v>
      </c>
      <c r="GN471" s="15">
        <f>GM471*SQRT(AR155)</f>
        <v>1.1258330249197701</v>
      </c>
      <c r="GO471" s="15">
        <f t="shared" si="451"/>
        <v>1.25</v>
      </c>
      <c r="GP471" s="15">
        <f t="shared" si="452"/>
        <v>1.2999999999999998</v>
      </c>
      <c r="GQ471" s="15">
        <f t="shared" si="453"/>
        <v>0.22314355131420971</v>
      </c>
      <c r="GR471" s="15">
        <f>((GN471*GN471)/(AR155*GL471*GL471)+(GK471*GK471)/(AR155*GI471*GI471))</f>
        <v>1.9999999999999997E-2</v>
      </c>
      <c r="GT471" s="15">
        <v>91</v>
      </c>
      <c r="GU471" s="15">
        <f>GT471*0.1</f>
        <v>9.1</v>
      </c>
      <c r="GV471" s="15">
        <f>GU471*SQRT(AR141)</f>
        <v>15.761662348876781</v>
      </c>
      <c r="GW471" s="15">
        <v>98</v>
      </c>
      <c r="GX471" s="15">
        <f>GW471*0.1</f>
        <v>9.8000000000000007</v>
      </c>
      <c r="GY471" s="15">
        <f>GX471*SQRT(AR141)</f>
        <v>16.974097914174997</v>
      </c>
      <c r="GZ471" s="15">
        <f>GW471/GT471</f>
        <v>1.0769230769230769</v>
      </c>
      <c r="HA471" s="15">
        <f>GW471-GT471</f>
        <v>7</v>
      </c>
      <c r="HB471" s="15">
        <f>LN(GW471)-LN(GT471)</f>
        <v>7.4107972153722557E-2</v>
      </c>
      <c r="HC471" s="15">
        <f>((GY471*GY471)/(AR141*GW471*GW471)+(GV471*GV471)/(AR141*GT471*GT471))</f>
        <v>1.9999999999999997E-2</v>
      </c>
      <c r="HE471" s="15">
        <v>7140</v>
      </c>
      <c r="HF471" s="15">
        <f>0.068*HE471</f>
        <v>485.52000000000004</v>
      </c>
      <c r="HG471" s="15">
        <f>HF471*SQRT(AR170)</f>
        <v>840.94530809084131</v>
      </c>
      <c r="HH471" s="15">
        <v>9210</v>
      </c>
      <c r="HI471" s="15">
        <f>HH471*0.068</f>
        <v>626.28000000000009</v>
      </c>
      <c r="HJ471" s="15">
        <f>HI471*SQRT(AR170)</f>
        <v>1084.7487797642366</v>
      </c>
      <c r="HK471" s="15">
        <f t="shared" si="454"/>
        <v>1.2899159663865547</v>
      </c>
      <c r="HL471" s="15">
        <f t="shared" si="455"/>
        <v>2070</v>
      </c>
      <c r="HM471" s="15">
        <f t="shared" si="456"/>
        <v>0.25457707391572271</v>
      </c>
      <c r="HN471" s="15">
        <f>((HJ471*HJ471)/(AR170*HH471*HH471)+(HG471*HG471)/(AR170*HE471*HE471))</f>
        <v>9.248000000000001E-3</v>
      </c>
      <c r="HP471" s="15" t="s">
        <v>766</v>
      </c>
      <c r="HV471" s="15">
        <f t="shared" si="457"/>
        <v>1178.42504584413</v>
      </c>
      <c r="HW471" s="15">
        <f t="shared" si="458"/>
        <v>0.25457707391572271</v>
      </c>
      <c r="HX471" s="25">
        <f>DA471</f>
        <v>30000</v>
      </c>
      <c r="HY471" s="25">
        <f>CY471</f>
        <v>10000</v>
      </c>
      <c r="HZ471" s="25">
        <f>CZ471</f>
        <v>12.820512820512821</v>
      </c>
      <c r="IA471" s="25">
        <f>DA471</f>
        <v>30000</v>
      </c>
    </row>
    <row r="472" spans="1:235" s="15" customFormat="1" x14ac:dyDescent="0.25">
      <c r="A472" s="31">
        <v>470</v>
      </c>
      <c r="B472" s="1">
        <v>84</v>
      </c>
      <c r="C472" s="1">
        <v>96</v>
      </c>
      <c r="D472" s="63" t="s">
        <v>430</v>
      </c>
      <c r="E472" s="1">
        <v>4</v>
      </c>
      <c r="F472" s="15" t="s">
        <v>1019</v>
      </c>
      <c r="G472" s="15" t="s">
        <v>1305</v>
      </c>
      <c r="H472" s="15" t="s">
        <v>1306</v>
      </c>
      <c r="I472" s="1">
        <v>2016</v>
      </c>
      <c r="J472" s="15" t="s">
        <v>592</v>
      </c>
      <c r="K472" s="1" t="s">
        <v>1069</v>
      </c>
      <c r="L472" s="15" t="s">
        <v>1307</v>
      </c>
      <c r="M472" s="15" t="s">
        <v>1199</v>
      </c>
      <c r="N472" s="15" t="s">
        <v>1201</v>
      </c>
      <c r="O472" s="31">
        <v>1</v>
      </c>
      <c r="P472" s="15">
        <v>-17.134699999999999</v>
      </c>
      <c r="Q472" s="15">
        <v>145.4281</v>
      </c>
      <c r="R472" s="15">
        <v>594</v>
      </c>
      <c r="S472" s="15">
        <v>1032</v>
      </c>
      <c r="T472" s="15">
        <v>27.3</v>
      </c>
      <c r="U472" s="15" t="s">
        <v>549</v>
      </c>
      <c r="V472" s="31">
        <v>1</v>
      </c>
      <c r="W472" s="15" t="s">
        <v>1158</v>
      </c>
      <c r="X472" s="15" t="s">
        <v>1287</v>
      </c>
      <c r="Y472" s="1">
        <v>12</v>
      </c>
      <c r="Z472" s="15">
        <v>6.3</v>
      </c>
      <c r="AA472" s="15" t="s">
        <v>574</v>
      </c>
      <c r="AB472" s="15">
        <f t="shared" si="436"/>
        <v>6.3</v>
      </c>
      <c r="AC472" s="1">
        <v>5</v>
      </c>
      <c r="AD472" s="15">
        <f>20.1*1.74</f>
        <v>34.974000000000004</v>
      </c>
      <c r="AF472" s="15">
        <v>5.4</v>
      </c>
      <c r="AM472" s="1"/>
      <c r="AP472" s="15" t="s">
        <v>1203</v>
      </c>
      <c r="AQ472" s="1">
        <v>1</v>
      </c>
      <c r="AR472" s="1">
        <v>3</v>
      </c>
      <c r="BF472" s="15">
        <v>7.5</v>
      </c>
      <c r="BG472" s="15" t="s">
        <v>1309</v>
      </c>
      <c r="BI472" s="15">
        <v>306</v>
      </c>
      <c r="BJ472" s="15">
        <v>3.8</v>
      </c>
      <c r="BP472" s="16"/>
      <c r="BQ472" s="16"/>
      <c r="BR472" s="16"/>
      <c r="BS472" s="15">
        <v>25000</v>
      </c>
      <c r="BT472" s="15">
        <f>BS472</f>
        <v>25000</v>
      </c>
      <c r="BU472" s="15" t="s">
        <v>766</v>
      </c>
      <c r="BV472" s="15">
        <v>8.77</v>
      </c>
      <c r="BY472" s="15">
        <f>BT472</f>
        <v>25000</v>
      </c>
      <c r="BZ472" s="15">
        <f>BY472/1.1/1000</f>
        <v>22.727272727272723</v>
      </c>
      <c r="CA472" s="15">
        <f>BY472*2</f>
        <v>50000</v>
      </c>
      <c r="EZ472" s="15">
        <v>0.75</v>
      </c>
      <c r="FA472" s="15">
        <f>EZ472*0.0596</f>
        <v>4.4700000000000004E-2</v>
      </c>
      <c r="FB472" s="15">
        <f>FA472*SQRT(AR472)</f>
        <v>7.7422671098328816E-2</v>
      </c>
      <c r="FC472" s="15">
        <v>0.79</v>
      </c>
      <c r="FD472" s="15">
        <f>FC472*0.0596</f>
        <v>4.7084000000000001E-2</v>
      </c>
      <c r="FE472" s="15">
        <f>FD472*SQRT(AR472)</f>
        <v>8.1551880223573014E-2</v>
      </c>
      <c r="FF472" s="15">
        <f t="shared" si="459"/>
        <v>1.0533333333333335</v>
      </c>
      <c r="FG472" s="15">
        <f t="shared" si="460"/>
        <v>4.0000000000000036E-2</v>
      </c>
      <c r="FH472" s="15">
        <f t="shared" si="461"/>
        <v>5.1959738930711069E-2</v>
      </c>
      <c r="FI472" s="15">
        <f>((FE472*FE472)/(AR472*FC472*FC472)+(FB472*FB472)/(AR472*EZ472*EZ472))</f>
        <v>7.1043199999999999E-3</v>
      </c>
      <c r="FK472" s="16">
        <f t="shared" si="390"/>
        <v>5.41</v>
      </c>
      <c r="FL472" s="16">
        <f t="shared" si="391"/>
        <v>5.82</v>
      </c>
      <c r="FM472" s="15">
        <v>5.41</v>
      </c>
      <c r="FN472" s="15">
        <f>FM472*0.03</f>
        <v>0.1623</v>
      </c>
      <c r="FO472" s="15">
        <f>FN472*SQRT(AR472)</f>
        <v>0.28111184606842876</v>
      </c>
      <c r="FP472" s="15">
        <v>5.82</v>
      </c>
      <c r="FQ472" s="15">
        <f>FP472*0.03</f>
        <v>0.17460000000000001</v>
      </c>
      <c r="FR472" s="15">
        <f>FQ472*SQRT(AR472)</f>
        <v>0.30241607100152595</v>
      </c>
      <c r="FS472" s="15">
        <f t="shared" si="394"/>
        <v>1.0757855822550833</v>
      </c>
      <c r="FT472" s="15">
        <f t="shared" si="395"/>
        <v>0.41000000000000014</v>
      </c>
      <c r="FU472" s="15">
        <f t="shared" si="396"/>
        <v>7.3051168884956219E-2</v>
      </c>
      <c r="FV472" s="15">
        <f>((FR472*FR472)/(AR472*FP472*FP472)+(FO472*FO472)/(AR472*FM472*FM472))</f>
        <v>1.7999999999999997E-3</v>
      </c>
      <c r="FX472" s="15">
        <f>21.5*1.74</f>
        <v>37.409999999999997</v>
      </c>
      <c r="FY472" s="15">
        <f>FX472*0.0355</f>
        <v>1.3280549999999998</v>
      </c>
      <c r="FZ472" s="15">
        <f>FY472*SQRT(AR472)</f>
        <v>2.300258735245885</v>
      </c>
      <c r="GA472" s="15">
        <f>31.1*1.74</f>
        <v>54.114000000000004</v>
      </c>
      <c r="GB472" s="15">
        <f>GA472*0.0355</f>
        <v>1.9210469999999999</v>
      </c>
      <c r="GC472" s="15">
        <f>GB472*SQRT(AR472)</f>
        <v>3.3273510077277688</v>
      </c>
      <c r="GD472" s="15">
        <f t="shared" si="462"/>
        <v>1.446511627906977</v>
      </c>
      <c r="GE472" s="15">
        <f t="shared" si="463"/>
        <v>16.704000000000008</v>
      </c>
      <c r="GF472" s="15">
        <f t="shared" si="423"/>
        <v>0.36915488405157149</v>
      </c>
      <c r="GG472" s="15">
        <f>((GC472*GC472)/(AR472*GA472*GA472)+(FZ472*FZ472)/(AR472*FX472*FX472))</f>
        <v>2.5204999999999993E-3</v>
      </c>
      <c r="GI472" s="15">
        <v>5.2</v>
      </c>
      <c r="GJ472" s="15">
        <f>GI472*0.1</f>
        <v>0.52</v>
      </c>
      <c r="GK472" s="15">
        <f>GJ472*SQRT(AR156)</f>
        <v>0.9006664199358162</v>
      </c>
      <c r="GL472" s="15">
        <v>6.9</v>
      </c>
      <c r="GM472" s="15">
        <f>GL472*0.1</f>
        <v>0.69000000000000006</v>
      </c>
      <c r="GN472" s="15">
        <f>GM472*SQRT(AR156)</f>
        <v>1.1951150572225253</v>
      </c>
      <c r="GO472" s="15">
        <f t="shared" si="451"/>
        <v>1.3269230769230769</v>
      </c>
      <c r="GP472" s="15">
        <f t="shared" si="452"/>
        <v>1.7000000000000002</v>
      </c>
      <c r="GQ472" s="15">
        <f t="shared" si="453"/>
        <v>0.28286278601583215</v>
      </c>
      <c r="GR472" s="15">
        <f>((GN472*GN472)/(AR156*GL472*GL472)+(GK472*GK472)/(AR156*GI472*GI472))</f>
        <v>1.9999999999999997E-2</v>
      </c>
      <c r="GT472" s="15">
        <v>91</v>
      </c>
      <c r="GU472" s="15">
        <f>GT472*0.1</f>
        <v>9.1</v>
      </c>
      <c r="GV472" s="15">
        <f>GU472*SQRT(AR142)</f>
        <v>15.761662348876781</v>
      </c>
      <c r="GW472" s="15">
        <v>96</v>
      </c>
      <c r="GX472" s="15">
        <f>GW472*0.1</f>
        <v>9.6000000000000014</v>
      </c>
      <c r="GY472" s="15">
        <f>GX472*SQRT(AR142)</f>
        <v>16.627687752661224</v>
      </c>
      <c r="GZ472" s="15">
        <f>GW472/GT472</f>
        <v>1.054945054945055</v>
      </c>
      <c r="HA472" s="15">
        <f>GW472-GT472</f>
        <v>5</v>
      </c>
      <c r="HB472" s="15">
        <f>LN(GW472)-LN(GT472)</f>
        <v>5.3488684950986354E-2</v>
      </c>
      <c r="HC472" s="15">
        <f>((GY472*GY472)/(AR142*GW472*GW472)+(GV472*GV472)/(AR142*GT472*GT472))</f>
        <v>1.9999999999999997E-2</v>
      </c>
      <c r="HE472" s="15">
        <v>7140</v>
      </c>
      <c r="HF472" s="15">
        <f>0.068*HE472</f>
        <v>485.52000000000004</v>
      </c>
      <c r="HG472" s="15">
        <f>HF472*SQRT(AR171)</f>
        <v>840.94530809084131</v>
      </c>
      <c r="HH472" s="15">
        <v>7820</v>
      </c>
      <c r="HI472" s="15">
        <f>HH472*0.068</f>
        <v>531.76</v>
      </c>
      <c r="HJ472" s="15">
        <f>HI472*SQRT(AR171)</f>
        <v>921.03533743282617</v>
      </c>
      <c r="HK472" s="15">
        <f t="shared" si="454"/>
        <v>1.0952380952380953</v>
      </c>
      <c r="HL472" s="15">
        <f t="shared" si="455"/>
        <v>680</v>
      </c>
      <c r="HM472" s="15">
        <f t="shared" si="456"/>
        <v>9.0971778205727105E-2</v>
      </c>
      <c r="HN472" s="15">
        <f>((HJ472*HJ472)/(AR171*HH472*HH472)+(HG472*HG472)/(AR171*HE472*HE472))</f>
        <v>9.2479999999999993E-3</v>
      </c>
      <c r="HP472" s="15" t="s">
        <v>766</v>
      </c>
      <c r="HV472" s="15">
        <f t="shared" si="457"/>
        <v>5496.2100319648653</v>
      </c>
      <c r="HW472" s="15">
        <f t="shared" si="458"/>
        <v>9.0971778205727105E-2</v>
      </c>
      <c r="HX472" s="15">
        <f>CA472</f>
        <v>50000</v>
      </c>
      <c r="HY472" s="15">
        <f>BY472</f>
        <v>25000</v>
      </c>
      <c r="HZ472" s="15">
        <f>BZ472</f>
        <v>22.727272727272723</v>
      </c>
      <c r="IA472" s="15">
        <f>CA472</f>
        <v>50000</v>
      </c>
    </row>
    <row r="473" spans="1:235" s="15" customFormat="1" x14ac:dyDescent="0.25">
      <c r="A473" s="31">
        <v>471</v>
      </c>
      <c r="B473" s="1">
        <v>84</v>
      </c>
      <c r="C473" s="1">
        <v>96</v>
      </c>
      <c r="D473" s="63" t="s">
        <v>431</v>
      </c>
      <c r="E473" s="1">
        <v>6</v>
      </c>
      <c r="F473" s="15" t="s">
        <v>1304</v>
      </c>
      <c r="G473" s="15" t="s">
        <v>1305</v>
      </c>
      <c r="H473" s="15" t="s">
        <v>1306</v>
      </c>
      <c r="I473" s="1">
        <v>2016</v>
      </c>
      <c r="J473" s="15" t="s">
        <v>592</v>
      </c>
      <c r="K473" s="1" t="s">
        <v>1069</v>
      </c>
      <c r="L473" s="15" t="s">
        <v>1307</v>
      </c>
      <c r="M473" s="15" t="s">
        <v>1199</v>
      </c>
      <c r="N473" s="15" t="s">
        <v>1201</v>
      </c>
      <c r="O473" s="31">
        <v>1</v>
      </c>
      <c r="P473" s="15">
        <v>-17.134699999999999</v>
      </c>
      <c r="Q473" s="15">
        <v>145.4281</v>
      </c>
      <c r="R473" s="15">
        <v>594</v>
      </c>
      <c r="S473" s="15">
        <v>1032</v>
      </c>
      <c r="T473" s="15">
        <v>27.3</v>
      </c>
      <c r="U473" s="15" t="s">
        <v>549</v>
      </c>
      <c r="V473" s="31">
        <v>1</v>
      </c>
      <c r="W473" s="15" t="s">
        <v>1158</v>
      </c>
      <c r="X473" s="15" t="s">
        <v>1287</v>
      </c>
      <c r="Y473" s="1">
        <v>12</v>
      </c>
      <c r="Z473" s="15">
        <v>6.3</v>
      </c>
      <c r="AA473" s="15" t="s">
        <v>574</v>
      </c>
      <c r="AB473" s="15">
        <f t="shared" si="436"/>
        <v>6.3</v>
      </c>
      <c r="AC473" s="1">
        <v>5</v>
      </c>
      <c r="AD473" s="15">
        <f>20.1*1.74</f>
        <v>34.974000000000004</v>
      </c>
      <c r="AF473" s="15">
        <v>5.4</v>
      </c>
      <c r="AM473" s="1"/>
      <c r="AP473" s="15" t="s">
        <v>1203</v>
      </c>
      <c r="AQ473" s="1">
        <v>1</v>
      </c>
      <c r="AR473" s="1">
        <v>3</v>
      </c>
      <c r="BF473" s="15">
        <v>7.5</v>
      </c>
      <c r="BG473" s="15" t="s">
        <v>1309</v>
      </c>
      <c r="BI473" s="15">
        <v>306</v>
      </c>
      <c r="BJ473" s="15">
        <v>3.8</v>
      </c>
      <c r="BP473" s="16"/>
      <c r="BQ473" s="16"/>
      <c r="BR473" s="16"/>
      <c r="BS473" s="15">
        <v>25000</v>
      </c>
      <c r="BT473" s="15">
        <f>BS473</f>
        <v>25000</v>
      </c>
      <c r="BU473" s="15" t="s">
        <v>766</v>
      </c>
      <c r="BV473" s="15">
        <v>8.77</v>
      </c>
      <c r="BY473" s="15">
        <f>BT473</f>
        <v>25000</v>
      </c>
      <c r="BZ473" s="15">
        <f>BY473/1.1/1000</f>
        <v>22.727272727272723</v>
      </c>
      <c r="CA473" s="15">
        <f>BY473*2</f>
        <v>50000</v>
      </c>
      <c r="CC473" s="15" t="s">
        <v>1308</v>
      </c>
      <c r="CE473" s="15">
        <v>2500</v>
      </c>
      <c r="CF473" s="15">
        <f>CE473</f>
        <v>2500</v>
      </c>
      <c r="CG473" s="15" t="s">
        <v>766</v>
      </c>
      <c r="CH473" s="15">
        <v>8.3000000000000007</v>
      </c>
      <c r="CI473" s="15">
        <v>550</v>
      </c>
      <c r="CJ473" s="15">
        <v>11.2</v>
      </c>
      <c r="CK473" s="15">
        <v>475</v>
      </c>
      <c r="CL473" s="15">
        <v>3.8</v>
      </c>
      <c r="CN473" s="15">
        <v>7.4999999999999997E-2</v>
      </c>
      <c r="CY473" s="25">
        <f>CF473</f>
        <v>2500</v>
      </c>
      <c r="CZ473" s="25">
        <f>CY473/0.78/1000</f>
        <v>3.2051282051282053</v>
      </c>
      <c r="DA473" s="25">
        <f>CY473*3</f>
        <v>7500</v>
      </c>
      <c r="EW473" s="46">
        <f>AX473+BT473+CF473+DE473+DY473</f>
        <v>27500</v>
      </c>
      <c r="EX473" s="46">
        <f>BA473+BZ473+CZ473+DT473+ET473</f>
        <v>25.932400932400927</v>
      </c>
      <c r="EY473" s="46">
        <f>BB473+CA473+DA473+DU473+EU473</f>
        <v>57500</v>
      </c>
      <c r="EZ473" s="15">
        <v>0.75</v>
      </c>
      <c r="FA473" s="15">
        <f>EZ473*0.0596</f>
        <v>4.4700000000000004E-2</v>
      </c>
      <c r="FB473" s="15">
        <f>FA473*SQRT(AR473)</f>
        <v>7.7422671098328816E-2</v>
      </c>
      <c r="FC473" s="15">
        <v>0.81</v>
      </c>
      <c r="FD473" s="15">
        <f>FC473*0.0596</f>
        <v>4.8276000000000006E-2</v>
      </c>
      <c r="FE473" s="15">
        <f>FD473*SQRT(AR473)</f>
        <v>8.3616484786195128E-2</v>
      </c>
      <c r="FF473" s="15">
        <f t="shared" si="459"/>
        <v>1.08</v>
      </c>
      <c r="FG473" s="15">
        <f t="shared" si="460"/>
        <v>6.0000000000000053E-2</v>
      </c>
      <c r="FH473" s="15">
        <f t="shared" si="461"/>
        <v>7.6961041136128366E-2</v>
      </c>
      <c r="FI473" s="15">
        <f>((FE473*FE473)/(AR473*FC473*FC473)+(FB473*FB473)/(AR473*EZ473*EZ473))</f>
        <v>7.1043200000000008E-3</v>
      </c>
      <c r="FK473" s="16">
        <f t="shared" si="390"/>
        <v>5.41</v>
      </c>
      <c r="FL473" s="16">
        <f t="shared" si="391"/>
        <v>5.65</v>
      </c>
      <c r="FM473" s="15">
        <v>5.41</v>
      </c>
      <c r="FN473" s="15">
        <f>FM473*0.03</f>
        <v>0.1623</v>
      </c>
      <c r="FO473" s="15">
        <f>FN473*SQRT(AR473)</f>
        <v>0.28111184606842876</v>
      </c>
      <c r="FP473" s="15">
        <v>5.65</v>
      </c>
      <c r="FQ473" s="15">
        <f>FP473*0.03</f>
        <v>0.16950000000000001</v>
      </c>
      <c r="FR473" s="15">
        <f>FQ473*SQRT(AR473)</f>
        <v>0.29358261188292473</v>
      </c>
      <c r="FS473" s="15">
        <f t="shared" si="394"/>
        <v>1.0443622920517561</v>
      </c>
      <c r="FT473" s="15">
        <f t="shared" si="395"/>
        <v>0.24000000000000021</v>
      </c>
      <c r="FU473" s="15">
        <f t="shared" si="396"/>
        <v>4.3406452299959541E-2</v>
      </c>
      <c r="FV473" s="15">
        <f>((FR473*FR473)/(AR473*FP473*FP473)+(FO473*FO473)/(AR473*FM473*FM473))</f>
        <v>1.7999999999999997E-3</v>
      </c>
      <c r="FX473" s="15">
        <f>21.5*1.74</f>
        <v>37.409999999999997</v>
      </c>
      <c r="FY473" s="15">
        <f>FX473*0.0355</f>
        <v>1.3280549999999998</v>
      </c>
      <c r="FZ473" s="15">
        <f>FY473*SQRT(AR473)</f>
        <v>2.300258735245885</v>
      </c>
      <c r="GA473" s="15">
        <f>33.2*1.74</f>
        <v>57.768000000000008</v>
      </c>
      <c r="GB473" s="15">
        <f>GA473*0.0355</f>
        <v>2.050764</v>
      </c>
      <c r="GC473" s="15">
        <f>GB473*SQRT(AR473)</f>
        <v>3.552027442333181</v>
      </c>
      <c r="GD473" s="15">
        <f t="shared" si="462"/>
        <v>1.5441860465116282</v>
      </c>
      <c r="GE473" s="15">
        <f t="shared" si="463"/>
        <v>20.358000000000011</v>
      </c>
      <c r="GF473" s="15">
        <f t="shared" si="423"/>
        <v>0.43449694078882573</v>
      </c>
      <c r="GG473" s="15">
        <f>((GC473*GC473)/(AR473*GA473*GA473)+(FZ473*FZ473)/(AR473*FX473*FX473))</f>
        <v>2.5204999999999993E-3</v>
      </c>
      <c r="GI473" s="15">
        <v>5.2</v>
      </c>
      <c r="GJ473" s="15">
        <f>GI473*0.1</f>
        <v>0.52</v>
      </c>
      <c r="GK473" s="15">
        <f>GJ473*SQRT(AR157)</f>
        <v>0.9006664199358162</v>
      </c>
      <c r="GL473" s="15">
        <v>6.8</v>
      </c>
      <c r="GM473" s="15">
        <f>GL473*0.1</f>
        <v>0.68</v>
      </c>
      <c r="GN473" s="15">
        <f>GM473*SQRT(AR157)</f>
        <v>1.1777945491468367</v>
      </c>
      <c r="GO473" s="15">
        <f t="shared" si="451"/>
        <v>1.3076923076923077</v>
      </c>
      <c r="GP473" s="15">
        <f t="shared" si="452"/>
        <v>1.5999999999999996</v>
      </c>
      <c r="GQ473" s="15">
        <f t="shared" si="453"/>
        <v>0.26826398659467943</v>
      </c>
      <c r="GR473" s="15">
        <f>((GN473*GN473)/(AR157*GL473*GL473)+(GK473*GK473)/(AR157*GI473*GI473))</f>
        <v>2.0000000000000004E-2</v>
      </c>
      <c r="GT473" s="15">
        <v>91</v>
      </c>
      <c r="GU473" s="15">
        <f>GT473*0.1</f>
        <v>9.1</v>
      </c>
      <c r="GV473" s="15">
        <f>GU473*SQRT(AR143)</f>
        <v>15.761662348876781</v>
      </c>
      <c r="GW473" s="15">
        <v>97</v>
      </c>
      <c r="GX473" s="15">
        <f>GW473*0.1</f>
        <v>9.7000000000000011</v>
      </c>
      <c r="GY473" s="15">
        <f>GX473*SQRT(AR143)</f>
        <v>16.800892833418111</v>
      </c>
      <c r="GZ473" s="15">
        <f>GW473/GT473</f>
        <v>1.0659340659340659</v>
      </c>
      <c r="HA473" s="15">
        <f>GW473-GT473</f>
        <v>6</v>
      </c>
      <c r="HB473" s="15">
        <f>LN(GW473)-LN(GT473)</f>
        <v>6.385147198653307E-2</v>
      </c>
      <c r="HC473" s="15">
        <f>((GY473*GY473)/(AR143*GW473*GW473)+(GV473*GV473)/(AR143*GT473*GT473))</f>
        <v>1.9999999999999997E-2</v>
      </c>
      <c r="HE473" s="15">
        <v>7140</v>
      </c>
      <c r="HF473" s="15">
        <f>0.068*HE473</f>
        <v>485.52000000000004</v>
      </c>
      <c r="HG473" s="15">
        <f>HF473*SQRT(AR172)</f>
        <v>840.94530809084131</v>
      </c>
      <c r="HH473" s="15">
        <v>8570</v>
      </c>
      <c r="HI473" s="15">
        <f>HH473*0.068</f>
        <v>582.76</v>
      </c>
      <c r="HJ473" s="15">
        <f>HI473*SQRT(AR172)</f>
        <v>1009.3699286188389</v>
      </c>
      <c r="HK473" s="15">
        <f t="shared" si="454"/>
        <v>1.2002801120448179</v>
      </c>
      <c r="HL473" s="15">
        <f t="shared" si="455"/>
        <v>1430</v>
      </c>
      <c r="HM473" s="15">
        <f t="shared" si="456"/>
        <v>0.18255495625819584</v>
      </c>
      <c r="HN473" s="15">
        <f>((HJ473*HJ473)/(AR172*HH473*HH473)+(HG473*HG473)/(AR172*HE473*HE473))</f>
        <v>9.2479999999999993E-3</v>
      </c>
      <c r="HP473" s="15" t="s">
        <v>766</v>
      </c>
      <c r="HV473" s="15">
        <f t="shared" si="457"/>
        <v>3149.7364507964994</v>
      </c>
      <c r="HW473" s="15">
        <f t="shared" si="458"/>
        <v>0.18255495625819584</v>
      </c>
      <c r="HX473" s="15">
        <f>EY473</f>
        <v>57500</v>
      </c>
      <c r="HY473" s="15">
        <f>EW473</f>
        <v>27500</v>
      </c>
      <c r="HZ473" s="15">
        <f>EX473</f>
        <v>25.932400932400927</v>
      </c>
      <c r="IA473" s="15">
        <f>EY473</f>
        <v>57500</v>
      </c>
    </row>
    <row r="474" spans="1:235" s="15" customFormat="1" x14ac:dyDescent="0.25">
      <c r="A474" s="31">
        <v>472</v>
      </c>
      <c r="B474" s="1">
        <v>85</v>
      </c>
      <c r="C474" s="1">
        <v>97</v>
      </c>
      <c r="D474" s="15" t="s">
        <v>432</v>
      </c>
      <c r="E474" s="1">
        <v>2</v>
      </c>
      <c r="F474" s="15" t="s">
        <v>777</v>
      </c>
      <c r="G474" s="15" t="s">
        <v>1312</v>
      </c>
      <c r="H474" s="15" t="s">
        <v>1311</v>
      </c>
      <c r="I474" s="1">
        <v>2018</v>
      </c>
      <c r="J474" s="15" t="s">
        <v>1310</v>
      </c>
      <c r="K474" s="1" t="s">
        <v>1315</v>
      </c>
      <c r="L474" s="15" t="s">
        <v>1313</v>
      </c>
      <c r="M474" s="15" t="s">
        <v>1314</v>
      </c>
      <c r="N474" s="15" t="s">
        <v>520</v>
      </c>
      <c r="O474" s="31">
        <v>3</v>
      </c>
      <c r="P474" s="15">
        <v>36.270000000000003</v>
      </c>
      <c r="Q474" s="15">
        <v>59.6</v>
      </c>
      <c r="R474" s="15">
        <v>354</v>
      </c>
      <c r="S474" s="15">
        <v>361</v>
      </c>
      <c r="T474" s="15">
        <v>16.3</v>
      </c>
      <c r="U474" s="15" t="s">
        <v>549</v>
      </c>
      <c r="V474" s="31">
        <v>1</v>
      </c>
      <c r="W474" s="15" t="s">
        <v>1226</v>
      </c>
      <c r="X474" s="15" t="s">
        <v>1316</v>
      </c>
      <c r="Y474" s="1">
        <v>2</v>
      </c>
      <c r="Z474" s="15">
        <v>6.4</v>
      </c>
      <c r="AA474" s="15" t="s">
        <v>574</v>
      </c>
      <c r="AB474" s="15">
        <f t="shared" si="436"/>
        <v>6.4</v>
      </c>
      <c r="AC474" s="1">
        <v>5</v>
      </c>
      <c r="AD474" s="15">
        <f t="shared" ref="AD474:AD485" si="464">12.8*1.74</f>
        <v>22.272000000000002</v>
      </c>
      <c r="AF474" s="15">
        <v>11.8</v>
      </c>
      <c r="AJ474" s="15">
        <v>41.1</v>
      </c>
      <c r="AK474" s="15">
        <v>21.5</v>
      </c>
      <c r="AL474" s="15">
        <v>37.4</v>
      </c>
      <c r="AM474" s="1">
        <v>1</v>
      </c>
      <c r="AN474" s="15">
        <v>1.83</v>
      </c>
      <c r="AO474" s="1">
        <v>1</v>
      </c>
      <c r="AP474" s="15" t="s">
        <v>1622</v>
      </c>
      <c r="AQ474" s="57">
        <v>10</v>
      </c>
      <c r="AR474" s="1">
        <v>3</v>
      </c>
      <c r="CC474" s="15" t="s">
        <v>1318</v>
      </c>
      <c r="CE474" s="15">
        <v>10000</v>
      </c>
      <c r="CF474" s="15">
        <f>CE474</f>
        <v>10000</v>
      </c>
      <c r="CG474" s="15" t="s">
        <v>766</v>
      </c>
      <c r="CH474" s="15">
        <v>9.6999999999999993</v>
      </c>
      <c r="CI474" s="15">
        <v>800</v>
      </c>
      <c r="CK474" s="15">
        <v>519</v>
      </c>
      <c r="CL474" s="15">
        <v>8.5</v>
      </c>
      <c r="CM474" s="15">
        <v>7.3</v>
      </c>
      <c r="CO474" s="15">
        <v>69.8</v>
      </c>
      <c r="CW474" s="15">
        <v>19.8</v>
      </c>
      <c r="CY474" s="25">
        <f>CF474</f>
        <v>10000</v>
      </c>
      <c r="CZ474" s="25">
        <f>CY474/0.78/1000</f>
        <v>12.820512820512821</v>
      </c>
      <c r="DA474" s="25">
        <f>CY474*3</f>
        <v>30000</v>
      </c>
      <c r="EZ474" s="15">
        <v>1.83</v>
      </c>
      <c r="FA474" s="15">
        <v>0.12</v>
      </c>
      <c r="FB474" s="15">
        <f>FA474*SQRT(AR474)</f>
        <v>0.20784609690826525</v>
      </c>
      <c r="FC474" s="15">
        <v>1.6</v>
      </c>
      <c r="FD474" s="15">
        <v>0.11</v>
      </c>
      <c r="FE474" s="15">
        <f>FD474*SQRT(AR474)</f>
        <v>0.1905255888325765</v>
      </c>
      <c r="FF474" s="15">
        <f t="shared" si="459"/>
        <v>0.87431693989071035</v>
      </c>
      <c r="FG474" s="15">
        <f t="shared" si="460"/>
        <v>-0.22999999999999998</v>
      </c>
      <c r="FH474" s="15">
        <f t="shared" si="461"/>
        <v>-0.13431233760759392</v>
      </c>
      <c r="FI474" s="15">
        <f>((FE474*FE474)/(AR474*FC474*FC474)+(FB474*FB474)/(AR474*EZ474*EZ474))</f>
        <v>9.0264818765116873E-3</v>
      </c>
      <c r="FK474" s="16">
        <f t="shared" si="390"/>
        <v>6.4</v>
      </c>
      <c r="FL474" s="16">
        <f t="shared" si="391"/>
        <v>6.73</v>
      </c>
      <c r="FM474" s="15">
        <v>6.4</v>
      </c>
      <c r="FN474" s="15">
        <v>0.26</v>
      </c>
      <c r="FO474" s="15">
        <f>FN474*SQRT(AR474)</f>
        <v>0.4503332099679081</v>
      </c>
      <c r="FP474" s="15">
        <v>6.73</v>
      </c>
      <c r="FQ474" s="15">
        <v>0.35</v>
      </c>
      <c r="FR474" s="15">
        <f>FQ474*SQRT(AR474)</f>
        <v>0.60621778264910697</v>
      </c>
      <c r="FS474" s="15">
        <f t="shared" si="394"/>
        <v>1.0515625</v>
      </c>
      <c r="FT474" s="15">
        <f t="shared" si="395"/>
        <v>0.33000000000000007</v>
      </c>
      <c r="FU474" s="15">
        <f t="shared" si="396"/>
        <v>5.0277153291010235E-2</v>
      </c>
      <c r="FV474" s="15">
        <f>((FR474*FR474)/(AR474*FP474*FP474)+(FO474*FO474)/(AR474*FM474*FM474))</f>
        <v>4.3550087881116563E-3</v>
      </c>
      <c r="FX474" s="15">
        <v>22.272000000000002</v>
      </c>
      <c r="FY474" s="15">
        <v>1.3920000000000001</v>
      </c>
      <c r="FZ474" s="15">
        <f>FY474*SQRT(AR474)</f>
        <v>2.4110147241358773</v>
      </c>
      <c r="GA474" s="15">
        <v>28.884000000000004</v>
      </c>
      <c r="GB474" s="15">
        <v>1.218</v>
      </c>
      <c r="GC474" s="15">
        <f>GB474*SQRT(AR474)</f>
        <v>2.1096378836188925</v>
      </c>
      <c r="GD474" s="15">
        <f t="shared" si="462"/>
        <v>1.296875</v>
      </c>
      <c r="GE474" s="15">
        <f t="shared" si="463"/>
        <v>6.6120000000000019</v>
      </c>
      <c r="GF474" s="15">
        <f t="shared" si="423"/>
        <v>0.25995752443692632</v>
      </c>
      <c r="GG474" s="15">
        <f>((GC474*GC474)/(AR474*GA474*GA474)+(FZ474*FZ474)/(AR474*FX474*FX474))</f>
        <v>5.6844471258528078E-3</v>
      </c>
      <c r="GI474" s="15">
        <v>11.88</v>
      </c>
      <c r="GJ474" s="15">
        <v>0.73</v>
      </c>
      <c r="GK474" s="15">
        <f>GJ474*SQRT(AR158)</f>
        <v>1.2643970895252803</v>
      </c>
      <c r="GL474" s="15">
        <v>12.95</v>
      </c>
      <c r="GM474" s="15">
        <v>0.6</v>
      </c>
      <c r="GN474" s="15">
        <f>GM474*SQRT(AR158)</f>
        <v>1.0392304845413263</v>
      </c>
      <c r="GO474" s="15">
        <f t="shared" si="451"/>
        <v>1.09006734006734</v>
      </c>
      <c r="GP474" s="15">
        <f t="shared" si="452"/>
        <v>1.0699999999999985</v>
      </c>
      <c r="GQ474" s="15">
        <f t="shared" si="453"/>
        <v>8.6239474211047717E-2</v>
      </c>
      <c r="GR474" s="15">
        <f>((GN474*GN474)/(AR158*GL474*GL474)+(GK474*GK474)/(AR158*GI474*GI474))</f>
        <v>5.922492049040674E-3</v>
      </c>
      <c r="HY474" s="25">
        <f>CY474</f>
        <v>10000</v>
      </c>
      <c r="HZ474" s="25">
        <f>CZ474</f>
        <v>12.820512820512821</v>
      </c>
      <c r="IA474" s="25">
        <f>DA474</f>
        <v>30000</v>
      </c>
    </row>
    <row r="475" spans="1:235" s="15" customFormat="1" x14ac:dyDescent="0.25">
      <c r="A475" s="31">
        <v>473</v>
      </c>
      <c r="B475" s="1">
        <v>85</v>
      </c>
      <c r="C475" s="1">
        <v>97</v>
      </c>
      <c r="D475" s="15" t="s">
        <v>433</v>
      </c>
      <c r="E475" s="1">
        <v>2</v>
      </c>
      <c r="F475" s="15" t="s">
        <v>777</v>
      </c>
      <c r="G475" s="15" t="s">
        <v>1312</v>
      </c>
      <c r="H475" s="15" t="s">
        <v>1311</v>
      </c>
      <c r="I475" s="1">
        <v>2018</v>
      </c>
      <c r="J475" s="15" t="s">
        <v>1310</v>
      </c>
      <c r="K475" s="1" t="s">
        <v>1315</v>
      </c>
      <c r="L475" s="15" t="s">
        <v>1313</v>
      </c>
      <c r="M475" s="15" t="s">
        <v>1314</v>
      </c>
      <c r="N475" s="15" t="s">
        <v>520</v>
      </c>
      <c r="O475" s="31">
        <v>3</v>
      </c>
      <c r="P475" s="15">
        <v>36.270000000000003</v>
      </c>
      <c r="Q475" s="15">
        <v>59.6</v>
      </c>
      <c r="R475" s="15">
        <v>354</v>
      </c>
      <c r="S475" s="15">
        <v>361</v>
      </c>
      <c r="T475" s="15">
        <v>16.3</v>
      </c>
      <c r="U475" s="15" t="s">
        <v>549</v>
      </c>
      <c r="V475" s="31">
        <v>1</v>
      </c>
      <c r="W475" s="15" t="s">
        <v>1226</v>
      </c>
      <c r="X475" s="15" t="s">
        <v>1316</v>
      </c>
      <c r="Y475" s="1">
        <v>2</v>
      </c>
      <c r="Z475" s="15">
        <v>6.4</v>
      </c>
      <c r="AA475" s="15" t="s">
        <v>574</v>
      </c>
      <c r="AB475" s="15">
        <f t="shared" si="436"/>
        <v>6.4</v>
      </c>
      <c r="AC475" s="1">
        <v>5</v>
      </c>
      <c r="AD475" s="15">
        <f t="shared" si="464"/>
        <v>22.272000000000002</v>
      </c>
      <c r="AF475" s="15">
        <v>11.8</v>
      </c>
      <c r="AJ475" s="15">
        <v>41.1</v>
      </c>
      <c r="AK475" s="15">
        <v>21.5</v>
      </c>
      <c r="AL475" s="15">
        <v>37.4</v>
      </c>
      <c r="AM475" s="1">
        <v>1</v>
      </c>
      <c r="AN475" s="15">
        <v>1.83</v>
      </c>
      <c r="AO475" s="1">
        <v>1</v>
      </c>
      <c r="AP475" s="15" t="s">
        <v>1317</v>
      </c>
      <c r="AQ475" s="57">
        <v>10</v>
      </c>
      <c r="AR475" s="1">
        <v>3</v>
      </c>
      <c r="CC475" s="15" t="s">
        <v>1318</v>
      </c>
      <c r="CE475" s="15">
        <v>5000</v>
      </c>
      <c r="CF475" s="15">
        <f>CE475</f>
        <v>5000</v>
      </c>
      <c r="CG475" s="15" t="s">
        <v>766</v>
      </c>
      <c r="CH475" s="15">
        <v>9.6999999999999993</v>
      </c>
      <c r="CI475" s="15">
        <v>800</v>
      </c>
      <c r="CK475" s="15">
        <v>519</v>
      </c>
      <c r="CL475" s="15">
        <v>8.5</v>
      </c>
      <c r="CM475" s="15">
        <v>7.3</v>
      </c>
      <c r="CO475" s="15">
        <v>69.8</v>
      </c>
      <c r="CW475" s="15">
        <v>19.8</v>
      </c>
      <c r="CY475" s="25">
        <f>CF475</f>
        <v>5000</v>
      </c>
      <c r="CZ475" s="25">
        <f>CY475/0.78/1000</f>
        <v>6.4102564102564106</v>
      </c>
      <c r="DA475" s="25">
        <f>CY475*3</f>
        <v>15000</v>
      </c>
      <c r="EZ475" s="15">
        <v>1.89</v>
      </c>
      <c r="FA475" s="15">
        <v>0.21</v>
      </c>
      <c r="FB475" s="15">
        <f>FA475*SQRT(AR475)</f>
        <v>0.36373066958946421</v>
      </c>
      <c r="FC475" s="15">
        <v>1.71</v>
      </c>
      <c r="FD475" s="15">
        <v>0.06</v>
      </c>
      <c r="FE475" s="15">
        <f>FD475*SQRT(AR475)</f>
        <v>0.10392304845413262</v>
      </c>
      <c r="FF475" s="15">
        <f t="shared" si="459"/>
        <v>0.90476190476190477</v>
      </c>
      <c r="FG475" s="15">
        <f t="shared" si="460"/>
        <v>-0.17999999999999994</v>
      </c>
      <c r="FH475" s="15">
        <f t="shared" si="461"/>
        <v>-0.10008345855698253</v>
      </c>
      <c r="FI475" s="15">
        <f>((FE475*FE475)/(AR475*FC475*FC475)+(FB475*FB475)/(AR475*EZ475*EZ475))</f>
        <v>1.3576827057898156E-2</v>
      </c>
      <c r="FK475" s="16">
        <f t="shared" si="390"/>
        <v>6.33</v>
      </c>
      <c r="FL475" s="16">
        <f t="shared" si="391"/>
        <v>6.67</v>
      </c>
      <c r="FM475" s="15">
        <v>6.33</v>
      </c>
      <c r="FN475" s="15">
        <v>0.25</v>
      </c>
      <c r="FO475" s="15">
        <f>FN475*SQRT(AR475)</f>
        <v>0.4330127018922193</v>
      </c>
      <c r="FP475" s="15">
        <v>6.67</v>
      </c>
      <c r="FQ475" s="15">
        <v>0.38</v>
      </c>
      <c r="FR475" s="15">
        <f>FQ475*SQRT(AR475)</f>
        <v>0.65817930687617332</v>
      </c>
      <c r="FS475" s="15">
        <f t="shared" si="394"/>
        <v>1.0537124802527646</v>
      </c>
      <c r="FT475" s="15">
        <f t="shared" si="395"/>
        <v>0.33999999999999986</v>
      </c>
      <c r="FU475" s="15">
        <f t="shared" si="396"/>
        <v>5.2319623771447388E-2</v>
      </c>
      <c r="FV475" s="15">
        <f>((FR475*FR475)/(AR475*FP475*FP475)+(FO475*FO475)/(AR475*FM475*FM475))</f>
        <v>4.8055666568520925E-3</v>
      </c>
      <c r="FX475" s="15">
        <v>22.097999999999999</v>
      </c>
      <c r="FY475" s="15">
        <v>1.044</v>
      </c>
      <c r="FZ475" s="15">
        <f>FY475*SQRT(AR475)</f>
        <v>1.8082610431019079</v>
      </c>
      <c r="GA475" s="15">
        <v>27.143999999999998</v>
      </c>
      <c r="GB475" s="15">
        <v>0.87</v>
      </c>
      <c r="GC475" s="15">
        <f>GB475*SQRT(AR475)</f>
        <v>1.5068842025849232</v>
      </c>
      <c r="GD475" s="15">
        <f t="shared" si="462"/>
        <v>1.2283464566929134</v>
      </c>
      <c r="GE475" s="15">
        <f t="shared" si="463"/>
        <v>5.0459999999999994</v>
      </c>
      <c r="GF475" s="15">
        <f t="shared" si="423"/>
        <v>0.2056689207909459</v>
      </c>
      <c r="GG475" s="15">
        <f>((GC475*GC475)/(AR475*GA475*GA475)+(FZ475*FZ475)/(AR475*FX475*FX475))</f>
        <v>3.2592891451397633E-3</v>
      </c>
      <c r="GI475" s="15">
        <v>11.96</v>
      </c>
      <c r="GJ475" s="15">
        <v>0.56000000000000005</v>
      </c>
      <c r="GK475" s="15">
        <f>GJ475*SQRT(AR159)</f>
        <v>0.96994845223857129</v>
      </c>
      <c r="GL475" s="15">
        <v>12.28</v>
      </c>
      <c r="GM475" s="15">
        <v>0.62</v>
      </c>
      <c r="GN475" s="15">
        <f>GM475*SQRT(AR159)</f>
        <v>1.0738715006927038</v>
      </c>
      <c r="GO475" s="15">
        <f t="shared" si="451"/>
        <v>1.0267558528428093</v>
      </c>
      <c r="GP475" s="15">
        <f t="shared" si="452"/>
        <v>0.31999999999999851</v>
      </c>
      <c r="GQ475" s="15">
        <f t="shared" si="453"/>
        <v>2.6404174196510422E-2</v>
      </c>
      <c r="GR475" s="15">
        <f>((GN475*GN475)/(AR159*GL475*GL475)+(GK475*GK475)/(AR159*GI475*GI475))</f>
        <v>4.7414678770491469E-3</v>
      </c>
      <c r="HY475" s="25">
        <f>CY475</f>
        <v>5000</v>
      </c>
      <c r="HZ475" s="25">
        <f>CZ475</f>
        <v>6.4102564102564106</v>
      </c>
      <c r="IA475" s="25">
        <f>DA475</f>
        <v>15000</v>
      </c>
    </row>
    <row r="476" spans="1:235" s="15" customFormat="1" x14ac:dyDescent="0.25">
      <c r="A476" s="31">
        <v>474</v>
      </c>
      <c r="B476" s="1">
        <v>85</v>
      </c>
      <c r="C476" s="1">
        <v>97</v>
      </c>
      <c r="D476" s="15" t="s">
        <v>434</v>
      </c>
      <c r="E476" s="1">
        <v>2</v>
      </c>
      <c r="F476" s="15" t="s">
        <v>777</v>
      </c>
      <c r="G476" s="15" t="s">
        <v>1312</v>
      </c>
      <c r="H476" s="15" t="s">
        <v>1311</v>
      </c>
      <c r="I476" s="1">
        <v>2018</v>
      </c>
      <c r="J476" s="15" t="s">
        <v>1310</v>
      </c>
      <c r="K476" s="1" t="s">
        <v>1315</v>
      </c>
      <c r="L476" s="15" t="s">
        <v>1313</v>
      </c>
      <c r="M476" s="15" t="s">
        <v>1314</v>
      </c>
      <c r="N476" s="15" t="s">
        <v>520</v>
      </c>
      <c r="O476" s="31">
        <v>3</v>
      </c>
      <c r="P476" s="15">
        <v>36.270000000000003</v>
      </c>
      <c r="Q476" s="15">
        <v>59.6</v>
      </c>
      <c r="R476" s="15">
        <v>354</v>
      </c>
      <c r="S476" s="15">
        <v>361</v>
      </c>
      <c r="T476" s="15">
        <v>16.3</v>
      </c>
      <c r="U476" s="15" t="s">
        <v>549</v>
      </c>
      <c r="V476" s="31">
        <v>1</v>
      </c>
      <c r="W476" s="15" t="s">
        <v>1226</v>
      </c>
      <c r="X476" s="15" t="s">
        <v>1316</v>
      </c>
      <c r="Y476" s="1">
        <v>2</v>
      </c>
      <c r="Z476" s="15">
        <v>6.4</v>
      </c>
      <c r="AA476" s="15" t="s">
        <v>574</v>
      </c>
      <c r="AB476" s="15">
        <f t="shared" si="436"/>
        <v>6.4</v>
      </c>
      <c r="AC476" s="1">
        <v>5</v>
      </c>
      <c r="AD476" s="15">
        <f t="shared" si="464"/>
        <v>22.272000000000002</v>
      </c>
      <c r="AF476" s="15">
        <v>11.8</v>
      </c>
      <c r="AJ476" s="15">
        <v>41.1</v>
      </c>
      <c r="AK476" s="15">
        <v>21.5</v>
      </c>
      <c r="AL476" s="15">
        <v>37.4</v>
      </c>
      <c r="AM476" s="1">
        <v>1</v>
      </c>
      <c r="AN476" s="15">
        <v>1.83</v>
      </c>
      <c r="AO476" s="1">
        <v>1</v>
      </c>
      <c r="AP476" s="15" t="s">
        <v>1317</v>
      </c>
      <c r="AQ476" s="57">
        <v>10</v>
      </c>
      <c r="AR476" s="1">
        <v>3</v>
      </c>
      <c r="CC476" s="15" t="s">
        <v>1318</v>
      </c>
      <c r="CE476" s="15">
        <v>2500</v>
      </c>
      <c r="CF476" s="15">
        <f>CE476</f>
        <v>2500</v>
      </c>
      <c r="CG476" s="15" t="s">
        <v>766</v>
      </c>
      <c r="CH476" s="15">
        <v>9.6999999999999993</v>
      </c>
      <c r="CI476" s="15">
        <v>800</v>
      </c>
      <c r="CK476" s="15">
        <v>519</v>
      </c>
      <c r="CL476" s="15">
        <v>8.5</v>
      </c>
      <c r="CM476" s="15">
        <v>7.3</v>
      </c>
      <c r="CO476" s="15">
        <v>69.8</v>
      </c>
      <c r="CW476" s="15">
        <v>19.8</v>
      </c>
      <c r="CY476" s="25">
        <f>CF476</f>
        <v>2500</v>
      </c>
      <c r="CZ476" s="25">
        <f>CY476/0.78/1000</f>
        <v>3.2051282051282053</v>
      </c>
      <c r="DA476" s="25">
        <f>CY476*3</f>
        <v>7500</v>
      </c>
      <c r="EZ476" s="15">
        <v>1.91</v>
      </c>
      <c r="FA476" s="15">
        <v>0.13</v>
      </c>
      <c r="FB476" s="15">
        <f>FA476*SQRT(AR476)</f>
        <v>0.22516660498395405</v>
      </c>
      <c r="FC476" s="15">
        <v>1.73</v>
      </c>
      <c r="FD476" s="15">
        <v>0.13</v>
      </c>
      <c r="FE476" s="15">
        <f>FD476*SQRT(AR476)</f>
        <v>0.22516660498395405</v>
      </c>
      <c r="FF476" s="15">
        <f t="shared" si="459"/>
        <v>0.90575916230366493</v>
      </c>
      <c r="FG476" s="15">
        <f t="shared" si="460"/>
        <v>-0.17999999999999994</v>
      </c>
      <c r="FH476" s="15">
        <f t="shared" si="461"/>
        <v>-9.8981833548850817E-2</v>
      </c>
      <c r="FI476" s="15">
        <f>((FE476*FE476)/(AR476*FC476*FC476)+(FB476*FB476)/(AR476*EZ476*EZ476))</f>
        <v>1.0279245633211909E-2</v>
      </c>
      <c r="FK476" s="16">
        <f t="shared" si="390"/>
        <v>6.47</v>
      </c>
      <c r="FL476" s="16">
        <f t="shared" si="391"/>
        <v>6.53</v>
      </c>
      <c r="FM476" s="15">
        <v>6.47</v>
      </c>
      <c r="FN476" s="15">
        <v>0.25</v>
      </c>
      <c r="FO476" s="15">
        <f>FN476*SQRT(AR476)</f>
        <v>0.4330127018922193</v>
      </c>
      <c r="FP476" s="15">
        <v>6.53</v>
      </c>
      <c r="FQ476" s="15">
        <v>0.31</v>
      </c>
      <c r="FR476" s="15">
        <f>FQ476*SQRT(AR476)</f>
        <v>0.53693575034635188</v>
      </c>
      <c r="FS476" s="15">
        <f t="shared" si="394"/>
        <v>1.009273570324575</v>
      </c>
      <c r="FT476" s="15">
        <f t="shared" si="395"/>
        <v>6.0000000000000497E-2</v>
      </c>
      <c r="FU476" s="15">
        <f t="shared" si="396"/>
        <v>9.2308347755305498E-3</v>
      </c>
      <c r="FV476" s="15">
        <f>((FR476*FR476)/(AR476*FP476*FP476)+(FO476*FO476)/(AR476*FM476*FM476))</f>
        <v>3.746744820928548E-3</v>
      </c>
      <c r="FX476" s="15">
        <v>22.097999999999999</v>
      </c>
      <c r="FY476" s="15">
        <v>1.044</v>
      </c>
      <c r="FZ476" s="15">
        <f>FY476*SQRT(AR476)</f>
        <v>1.8082610431019079</v>
      </c>
      <c r="GA476" s="15">
        <v>25.404</v>
      </c>
      <c r="GB476" s="15">
        <v>1.3920000000000001</v>
      </c>
      <c r="GC476" s="15">
        <f>GB476*SQRT(AR476)</f>
        <v>2.4110147241358773</v>
      </c>
      <c r="GD476" s="15">
        <f t="shared" si="462"/>
        <v>1.1496062992125984</v>
      </c>
      <c r="GE476" s="15">
        <f t="shared" si="463"/>
        <v>3.3060000000000009</v>
      </c>
      <c r="GF476" s="15">
        <f t="shared" si="423"/>
        <v>0.1394195352497456</v>
      </c>
      <c r="GG476" s="15">
        <f>((GC476*GC476)/(AR476*GA476*GA476)+(FZ476*FZ476)/(AR476*FX476*FX476))</f>
        <v>5.2344439460881177E-3</v>
      </c>
      <c r="GI476" s="15">
        <v>11.97</v>
      </c>
      <c r="GJ476" s="15">
        <v>0.69</v>
      </c>
      <c r="GK476" s="15">
        <f>GJ476*SQRT(AR160)</f>
        <v>1.1951150572225251</v>
      </c>
      <c r="GL476" s="15">
        <v>12.08</v>
      </c>
      <c r="GM476" s="15">
        <v>0.7</v>
      </c>
      <c r="GN476" s="15">
        <f>GM476*SQRT(AR160)</f>
        <v>1.2124355652982139</v>
      </c>
      <c r="GO476" s="15">
        <f t="shared" si="451"/>
        <v>1.0091896407685881</v>
      </c>
      <c r="GP476" s="15">
        <f t="shared" si="452"/>
        <v>0.10999999999999943</v>
      </c>
      <c r="GQ476" s="15">
        <f t="shared" si="453"/>
        <v>9.1476729367867549E-3</v>
      </c>
      <c r="GR476" s="15">
        <f>((GN476*GN476)/(AR160*GL476*GL476)+(GK476*GK476)/(AR160*GI476*GI476))</f>
        <v>6.6807005610060128E-3</v>
      </c>
      <c r="HE476" s="15">
        <v>67500</v>
      </c>
      <c r="HF476" s="15">
        <v>2700</v>
      </c>
      <c r="HG476" s="15">
        <f>HF476*SQRT(AR166)</f>
        <v>4676.5371804359684</v>
      </c>
      <c r="HH476" s="15">
        <v>72000</v>
      </c>
      <c r="HI476" s="15">
        <v>2250</v>
      </c>
      <c r="HJ476" s="15">
        <f>HI476*SQRT(AR166)</f>
        <v>3897.1143170299738</v>
      </c>
      <c r="HK476" s="15">
        <f>HH476/HE476</f>
        <v>1.0666666666666667</v>
      </c>
      <c r="HL476" s="15">
        <f>HH476-HE476</f>
        <v>4500</v>
      </c>
      <c r="HM476" s="15">
        <f>LN(HH476)-LN(HE476)</f>
        <v>6.4538521137571081E-2</v>
      </c>
      <c r="HN476" s="15">
        <f>((HJ476*HJ476)/(AR166*HH476*HH476)+(HG476*HG476)/(AR166*HE476*HE476))</f>
        <v>2.5765624999999994E-3</v>
      </c>
      <c r="HP476" s="15" t="s">
        <v>766</v>
      </c>
      <c r="HV476" s="15">
        <f>HX476/HW476/100</f>
        <v>1162.0966622419051</v>
      </c>
      <c r="HW476" s="15">
        <f>HM476</f>
        <v>6.4538521137571081E-2</v>
      </c>
      <c r="HX476" s="25">
        <f>DA476</f>
        <v>7500</v>
      </c>
      <c r="HY476" s="25">
        <f>CY476</f>
        <v>2500</v>
      </c>
      <c r="HZ476" s="25">
        <f>CZ476</f>
        <v>3.2051282051282053</v>
      </c>
      <c r="IA476" s="25">
        <f>DA476</f>
        <v>7500</v>
      </c>
    </row>
    <row r="477" spans="1:235" s="15" customFormat="1" x14ac:dyDescent="0.25">
      <c r="A477" s="31">
        <v>475</v>
      </c>
      <c r="B477" s="1">
        <v>85</v>
      </c>
      <c r="C477" s="1">
        <v>97</v>
      </c>
      <c r="D477" s="15" t="s">
        <v>435</v>
      </c>
      <c r="E477" s="1">
        <v>2</v>
      </c>
      <c r="F477" s="15" t="s">
        <v>777</v>
      </c>
      <c r="G477" s="15" t="s">
        <v>1312</v>
      </c>
      <c r="H477" s="15" t="s">
        <v>1311</v>
      </c>
      <c r="I477" s="1">
        <v>2018</v>
      </c>
      <c r="J477" s="15" t="s">
        <v>1310</v>
      </c>
      <c r="K477" s="1" t="s">
        <v>1315</v>
      </c>
      <c r="L477" s="15" t="s">
        <v>1313</v>
      </c>
      <c r="M477" s="15" t="s">
        <v>1314</v>
      </c>
      <c r="N477" s="15" t="s">
        <v>520</v>
      </c>
      <c r="O477" s="31">
        <v>3</v>
      </c>
      <c r="P477" s="15">
        <v>36.270000000000003</v>
      </c>
      <c r="Q477" s="15">
        <v>59.6</v>
      </c>
      <c r="R477" s="15">
        <v>354</v>
      </c>
      <c r="S477" s="15">
        <v>361</v>
      </c>
      <c r="T477" s="15">
        <v>16.3</v>
      </c>
      <c r="U477" s="15" t="s">
        <v>549</v>
      </c>
      <c r="V477" s="31">
        <v>1</v>
      </c>
      <c r="W477" s="15" t="s">
        <v>1226</v>
      </c>
      <c r="X477" s="15" t="s">
        <v>1316</v>
      </c>
      <c r="Y477" s="1">
        <v>2</v>
      </c>
      <c r="Z477" s="15">
        <v>6.4</v>
      </c>
      <c r="AA477" s="15" t="s">
        <v>574</v>
      </c>
      <c r="AB477" s="15">
        <f t="shared" si="436"/>
        <v>6.4</v>
      </c>
      <c r="AC477" s="1">
        <v>5</v>
      </c>
      <c r="AD477" s="15">
        <f t="shared" si="464"/>
        <v>22.272000000000002</v>
      </c>
      <c r="AF477" s="15">
        <v>11.8</v>
      </c>
      <c r="AJ477" s="15">
        <v>41.1</v>
      </c>
      <c r="AK477" s="15">
        <v>21.5</v>
      </c>
      <c r="AL477" s="15">
        <v>37.4</v>
      </c>
      <c r="AM477" s="1">
        <v>1</v>
      </c>
      <c r="AN477" s="15">
        <v>1.83</v>
      </c>
      <c r="AO477" s="1">
        <v>1</v>
      </c>
      <c r="AP477" s="15" t="s">
        <v>1317</v>
      </c>
      <c r="AQ477" s="57">
        <v>10</v>
      </c>
      <c r="AR477" s="1">
        <v>3</v>
      </c>
      <c r="CC477" s="15" t="s">
        <v>1318</v>
      </c>
      <c r="CE477" s="15">
        <v>1250</v>
      </c>
      <c r="CF477" s="15">
        <f>CE477</f>
        <v>1250</v>
      </c>
      <c r="CG477" s="15" t="s">
        <v>766</v>
      </c>
      <c r="CH477" s="15">
        <v>9.6999999999999993</v>
      </c>
      <c r="CI477" s="15">
        <v>800</v>
      </c>
      <c r="CK477" s="15">
        <v>519</v>
      </c>
      <c r="CL477" s="15">
        <v>8.5</v>
      </c>
      <c r="CM477" s="15">
        <v>7.3</v>
      </c>
      <c r="CO477" s="15">
        <v>69.8</v>
      </c>
      <c r="CW477" s="15">
        <v>19.8</v>
      </c>
      <c r="CY477" s="25">
        <f>CF477</f>
        <v>1250</v>
      </c>
      <c r="CZ477" s="25">
        <f>CY477/0.78/1000</f>
        <v>1.6025641025641026</v>
      </c>
      <c r="DA477" s="25">
        <f>CY477*3</f>
        <v>3750</v>
      </c>
      <c r="EZ477" s="15">
        <v>1.95</v>
      </c>
      <c r="FA477" s="15">
        <v>0.19</v>
      </c>
      <c r="FB477" s="15">
        <f>FA477*SQRT(AR477)</f>
        <v>0.32908965343808666</v>
      </c>
      <c r="FC477" s="15">
        <v>1.82</v>
      </c>
      <c r="FD477" s="15">
        <v>0.18</v>
      </c>
      <c r="FE477" s="15">
        <f>FD477*SQRT(AR477)</f>
        <v>0.31176914536239786</v>
      </c>
      <c r="FF477" s="15">
        <f t="shared" si="459"/>
        <v>0.93333333333333335</v>
      </c>
      <c r="FG477" s="15">
        <f t="shared" si="460"/>
        <v>-0.12999999999999989</v>
      </c>
      <c r="FH477" s="15">
        <f t="shared" si="461"/>
        <v>-6.8992871486951435E-2</v>
      </c>
      <c r="FI477" s="15">
        <f>((FE477*FE477)/(AR477*FC477*FC477)+(FB477*FB477)/(AR477*EZ477*EZ477))</f>
        <v>1.9275181472983668E-2</v>
      </c>
      <c r="FK477" s="16">
        <f t="shared" si="390"/>
        <v>6.37</v>
      </c>
      <c r="FL477" s="16">
        <f t="shared" si="391"/>
        <v>6.4</v>
      </c>
      <c r="FM477" s="15">
        <v>6.37</v>
      </c>
      <c r="FN477" s="15">
        <v>0.35</v>
      </c>
      <c r="FO477" s="15">
        <f>FN477*SQRT(AR477)</f>
        <v>0.60621778264910697</v>
      </c>
      <c r="FP477" s="15">
        <v>6.4</v>
      </c>
      <c r="FQ477" s="15">
        <v>0.3</v>
      </c>
      <c r="FR477" s="15">
        <f>FQ477*SQRT(AR477)</f>
        <v>0.51961524227066314</v>
      </c>
      <c r="FS477" s="15">
        <f t="shared" si="394"/>
        <v>1.0047095761381477</v>
      </c>
      <c r="FT477" s="15">
        <f t="shared" si="395"/>
        <v>3.0000000000000249E-2</v>
      </c>
      <c r="FU477" s="15">
        <f t="shared" si="396"/>
        <v>4.6985207815541941E-3</v>
      </c>
      <c r="FV477" s="15">
        <f>((FR477*FR477)/(AR477*FP477*FP477)+(FO477*FO477)/(AR477*FM477*FM477))</f>
        <v>5.2162246879151053E-3</v>
      </c>
      <c r="FX477" s="15">
        <v>22.272000000000002</v>
      </c>
      <c r="FY477" s="15">
        <v>1.3920000000000001</v>
      </c>
      <c r="FZ477" s="15">
        <f>FY477*SQRT(AR477)</f>
        <v>2.4110147241358773</v>
      </c>
      <c r="GA477" s="15">
        <v>22.794</v>
      </c>
      <c r="GB477" s="15">
        <v>1.5660000000000001</v>
      </c>
      <c r="GC477" s="15">
        <f>GB477*SQRT(AR477)</f>
        <v>2.7123915646528616</v>
      </c>
      <c r="GD477" s="15">
        <f t="shared" si="462"/>
        <v>1.0234375</v>
      </c>
      <c r="GE477" s="15">
        <f t="shared" si="463"/>
        <v>0.52199999999999847</v>
      </c>
      <c r="GF477" s="15">
        <f t="shared" si="423"/>
        <v>2.3167059281534286E-2</v>
      </c>
      <c r="GG477" s="15">
        <f>((GC477*GC477)/(AR477*GA477*GA477)+(FZ477*FZ477)/(AR477*FX477*FX477))</f>
        <v>8.6262546617329981E-3</v>
      </c>
      <c r="GI477" s="15">
        <v>11.85</v>
      </c>
      <c r="GJ477" s="15">
        <v>0.55000000000000004</v>
      </c>
      <c r="GK477" s="15">
        <f>GJ477*SQRT(AR161)</f>
        <v>0.95262794416288255</v>
      </c>
      <c r="GL477" s="15">
        <v>11.97</v>
      </c>
      <c r="GM477" s="15">
        <v>0.48</v>
      </c>
      <c r="GN477" s="15">
        <f>GM477*SQRT(AR161)</f>
        <v>0.83138438763306099</v>
      </c>
      <c r="GO477" s="15">
        <f t="shared" si="451"/>
        <v>1.0101265822784811</v>
      </c>
      <c r="GP477" s="15">
        <f t="shared" si="452"/>
        <v>0.12000000000000099</v>
      </c>
      <c r="GQ477" s="15">
        <f t="shared" si="453"/>
        <v>1.0075651988741718E-2</v>
      </c>
      <c r="GR477" s="15">
        <f>((GN477*GN477)/(AR161*GL477*GL477)+(GK477*GK477)/(AR161*GI477*GI477))</f>
        <v>3.7622432784009969E-3</v>
      </c>
      <c r="HE477" s="18">
        <v>76500</v>
      </c>
      <c r="HF477" s="18">
        <v>2700</v>
      </c>
      <c r="HG477" s="15">
        <f>HF477*SQRT(AR167)</f>
        <v>4676.5371804359684</v>
      </c>
      <c r="HH477" s="18">
        <v>81000</v>
      </c>
      <c r="HI477" s="18">
        <v>2250</v>
      </c>
      <c r="HJ477" s="15">
        <f>HI477*SQRT(AR167)</f>
        <v>3897.1143170299738</v>
      </c>
      <c r="HK477" s="15">
        <f>HH477/HE477</f>
        <v>1.0588235294117647</v>
      </c>
      <c r="HL477" s="15">
        <f>HH477-HE477</f>
        <v>4500</v>
      </c>
      <c r="HM477" s="15">
        <f>LN(HH477)-LN(HE477)</f>
        <v>5.7158413839948352E-2</v>
      </c>
      <c r="HN477" s="15">
        <f>((HJ477*HJ477)/(AR167*HH477*HH477)+(HG477*HG477)/(AR167*HE477*HE477))</f>
        <v>2.0172796787560334E-3</v>
      </c>
      <c r="HP477" s="15" t="s">
        <v>766</v>
      </c>
      <c r="HV477" s="15">
        <f>HX477/HW477/100</f>
        <v>656.07138968210882</v>
      </c>
      <c r="HW477" s="15">
        <f>HM477</f>
        <v>5.7158413839948352E-2</v>
      </c>
      <c r="HX477" s="25">
        <f>DA477</f>
        <v>3750</v>
      </c>
      <c r="HY477" s="25">
        <f>CY477</f>
        <v>1250</v>
      </c>
      <c r="HZ477" s="25">
        <f>CZ477</f>
        <v>1.6025641025641026</v>
      </c>
      <c r="IA477" s="25">
        <f>DA477</f>
        <v>3750</v>
      </c>
    </row>
    <row r="478" spans="1:235" s="15" customFormat="1" x14ac:dyDescent="0.25">
      <c r="A478" s="31">
        <v>476</v>
      </c>
      <c r="B478" s="1">
        <v>85</v>
      </c>
      <c r="C478" s="1">
        <v>97</v>
      </c>
      <c r="D478" s="15" t="s">
        <v>436</v>
      </c>
      <c r="E478" s="1">
        <v>4</v>
      </c>
      <c r="F478" s="15" t="s">
        <v>1019</v>
      </c>
      <c r="G478" s="15" t="s">
        <v>1312</v>
      </c>
      <c r="H478" s="15" t="s">
        <v>1311</v>
      </c>
      <c r="I478" s="1">
        <v>2018</v>
      </c>
      <c r="J478" s="15" t="s">
        <v>1310</v>
      </c>
      <c r="K478" s="1" t="s">
        <v>1315</v>
      </c>
      <c r="L478" s="15" t="s">
        <v>1313</v>
      </c>
      <c r="M478" s="15" t="s">
        <v>1314</v>
      </c>
      <c r="N478" s="15" t="s">
        <v>520</v>
      </c>
      <c r="O478" s="31">
        <v>3</v>
      </c>
      <c r="P478" s="15">
        <v>36.270000000000003</v>
      </c>
      <c r="Q478" s="15">
        <v>59.6</v>
      </c>
      <c r="R478" s="15">
        <v>354</v>
      </c>
      <c r="S478" s="15">
        <v>361</v>
      </c>
      <c r="T478" s="15">
        <v>16.3</v>
      </c>
      <c r="U478" s="15" t="s">
        <v>549</v>
      </c>
      <c r="V478" s="31">
        <v>1</v>
      </c>
      <c r="W478" s="15" t="s">
        <v>1226</v>
      </c>
      <c r="X478" s="15" t="s">
        <v>1316</v>
      </c>
      <c r="Y478" s="1">
        <v>2</v>
      </c>
      <c r="Z478" s="15">
        <v>6.4</v>
      </c>
      <c r="AA478" s="15" t="s">
        <v>574</v>
      </c>
      <c r="AB478" s="15">
        <f t="shared" si="436"/>
        <v>6.4</v>
      </c>
      <c r="AC478" s="1">
        <v>5</v>
      </c>
      <c r="AD478" s="15">
        <f t="shared" si="464"/>
        <v>22.272000000000002</v>
      </c>
      <c r="AF478" s="15">
        <v>11.8</v>
      </c>
      <c r="AJ478" s="15">
        <v>41.1</v>
      </c>
      <c r="AK478" s="15">
        <v>21.5</v>
      </c>
      <c r="AL478" s="15">
        <v>37.4</v>
      </c>
      <c r="AM478" s="1">
        <v>1</v>
      </c>
      <c r="AN478" s="15">
        <v>1.83</v>
      </c>
      <c r="AO478" s="1">
        <v>1</v>
      </c>
      <c r="AP478" s="15" t="s">
        <v>1317</v>
      </c>
      <c r="AQ478" s="57">
        <v>10</v>
      </c>
      <c r="AR478" s="1">
        <v>3</v>
      </c>
      <c r="BF478" s="15">
        <v>7.22</v>
      </c>
      <c r="BG478" s="15" t="s">
        <v>1319</v>
      </c>
      <c r="BI478" s="15">
        <v>206</v>
      </c>
      <c r="BJ478" s="15">
        <v>13.7</v>
      </c>
      <c r="BK478" s="15">
        <v>3.2</v>
      </c>
      <c r="BL478" s="15">
        <v>12.1</v>
      </c>
      <c r="BM478" s="15">
        <v>17.899999999999999</v>
      </c>
      <c r="BS478" s="15">
        <v>25000</v>
      </c>
      <c r="BT478" s="15">
        <f t="shared" ref="BT478:BT485" si="465">BS478</f>
        <v>25000</v>
      </c>
      <c r="BU478" s="15" t="s">
        <v>766</v>
      </c>
      <c r="BY478" s="15">
        <f t="shared" ref="BY478:BY485" si="466">BT478</f>
        <v>25000</v>
      </c>
      <c r="BZ478" s="15">
        <f t="shared" ref="BZ478:BZ485" si="467">BY478/1.1/1000</f>
        <v>22.727272727272723</v>
      </c>
      <c r="CA478" s="15">
        <f t="shared" ref="CA478:CA485" si="468">BY478*2</f>
        <v>50000</v>
      </c>
      <c r="EZ478" s="15">
        <v>1.83</v>
      </c>
      <c r="FA478" s="15">
        <v>0.12</v>
      </c>
      <c r="FB478" s="15">
        <f>FA478*SQRT(AR478)</f>
        <v>0.20784609690826525</v>
      </c>
      <c r="FC478" s="15">
        <v>1.65</v>
      </c>
      <c r="FD478" s="15">
        <v>0.15</v>
      </c>
      <c r="FE478" s="15">
        <f>FD478*SQRT(AR478)</f>
        <v>0.25980762113533157</v>
      </c>
      <c r="FF478" s="15">
        <f t="shared" si="459"/>
        <v>0.90163934426229497</v>
      </c>
      <c r="FG478" s="15">
        <f t="shared" si="460"/>
        <v>-0.18000000000000016</v>
      </c>
      <c r="FH478" s="15">
        <f t="shared" si="461"/>
        <v>-0.1035406789408404</v>
      </c>
      <c r="FI478" s="15">
        <f>((FE478*FE478)/(AR478*FC478*FC478)+(FB478*FB478)/(AR478*EZ478*EZ478))</f>
        <v>1.2564382186429045E-2</v>
      </c>
      <c r="FK478" s="16">
        <f t="shared" si="390"/>
        <v>6.4</v>
      </c>
      <c r="FL478" s="16">
        <f t="shared" si="391"/>
        <v>6.53</v>
      </c>
      <c r="FM478" s="15">
        <v>6.4</v>
      </c>
      <c r="FN478" s="15">
        <v>0.26</v>
      </c>
      <c r="FO478" s="15">
        <f>FN478*SQRT(AR478)</f>
        <v>0.4503332099679081</v>
      </c>
      <c r="FP478" s="15">
        <v>6.53</v>
      </c>
      <c r="FQ478" s="15">
        <v>0.25</v>
      </c>
      <c r="FR478" s="15">
        <f>FQ478*SQRT(AR478)</f>
        <v>0.4330127018922193</v>
      </c>
      <c r="FS478" s="15">
        <f t="shared" si="394"/>
        <v>1.0203125</v>
      </c>
      <c r="FT478" s="15">
        <f t="shared" si="395"/>
        <v>0.12999999999999989</v>
      </c>
      <c r="FU478" s="15">
        <f t="shared" si="396"/>
        <v>2.0108952922713419E-2</v>
      </c>
      <c r="FV478" s="15">
        <f>((FR478*FR478)/(AR478*FP478*FP478)+(FO478*FO478)/(AR478*FM478*FM478))</f>
        <v>3.1161195378512762E-3</v>
      </c>
      <c r="FX478" s="15">
        <v>22.272000000000002</v>
      </c>
      <c r="FY478" s="15">
        <v>1.3920000000000001</v>
      </c>
      <c r="FZ478" s="15">
        <f>FY478*SQRT(AR478)</f>
        <v>2.4110147241358773</v>
      </c>
      <c r="GA478" s="15">
        <v>25.23</v>
      </c>
      <c r="GB478" s="15">
        <v>1.5660000000000001</v>
      </c>
      <c r="GC478" s="15">
        <f>GB478*SQRT(AR478)</f>
        <v>2.7123915646528616</v>
      </c>
      <c r="GD478" s="15">
        <f t="shared" si="462"/>
        <v>1.1328125</v>
      </c>
      <c r="GE478" s="15">
        <f t="shared" si="463"/>
        <v>2.9579999999999984</v>
      </c>
      <c r="GF478" s="15">
        <f t="shared" si="423"/>
        <v>0.12470347850095731</v>
      </c>
      <c r="GG478" s="15">
        <f>((GC478*GC478)/(AR478*GA478*GA478)+(FZ478*FZ478)/(AR478*FX478*FX478))</f>
        <v>7.7588064803804984E-3</v>
      </c>
      <c r="GI478" s="15">
        <v>11.88</v>
      </c>
      <c r="GJ478" s="15">
        <v>0.73</v>
      </c>
      <c r="GK478" s="15">
        <f>GJ478*SQRT(AR162)</f>
        <v>1.2643970895252803</v>
      </c>
      <c r="GL478" s="15">
        <v>12.06</v>
      </c>
      <c r="GM478" s="15">
        <v>0.6</v>
      </c>
      <c r="GN478" s="15">
        <f>GM478*SQRT(AR162)</f>
        <v>1.0392304845413263</v>
      </c>
      <c r="GO478" s="15">
        <f t="shared" si="451"/>
        <v>1.0151515151515151</v>
      </c>
      <c r="GP478" s="15">
        <f t="shared" si="452"/>
        <v>0.17999999999999972</v>
      </c>
      <c r="GQ478" s="15">
        <f t="shared" si="453"/>
        <v>1.5037877364540542E-2</v>
      </c>
      <c r="GR478" s="15">
        <f>((GN478*GN478)/(AR162*GL478*GL478)+(GK478*GK478)/(AR162*GI478*GI478))</f>
        <v>6.251019789491683E-3</v>
      </c>
      <c r="HY478" s="15">
        <f>BY478</f>
        <v>25000</v>
      </c>
      <c r="HZ478" s="15">
        <f>BZ478</f>
        <v>22.727272727272723</v>
      </c>
      <c r="IA478" s="15">
        <f>CA478</f>
        <v>50000</v>
      </c>
    </row>
    <row r="479" spans="1:235" s="15" customFormat="1" x14ac:dyDescent="0.25">
      <c r="A479" s="31">
        <v>477</v>
      </c>
      <c r="B479" s="1">
        <v>85</v>
      </c>
      <c r="C479" s="1">
        <v>97</v>
      </c>
      <c r="D479" s="15" t="s">
        <v>437</v>
      </c>
      <c r="E479" s="1">
        <v>4</v>
      </c>
      <c r="F479" s="15" t="s">
        <v>1019</v>
      </c>
      <c r="G479" s="15" t="s">
        <v>1312</v>
      </c>
      <c r="H479" s="15" t="s">
        <v>1311</v>
      </c>
      <c r="I479" s="1">
        <v>2018</v>
      </c>
      <c r="J479" s="15" t="s">
        <v>1310</v>
      </c>
      <c r="K479" s="1" t="s">
        <v>1315</v>
      </c>
      <c r="L479" s="15" t="s">
        <v>1313</v>
      </c>
      <c r="M479" s="15" t="s">
        <v>1314</v>
      </c>
      <c r="N479" s="15" t="s">
        <v>520</v>
      </c>
      <c r="O479" s="31">
        <v>3</v>
      </c>
      <c r="P479" s="15">
        <v>36.270000000000003</v>
      </c>
      <c r="Q479" s="15">
        <v>59.6</v>
      </c>
      <c r="R479" s="15">
        <v>354</v>
      </c>
      <c r="S479" s="15">
        <v>361</v>
      </c>
      <c r="T479" s="15">
        <v>16.3</v>
      </c>
      <c r="U479" s="15" t="s">
        <v>549</v>
      </c>
      <c r="V479" s="31">
        <v>1</v>
      </c>
      <c r="W479" s="15" t="s">
        <v>1226</v>
      </c>
      <c r="X479" s="15" t="s">
        <v>1316</v>
      </c>
      <c r="Y479" s="1">
        <v>2</v>
      </c>
      <c r="Z479" s="15">
        <v>6.4</v>
      </c>
      <c r="AA479" s="15" t="s">
        <v>574</v>
      </c>
      <c r="AB479" s="15">
        <f t="shared" si="436"/>
        <v>6.4</v>
      </c>
      <c r="AC479" s="1">
        <v>5</v>
      </c>
      <c r="AD479" s="15">
        <f t="shared" si="464"/>
        <v>22.272000000000002</v>
      </c>
      <c r="AF479" s="15">
        <v>11.8</v>
      </c>
      <c r="AJ479" s="15">
        <v>41.1</v>
      </c>
      <c r="AK479" s="15">
        <v>21.5</v>
      </c>
      <c r="AL479" s="15">
        <v>37.4</v>
      </c>
      <c r="AM479" s="1">
        <v>1</v>
      </c>
      <c r="AN479" s="15">
        <v>1.83</v>
      </c>
      <c r="AO479" s="1">
        <v>1</v>
      </c>
      <c r="AP479" s="15" t="s">
        <v>1317</v>
      </c>
      <c r="AQ479" s="57">
        <v>10</v>
      </c>
      <c r="AR479" s="1">
        <v>3</v>
      </c>
      <c r="BF479" s="15">
        <v>7.22</v>
      </c>
      <c r="BG479" s="15" t="s">
        <v>1319</v>
      </c>
      <c r="BI479" s="15">
        <v>206</v>
      </c>
      <c r="BJ479" s="15">
        <v>13.7</v>
      </c>
      <c r="BK479" s="15">
        <v>3.2</v>
      </c>
      <c r="BL479" s="15">
        <v>12.1</v>
      </c>
      <c r="BM479" s="15">
        <v>17.899999999999999</v>
      </c>
      <c r="BS479" s="15">
        <v>12500</v>
      </c>
      <c r="BT479" s="15">
        <f t="shared" si="465"/>
        <v>12500</v>
      </c>
      <c r="BU479" s="15" t="s">
        <v>766</v>
      </c>
      <c r="BY479" s="15">
        <f t="shared" si="466"/>
        <v>12500</v>
      </c>
      <c r="BZ479" s="15">
        <f t="shared" si="467"/>
        <v>11.363636363636362</v>
      </c>
      <c r="CA479" s="15">
        <f t="shared" si="468"/>
        <v>25000</v>
      </c>
      <c r="EZ479" s="15">
        <v>1.89</v>
      </c>
      <c r="FA479" s="15">
        <v>0.21</v>
      </c>
      <c r="FB479" s="15">
        <f>FA479*SQRT(AR479)</f>
        <v>0.36373066958946421</v>
      </c>
      <c r="FC479" s="15">
        <v>1.78</v>
      </c>
      <c r="FD479" s="15">
        <v>0.11</v>
      </c>
      <c r="FE479" s="15">
        <f>FD479*SQRT(AR479)</f>
        <v>0.1905255888325765</v>
      </c>
      <c r="FF479" s="15">
        <f t="shared" si="459"/>
        <v>0.94179894179894186</v>
      </c>
      <c r="FG479" s="15">
        <f t="shared" si="460"/>
        <v>-0.10999999999999988</v>
      </c>
      <c r="FH479" s="15">
        <f t="shared" si="461"/>
        <v>-5.9963464767557206E-2</v>
      </c>
      <c r="FI479" s="15">
        <f>((FE479*FE479)/(AR479*FC479*FC479)+(FB479*FB479)/(AR479*EZ479*EZ479))</f>
        <v>1.6164641264586558E-2</v>
      </c>
      <c r="FK479" s="16">
        <f t="shared" si="390"/>
        <v>6.33</v>
      </c>
      <c r="FL479" s="16">
        <f t="shared" si="391"/>
        <v>6.5</v>
      </c>
      <c r="FM479" s="15">
        <v>6.33</v>
      </c>
      <c r="FN479" s="15">
        <v>0.25</v>
      </c>
      <c r="FO479" s="15">
        <f>FN479*SQRT(AR479)</f>
        <v>0.4330127018922193</v>
      </c>
      <c r="FP479" s="15">
        <v>6.5</v>
      </c>
      <c r="FQ479" s="15">
        <v>0.46</v>
      </c>
      <c r="FR479" s="15">
        <f>FQ479*SQRT(AR479)</f>
        <v>0.7967433714816835</v>
      </c>
      <c r="FS479" s="15">
        <f t="shared" si="394"/>
        <v>1.0268562401263823</v>
      </c>
      <c r="FT479" s="15">
        <f t="shared" si="395"/>
        <v>0.16999999999999993</v>
      </c>
      <c r="FU479" s="15">
        <f t="shared" si="396"/>
        <v>2.6501940745506491E-2</v>
      </c>
      <c r="FV479" s="15">
        <f>((FR479*FR479)/(AR479*FP479*FP479)+(FO479*FO479)/(AR479*FM479*FM479))</f>
        <v>6.5680972453942155E-3</v>
      </c>
      <c r="FX479" s="15">
        <v>22.097999999999999</v>
      </c>
      <c r="FY479" s="15">
        <v>1.044</v>
      </c>
      <c r="FZ479" s="15">
        <f>FY479*SQRT(AR479)</f>
        <v>1.8082610431019079</v>
      </c>
      <c r="GA479" s="15">
        <v>24.707999999999998</v>
      </c>
      <c r="GB479" s="15">
        <v>1.74</v>
      </c>
      <c r="GC479" s="15">
        <f>GB479*SQRT(AR479)</f>
        <v>3.0137684051698463</v>
      </c>
      <c r="GD479" s="15">
        <f t="shared" si="462"/>
        <v>1.1181102362204725</v>
      </c>
      <c r="GE479" s="15">
        <f t="shared" si="463"/>
        <v>2.6099999999999994</v>
      </c>
      <c r="GF479" s="15">
        <f t="shared" si="423"/>
        <v>0.11163997114266966</v>
      </c>
      <c r="GG479" s="15">
        <f>((GC479*GC479)/(AR479*GA479*GA479)+(FZ479*FZ479)/(AR479*FX479*FX479))</f>
        <v>7.1913379295911548E-3</v>
      </c>
      <c r="GI479" s="15">
        <v>11.96</v>
      </c>
      <c r="GJ479" s="15">
        <v>0.56000000000000005</v>
      </c>
      <c r="GK479" s="15">
        <f>GJ479*SQRT(AR163)</f>
        <v>0.96994845223857129</v>
      </c>
      <c r="GL479" s="15">
        <v>12.03</v>
      </c>
      <c r="GM479" s="15">
        <v>0.59</v>
      </c>
      <c r="GN479" s="15">
        <f>GM479*SQRT(AR163)</f>
        <v>1.0219099764656374</v>
      </c>
      <c r="GO479" s="15">
        <f t="shared" si="451"/>
        <v>1.0058528428093645</v>
      </c>
      <c r="GP479" s="15">
        <f t="shared" si="452"/>
        <v>6.9999999999998508E-2</v>
      </c>
      <c r="GQ479" s="15">
        <f t="shared" si="453"/>
        <v>5.8357814641016859E-3</v>
      </c>
      <c r="GR479" s="15">
        <f>((GN479*GN479)/(AR163*GL479*GL479)+(GK479*GK479)/(AR163*GI479*GI479))</f>
        <v>4.5976886933343864E-3</v>
      </c>
      <c r="HY479" s="15">
        <f>BY479</f>
        <v>12500</v>
      </c>
      <c r="HZ479" s="15">
        <f>BZ479</f>
        <v>11.363636363636362</v>
      </c>
      <c r="IA479" s="15">
        <f>CA479</f>
        <v>25000</v>
      </c>
    </row>
    <row r="480" spans="1:235" s="15" customFormat="1" x14ac:dyDescent="0.25">
      <c r="A480" s="31">
        <v>478</v>
      </c>
      <c r="B480" s="1">
        <v>85</v>
      </c>
      <c r="C480" s="1">
        <v>97</v>
      </c>
      <c r="D480" s="15" t="s">
        <v>438</v>
      </c>
      <c r="E480" s="1">
        <v>4</v>
      </c>
      <c r="F480" s="15" t="s">
        <v>1019</v>
      </c>
      <c r="G480" s="15" t="s">
        <v>1312</v>
      </c>
      <c r="H480" s="15" t="s">
        <v>1311</v>
      </c>
      <c r="I480" s="1">
        <v>2018</v>
      </c>
      <c r="J480" s="15" t="s">
        <v>1310</v>
      </c>
      <c r="K480" s="1" t="s">
        <v>1315</v>
      </c>
      <c r="L480" s="15" t="s">
        <v>1313</v>
      </c>
      <c r="M480" s="15" t="s">
        <v>1314</v>
      </c>
      <c r="N480" s="15" t="s">
        <v>520</v>
      </c>
      <c r="O480" s="31">
        <v>3</v>
      </c>
      <c r="P480" s="15">
        <v>36.270000000000003</v>
      </c>
      <c r="Q480" s="15">
        <v>59.6</v>
      </c>
      <c r="R480" s="15">
        <v>354</v>
      </c>
      <c r="S480" s="15">
        <v>361</v>
      </c>
      <c r="T480" s="15">
        <v>16.3</v>
      </c>
      <c r="U480" s="15" t="s">
        <v>549</v>
      </c>
      <c r="V480" s="31">
        <v>1</v>
      </c>
      <c r="W480" s="15" t="s">
        <v>1226</v>
      </c>
      <c r="X480" s="15" t="s">
        <v>1316</v>
      </c>
      <c r="Y480" s="1">
        <v>2</v>
      </c>
      <c r="Z480" s="15">
        <v>6.4</v>
      </c>
      <c r="AA480" s="15" t="s">
        <v>574</v>
      </c>
      <c r="AB480" s="15">
        <f t="shared" si="436"/>
        <v>6.4</v>
      </c>
      <c r="AC480" s="1">
        <v>5</v>
      </c>
      <c r="AD480" s="15">
        <f t="shared" si="464"/>
        <v>22.272000000000002</v>
      </c>
      <c r="AF480" s="15">
        <v>11.8</v>
      </c>
      <c r="AJ480" s="15">
        <v>41.1</v>
      </c>
      <c r="AK480" s="15">
        <v>21.5</v>
      </c>
      <c r="AL480" s="15">
        <v>37.4</v>
      </c>
      <c r="AM480" s="1">
        <v>1</v>
      </c>
      <c r="AN480" s="15">
        <v>1.83</v>
      </c>
      <c r="AO480" s="1">
        <v>1</v>
      </c>
      <c r="AP480" s="15" t="s">
        <v>1317</v>
      </c>
      <c r="AQ480" s="57">
        <v>10</v>
      </c>
      <c r="AR480" s="1">
        <v>3</v>
      </c>
      <c r="BF480" s="15">
        <v>7.22</v>
      </c>
      <c r="BG480" s="15" t="s">
        <v>1319</v>
      </c>
      <c r="BI480" s="15">
        <v>206</v>
      </c>
      <c r="BJ480" s="15">
        <v>13.7</v>
      </c>
      <c r="BK480" s="15">
        <v>3.2</v>
      </c>
      <c r="BL480" s="15">
        <v>12.1</v>
      </c>
      <c r="BM480" s="15">
        <v>17.899999999999999</v>
      </c>
      <c r="BS480" s="15">
        <v>6250</v>
      </c>
      <c r="BT480" s="15">
        <f t="shared" si="465"/>
        <v>6250</v>
      </c>
      <c r="BU480" s="15" t="s">
        <v>766</v>
      </c>
      <c r="BY480" s="15">
        <f t="shared" si="466"/>
        <v>6250</v>
      </c>
      <c r="BZ480" s="15">
        <f t="shared" si="467"/>
        <v>5.6818181818181808</v>
      </c>
      <c r="CA480" s="15">
        <f t="shared" si="468"/>
        <v>12500</v>
      </c>
      <c r="EZ480" s="15">
        <v>1.91</v>
      </c>
      <c r="FA480" s="15">
        <v>0.13</v>
      </c>
      <c r="FB480" s="15">
        <f>FA480*SQRT(AR480)</f>
        <v>0.22516660498395405</v>
      </c>
      <c r="FC480" s="15">
        <v>1.8</v>
      </c>
      <c r="FD480" s="15">
        <v>0.11</v>
      </c>
      <c r="FE480" s="15">
        <f>FD480*SQRT(AR480)</f>
        <v>0.1905255888325765</v>
      </c>
      <c r="FF480" s="15">
        <f t="shared" si="459"/>
        <v>0.94240837696335089</v>
      </c>
      <c r="FG480" s="15">
        <f t="shared" si="460"/>
        <v>-0.10999999999999988</v>
      </c>
      <c r="FH480" s="15">
        <f t="shared" si="461"/>
        <v>-5.9316577156419359E-2</v>
      </c>
      <c r="FI480" s="15">
        <f>((FE480*FE480)/(AR480*FC480*FC480)+(FB480*FB480)/(AR480*EZ480*EZ480))</f>
        <v>8.3671163511125878E-3</v>
      </c>
      <c r="FK480" s="16">
        <f t="shared" si="390"/>
        <v>6.47</v>
      </c>
      <c r="FL480" s="16">
        <f t="shared" si="391"/>
        <v>6.5</v>
      </c>
      <c r="FM480" s="15">
        <v>6.47</v>
      </c>
      <c r="FN480" s="15">
        <v>0.25</v>
      </c>
      <c r="FO480" s="15">
        <f>FN480*SQRT(AR480)</f>
        <v>0.4330127018922193</v>
      </c>
      <c r="FP480" s="15">
        <v>6.5</v>
      </c>
      <c r="FQ480" s="15">
        <v>0.46</v>
      </c>
      <c r="FR480" s="15">
        <f>FQ480*SQRT(AR480)</f>
        <v>0.7967433714816835</v>
      </c>
      <c r="FS480" s="15">
        <f t="shared" si="394"/>
        <v>1.0046367851622875</v>
      </c>
      <c r="FT480" s="15">
        <f t="shared" si="395"/>
        <v>3.0000000000000249E-2</v>
      </c>
      <c r="FU480" s="15">
        <f t="shared" si="396"/>
        <v>4.6260683887822118E-3</v>
      </c>
      <c r="FV480" s="15">
        <f>((FR480*FR480)/(AR480*FP480*FP480)+(FO480*FO480)/(AR480*FM480*FM480))</f>
        <v>6.5013240681970645E-3</v>
      </c>
      <c r="FX480" s="15">
        <v>22.097999999999999</v>
      </c>
      <c r="FY480" s="15">
        <v>1.044</v>
      </c>
      <c r="FZ480" s="15">
        <f>FY480*SQRT(AR480)</f>
        <v>1.8082610431019079</v>
      </c>
      <c r="GA480" s="15">
        <v>23.663999999999998</v>
      </c>
      <c r="GB480" s="15">
        <v>1.3920000000000001</v>
      </c>
      <c r="GC480" s="15">
        <f>GB480*SQRT(AR480)</f>
        <v>2.4110147241358773</v>
      </c>
      <c r="GD480" s="15">
        <f t="shared" si="462"/>
        <v>1.0708661417322833</v>
      </c>
      <c r="GE480" s="15">
        <f t="shared" si="463"/>
        <v>1.5659999999999989</v>
      </c>
      <c r="GF480" s="15">
        <f t="shared" si="423"/>
        <v>6.8467799277460717E-2</v>
      </c>
      <c r="GG480" s="15">
        <f>((GC480*GC480)/(AR480*GA480*GA480)+(FZ480*FZ480)/(AR480*FX480*FX480))</f>
        <v>5.6922120764656761E-3</v>
      </c>
      <c r="GI480" s="15">
        <v>11.97</v>
      </c>
      <c r="GJ480" s="15">
        <v>0.69</v>
      </c>
      <c r="GK480" s="15">
        <f>GJ480*SQRT(AR164)</f>
        <v>1.1951150572225251</v>
      </c>
      <c r="GL480" s="15">
        <v>11.99</v>
      </c>
      <c r="GM480" s="15">
        <v>0.33</v>
      </c>
      <c r="GN480" s="15">
        <f>GM480*SQRT(AR164)</f>
        <v>0.57157676649772948</v>
      </c>
      <c r="GO480" s="15">
        <f t="shared" si="451"/>
        <v>1.0016708437761068</v>
      </c>
      <c r="GP480" s="15">
        <f t="shared" si="452"/>
        <v>1.9999999999999574E-2</v>
      </c>
      <c r="GQ480" s="15">
        <f t="shared" si="453"/>
        <v>1.6694494695408402E-3</v>
      </c>
      <c r="GR480" s="15">
        <f>((GN480*GN480)/(AR164*GL480*GL480)+(GK480*GK480)/(AR164*GI480*GI480))</f>
        <v>4.0803554434157216E-3</v>
      </c>
      <c r="HE480" s="15">
        <v>67500</v>
      </c>
      <c r="HF480" s="15">
        <v>2700</v>
      </c>
      <c r="HG480" s="15">
        <f>HF480*SQRT(AR170)</f>
        <v>4676.5371804359684</v>
      </c>
      <c r="HH480" s="15">
        <v>72000</v>
      </c>
      <c r="HI480" s="15">
        <v>2250</v>
      </c>
      <c r="HJ480" s="15">
        <f>HI480*SQRT(AR170)</f>
        <v>3897.1143170299738</v>
      </c>
      <c r="HK480" s="15">
        <f>HH480/HE480</f>
        <v>1.0666666666666667</v>
      </c>
      <c r="HL480" s="15">
        <f>HH480-HE480</f>
        <v>4500</v>
      </c>
      <c r="HM480" s="15">
        <f>LN(HH480)-LN(HE480)</f>
        <v>6.4538521137571081E-2</v>
      </c>
      <c r="HN480" s="15">
        <f>((HJ480*HJ480)/(AR170*HH480*HH480)+(HG480*HG480)/(AR170*HE480*HE480))</f>
        <v>2.5765624999999994E-3</v>
      </c>
      <c r="HP480" s="15" t="s">
        <v>766</v>
      </c>
      <c r="HV480" s="15">
        <f>HX480/HW480/100</f>
        <v>1936.8277704031755</v>
      </c>
      <c r="HW480" s="15">
        <f>HM480</f>
        <v>6.4538521137571081E-2</v>
      </c>
      <c r="HX480" s="15">
        <f>CA480</f>
        <v>12500</v>
      </c>
      <c r="HY480" s="15">
        <f>BY480</f>
        <v>6250</v>
      </c>
      <c r="HZ480" s="15">
        <f>BZ480</f>
        <v>5.6818181818181808</v>
      </c>
      <c r="IA480" s="15">
        <f>CA480</f>
        <v>12500</v>
      </c>
    </row>
    <row r="481" spans="1:235" s="15" customFormat="1" x14ac:dyDescent="0.25">
      <c r="A481" s="31">
        <v>479</v>
      </c>
      <c r="B481" s="1">
        <v>85</v>
      </c>
      <c r="C481" s="1">
        <v>97</v>
      </c>
      <c r="D481" s="15" t="s">
        <v>439</v>
      </c>
      <c r="E481" s="1">
        <v>4</v>
      </c>
      <c r="F481" s="15" t="s">
        <v>1019</v>
      </c>
      <c r="G481" s="15" t="s">
        <v>1312</v>
      </c>
      <c r="H481" s="15" t="s">
        <v>1311</v>
      </c>
      <c r="I481" s="1">
        <v>2018</v>
      </c>
      <c r="J481" s="15" t="s">
        <v>1310</v>
      </c>
      <c r="K481" s="1" t="s">
        <v>1315</v>
      </c>
      <c r="L481" s="15" t="s">
        <v>1313</v>
      </c>
      <c r="M481" s="15" t="s">
        <v>1314</v>
      </c>
      <c r="N481" s="15" t="s">
        <v>520</v>
      </c>
      <c r="O481" s="31">
        <v>3</v>
      </c>
      <c r="P481" s="15">
        <v>36.270000000000003</v>
      </c>
      <c r="Q481" s="15">
        <v>59.6</v>
      </c>
      <c r="R481" s="15">
        <v>354</v>
      </c>
      <c r="S481" s="15">
        <v>361</v>
      </c>
      <c r="T481" s="15">
        <v>16.3</v>
      </c>
      <c r="U481" s="15" t="s">
        <v>549</v>
      </c>
      <c r="V481" s="31">
        <v>1</v>
      </c>
      <c r="W481" s="15" t="s">
        <v>1226</v>
      </c>
      <c r="X481" s="15" t="s">
        <v>1316</v>
      </c>
      <c r="Y481" s="1">
        <v>2</v>
      </c>
      <c r="Z481" s="15">
        <v>6.4</v>
      </c>
      <c r="AA481" s="15" t="s">
        <v>574</v>
      </c>
      <c r="AB481" s="15">
        <f t="shared" si="436"/>
        <v>6.4</v>
      </c>
      <c r="AC481" s="1">
        <v>5</v>
      </c>
      <c r="AD481" s="15">
        <f t="shared" si="464"/>
        <v>22.272000000000002</v>
      </c>
      <c r="AF481" s="15">
        <v>11.8</v>
      </c>
      <c r="AJ481" s="15">
        <v>41.1</v>
      </c>
      <c r="AK481" s="15">
        <v>21.5</v>
      </c>
      <c r="AL481" s="15">
        <v>37.4</v>
      </c>
      <c r="AM481" s="1">
        <v>1</v>
      </c>
      <c r="AN481" s="15">
        <v>1.83</v>
      </c>
      <c r="AO481" s="1">
        <v>1</v>
      </c>
      <c r="AP481" s="15" t="s">
        <v>1317</v>
      </c>
      <c r="AQ481" s="57">
        <v>10</v>
      </c>
      <c r="AR481" s="1">
        <v>3</v>
      </c>
      <c r="BF481" s="15">
        <v>7.22</v>
      </c>
      <c r="BG481" s="15" t="s">
        <v>1319</v>
      </c>
      <c r="BI481" s="15">
        <v>206</v>
      </c>
      <c r="BJ481" s="15">
        <v>13.7</v>
      </c>
      <c r="BK481" s="15">
        <v>3.2</v>
      </c>
      <c r="BL481" s="15">
        <v>12.1</v>
      </c>
      <c r="BM481" s="15">
        <v>17.899999999999999</v>
      </c>
      <c r="BS481" s="15">
        <v>3130</v>
      </c>
      <c r="BT481" s="15">
        <f t="shared" si="465"/>
        <v>3130</v>
      </c>
      <c r="BU481" s="15" t="s">
        <v>766</v>
      </c>
      <c r="BY481" s="15">
        <f t="shared" si="466"/>
        <v>3130</v>
      </c>
      <c r="BZ481" s="15">
        <f t="shared" si="467"/>
        <v>2.8454545454545452</v>
      </c>
      <c r="CA481" s="15">
        <f t="shared" si="468"/>
        <v>6260</v>
      </c>
      <c r="EZ481" s="15">
        <v>1.95</v>
      </c>
      <c r="FA481" s="15">
        <v>0.19</v>
      </c>
      <c r="FB481" s="15">
        <f>FA481*SQRT(AR481)</f>
        <v>0.32908965343808666</v>
      </c>
      <c r="FC481" s="15">
        <v>1.86</v>
      </c>
      <c r="FD481" s="15">
        <v>0.15</v>
      </c>
      <c r="FE481" s="15">
        <f>FD481*SQRT(AR481)</f>
        <v>0.25980762113533157</v>
      </c>
      <c r="FF481" s="15">
        <f t="shared" si="459"/>
        <v>0.9538461538461539</v>
      </c>
      <c r="FG481" s="15">
        <f t="shared" si="460"/>
        <v>-8.9999999999999858E-2</v>
      </c>
      <c r="FH481" s="15">
        <f t="shared" si="461"/>
        <v>-4.7252884850545462E-2</v>
      </c>
      <c r="FI481" s="15">
        <f>((FE481*FE481)/(AR481*FC481*FC481)+(FB481*FB481)/(AR481*EZ481*EZ481))</f>
        <v>1.5997396148680867E-2</v>
      </c>
      <c r="FK481" s="16">
        <f t="shared" si="390"/>
        <v>6.37</v>
      </c>
      <c r="FL481" s="16">
        <f t="shared" si="391"/>
        <v>6.4</v>
      </c>
      <c r="FM481" s="15">
        <v>6.37</v>
      </c>
      <c r="FN481" s="15">
        <v>0.35</v>
      </c>
      <c r="FO481" s="15">
        <f>FN481*SQRT(AR481)</f>
        <v>0.60621778264910697</v>
      </c>
      <c r="FP481" s="15">
        <v>6.4</v>
      </c>
      <c r="FQ481" s="15">
        <v>0.4</v>
      </c>
      <c r="FR481" s="15">
        <f>FQ481*SQRT(AR481)</f>
        <v>0.69282032302755092</v>
      </c>
      <c r="FS481" s="15">
        <f t="shared" si="394"/>
        <v>1.0047095761381477</v>
      </c>
      <c r="FT481" s="15">
        <f t="shared" si="395"/>
        <v>3.0000000000000249E-2</v>
      </c>
      <c r="FU481" s="15">
        <f t="shared" si="396"/>
        <v>4.6985207815541941E-3</v>
      </c>
      <c r="FV481" s="15">
        <f>((FR481*FR481)/(AR481*FP481*FP481)+(FO481*FO481)/(AR481*FM481*FM481))</f>
        <v>6.9252090629151053E-3</v>
      </c>
      <c r="FX481" s="15">
        <v>22.272000000000002</v>
      </c>
      <c r="FY481" s="15">
        <v>1.3920000000000001</v>
      </c>
      <c r="FZ481" s="15">
        <f>FY481*SQRT(AR481)</f>
        <v>2.4110147241358773</v>
      </c>
      <c r="GA481" s="15">
        <v>22.446000000000002</v>
      </c>
      <c r="GB481" s="15">
        <v>1.3920000000000001</v>
      </c>
      <c r="GC481" s="15">
        <f>GB481*SQRT(AR481)</f>
        <v>2.4110147241358773</v>
      </c>
      <c r="GD481" s="15">
        <f t="shared" si="462"/>
        <v>1.0078125</v>
      </c>
      <c r="GE481" s="15">
        <f t="shared" si="463"/>
        <v>0.17399999999999949</v>
      </c>
      <c r="GF481" s="15">
        <f t="shared" si="423"/>
        <v>7.7821404420550522E-3</v>
      </c>
      <c r="GG481" s="15">
        <f>((GC481*GC481)/(AR481*GA481*GA481)+(FZ481*FZ481)/(AR481*FX481*FX481))</f>
        <v>7.7521727209903246E-3</v>
      </c>
      <c r="GI481" s="15">
        <v>11.85</v>
      </c>
      <c r="GJ481" s="15">
        <v>0.55000000000000004</v>
      </c>
      <c r="GK481" s="15">
        <f>GJ481*SQRT(AR165)</f>
        <v>0.95262794416288255</v>
      </c>
      <c r="GL481" s="15">
        <v>11.91</v>
      </c>
      <c r="GM481" s="15">
        <v>0.8</v>
      </c>
      <c r="GN481" s="15">
        <f>GM481*SQRT(AR165)</f>
        <v>1.3856406460551018</v>
      </c>
      <c r="GO481" s="15">
        <f t="shared" si="451"/>
        <v>1.0050632911392405</v>
      </c>
      <c r="GP481" s="15">
        <f t="shared" si="452"/>
        <v>6.0000000000000497E-2</v>
      </c>
      <c r="GQ481" s="15">
        <f t="shared" si="453"/>
        <v>5.0505157860687433E-3</v>
      </c>
      <c r="GR481" s="15">
        <f>((GN481*GN481)/(AR165*GL481*GL481)+(GK481*GK481)/(AR165*GI481*GI481))</f>
        <v>6.6660818601495652E-3</v>
      </c>
      <c r="HE481" s="15">
        <v>76500</v>
      </c>
      <c r="HF481" s="15">
        <v>2700</v>
      </c>
      <c r="HG481" s="15">
        <f>HF481*SQRT(AR171)</f>
        <v>4676.5371804359684</v>
      </c>
      <c r="HH481" s="15">
        <v>81000</v>
      </c>
      <c r="HI481" s="15">
        <v>2250</v>
      </c>
      <c r="HJ481" s="15">
        <f>HI481*SQRT(AR171)</f>
        <v>3897.1143170299738</v>
      </c>
      <c r="HK481" s="15">
        <f>HH481/HE481</f>
        <v>1.0588235294117647</v>
      </c>
      <c r="HL481" s="15">
        <f>HH481-HE481</f>
        <v>4500</v>
      </c>
      <c r="HM481" s="15">
        <f>LN(HH481)-LN(HE481)</f>
        <v>5.7158413839948352E-2</v>
      </c>
      <c r="HN481" s="15">
        <f>((HJ481*HJ481)/(AR171*HH481*HH481)+(HG481*HG481)/(AR171*HE481*HE481))</f>
        <v>2.0172796787560334E-3</v>
      </c>
      <c r="HP481" s="15" t="s">
        <v>766</v>
      </c>
      <c r="HV481" s="15">
        <f>HX481/HW481/100</f>
        <v>1095.2018398426671</v>
      </c>
      <c r="HW481" s="15">
        <f>HM481</f>
        <v>5.7158413839948352E-2</v>
      </c>
      <c r="HX481" s="15">
        <f>CA481</f>
        <v>6260</v>
      </c>
      <c r="HY481" s="15">
        <f>BY481</f>
        <v>3130</v>
      </c>
      <c r="HZ481" s="15">
        <f>BZ481</f>
        <v>2.8454545454545452</v>
      </c>
      <c r="IA481" s="15">
        <f>CA481</f>
        <v>6260</v>
      </c>
    </row>
    <row r="482" spans="1:235" s="15" customFormat="1" x14ac:dyDescent="0.25">
      <c r="A482" s="31">
        <v>480</v>
      </c>
      <c r="B482" s="1">
        <v>85</v>
      </c>
      <c r="C482" s="1">
        <v>97</v>
      </c>
      <c r="D482" s="15" t="s">
        <v>440</v>
      </c>
      <c r="E482" s="1">
        <v>6</v>
      </c>
      <c r="F482" s="15" t="s">
        <v>1304</v>
      </c>
      <c r="G482" s="15" t="s">
        <v>1312</v>
      </c>
      <c r="H482" s="15" t="s">
        <v>1311</v>
      </c>
      <c r="I482" s="1">
        <v>2018</v>
      </c>
      <c r="J482" s="15" t="s">
        <v>1310</v>
      </c>
      <c r="K482" s="1" t="s">
        <v>1315</v>
      </c>
      <c r="L482" s="15" t="s">
        <v>1313</v>
      </c>
      <c r="M482" s="15" t="s">
        <v>1314</v>
      </c>
      <c r="N482" s="15" t="s">
        <v>520</v>
      </c>
      <c r="O482" s="31">
        <v>3</v>
      </c>
      <c r="P482" s="15">
        <v>36.270000000000003</v>
      </c>
      <c r="Q482" s="15">
        <v>59.6</v>
      </c>
      <c r="R482" s="15">
        <v>354</v>
      </c>
      <c r="S482" s="15">
        <v>361</v>
      </c>
      <c r="T482" s="15">
        <v>16.3</v>
      </c>
      <c r="U482" s="15" t="s">
        <v>549</v>
      </c>
      <c r="V482" s="31">
        <v>1</v>
      </c>
      <c r="W482" s="15" t="s">
        <v>1226</v>
      </c>
      <c r="X482" s="15" t="s">
        <v>1316</v>
      </c>
      <c r="Y482" s="1">
        <v>2</v>
      </c>
      <c r="Z482" s="15">
        <v>6.4</v>
      </c>
      <c r="AA482" s="15" t="s">
        <v>574</v>
      </c>
      <c r="AB482" s="15">
        <f t="shared" si="436"/>
        <v>6.4</v>
      </c>
      <c r="AC482" s="1">
        <v>5</v>
      </c>
      <c r="AD482" s="15">
        <f t="shared" si="464"/>
        <v>22.272000000000002</v>
      </c>
      <c r="AF482" s="15">
        <v>11.8</v>
      </c>
      <c r="AJ482" s="15">
        <v>41.1</v>
      </c>
      <c r="AK482" s="15">
        <v>21.5</v>
      </c>
      <c r="AL482" s="15">
        <v>37.4</v>
      </c>
      <c r="AM482" s="1">
        <v>1</v>
      </c>
      <c r="AN482" s="15">
        <v>1.83</v>
      </c>
      <c r="AO482" s="1">
        <v>1</v>
      </c>
      <c r="AP482" s="15" t="s">
        <v>1317</v>
      </c>
      <c r="AQ482" s="57">
        <v>10</v>
      </c>
      <c r="AR482" s="1">
        <v>3</v>
      </c>
      <c r="BF482" s="15">
        <v>7.22</v>
      </c>
      <c r="BG482" s="15" t="s">
        <v>1319</v>
      </c>
      <c r="BI482" s="15">
        <v>206</v>
      </c>
      <c r="BJ482" s="15">
        <v>13.7</v>
      </c>
      <c r="BK482" s="15">
        <v>3.2</v>
      </c>
      <c r="BL482" s="15">
        <v>12.1</v>
      </c>
      <c r="BM482" s="15">
        <v>17.899999999999999</v>
      </c>
      <c r="BS482" s="15">
        <v>25000</v>
      </c>
      <c r="BT482" s="15">
        <f t="shared" si="465"/>
        <v>25000</v>
      </c>
      <c r="BU482" s="15" t="s">
        <v>766</v>
      </c>
      <c r="BY482" s="15">
        <f t="shared" si="466"/>
        <v>25000</v>
      </c>
      <c r="BZ482" s="15">
        <f t="shared" si="467"/>
        <v>22.727272727272723</v>
      </c>
      <c r="CA482" s="15">
        <f t="shared" si="468"/>
        <v>50000</v>
      </c>
      <c r="CC482" s="15" t="s">
        <v>1318</v>
      </c>
      <c r="CE482" s="15">
        <v>10000</v>
      </c>
      <c r="CF482" s="15">
        <f>CE482</f>
        <v>10000</v>
      </c>
      <c r="CG482" s="15" t="s">
        <v>766</v>
      </c>
      <c r="CH482" s="15">
        <v>9.6999999999999993</v>
      </c>
      <c r="CI482" s="15">
        <v>800</v>
      </c>
      <c r="CK482" s="15">
        <v>519</v>
      </c>
      <c r="CL482" s="15">
        <v>8.5</v>
      </c>
      <c r="CM482" s="15">
        <v>7.3</v>
      </c>
      <c r="CO482" s="15">
        <v>69.8</v>
      </c>
      <c r="CW482" s="15">
        <v>19.8</v>
      </c>
      <c r="CY482" s="25">
        <f>CF482</f>
        <v>10000</v>
      </c>
      <c r="CZ482" s="25">
        <f>CY482/0.78/1000</f>
        <v>12.820512820512821</v>
      </c>
      <c r="DA482" s="25">
        <f>CY482*3</f>
        <v>30000</v>
      </c>
      <c r="EW482" s="46">
        <f>AX482+BT482+CF482+DE482+DY482</f>
        <v>35000</v>
      </c>
      <c r="EX482" s="46">
        <f>BA482+BZ482+CZ482+DT482+ET482</f>
        <v>35.547785547785544</v>
      </c>
      <c r="EY482" s="46">
        <f>BB482+CA482+DA482+DU482+EU482</f>
        <v>80000</v>
      </c>
      <c r="EZ482" s="15">
        <v>1.83</v>
      </c>
      <c r="FA482" s="15">
        <v>0.12</v>
      </c>
      <c r="FB482" s="15">
        <f>FA482*SQRT(AR482)</f>
        <v>0.20784609690826525</v>
      </c>
      <c r="FC482" s="15">
        <v>1.39</v>
      </c>
      <c r="FD482" s="15">
        <v>0.1</v>
      </c>
      <c r="FE482" s="15">
        <f>FD482*SQRT(AR482)</f>
        <v>0.17320508075688773</v>
      </c>
      <c r="FF482" s="15">
        <f t="shared" si="459"/>
        <v>0.7595628415300546</v>
      </c>
      <c r="FG482" s="15">
        <f t="shared" si="460"/>
        <v>-0.44000000000000017</v>
      </c>
      <c r="FH482" s="15">
        <f t="shared" si="461"/>
        <v>-0.27501221971072926</v>
      </c>
      <c r="FI482" s="15">
        <f>((FE482*FE482)/(AR482*FC482*FC482)+(FB482*FB482)/(AR482*EZ482*EZ482))</f>
        <v>9.475634919185464E-3</v>
      </c>
      <c r="FK482" s="16">
        <f t="shared" si="390"/>
        <v>6.4</v>
      </c>
      <c r="FL482" s="16">
        <f t="shared" si="391"/>
        <v>6.77</v>
      </c>
      <c r="FM482" s="15">
        <v>6.4</v>
      </c>
      <c r="FN482" s="15">
        <v>0.26</v>
      </c>
      <c r="FO482" s="15">
        <f>FN482*SQRT(AR482)</f>
        <v>0.4503332099679081</v>
      </c>
      <c r="FP482" s="15">
        <v>6.77</v>
      </c>
      <c r="FQ482" s="15">
        <v>0.38</v>
      </c>
      <c r="FR482" s="15">
        <f>FQ482*SQRT(AR482)</f>
        <v>0.65817930687617332</v>
      </c>
      <c r="FS482" s="15">
        <f t="shared" si="394"/>
        <v>1.0578124999999998</v>
      </c>
      <c r="FT482" s="15">
        <f t="shared" si="395"/>
        <v>0.36999999999999922</v>
      </c>
      <c r="FU482" s="15">
        <f t="shared" si="396"/>
        <v>5.6203096558557375E-2</v>
      </c>
      <c r="FV482" s="15">
        <f>((FR482*FR482)/(AR482*FP482*FP482)+(FO482*FO482)/(AR482*FM482*FM482))</f>
        <v>4.8009658668022853E-3</v>
      </c>
      <c r="FX482" s="15">
        <v>22.272000000000002</v>
      </c>
      <c r="FY482" s="15">
        <v>1.3920000000000001</v>
      </c>
      <c r="FZ482" s="15">
        <f>FY482*SQRT(AR482)</f>
        <v>2.4110147241358773</v>
      </c>
      <c r="GA482" s="15">
        <v>30.624000000000002</v>
      </c>
      <c r="GB482" s="15">
        <v>1.044</v>
      </c>
      <c r="GC482" s="15">
        <f>GB482*SQRT(AR482)</f>
        <v>1.8082610431019079</v>
      </c>
      <c r="GD482" s="15">
        <f t="shared" si="462"/>
        <v>1.375</v>
      </c>
      <c r="GE482" s="15">
        <f t="shared" si="463"/>
        <v>8.3520000000000003</v>
      </c>
      <c r="GF482" s="15">
        <f t="shared" si="423"/>
        <v>0.31845373111853448</v>
      </c>
      <c r="GG482" s="15">
        <f>((GC482*GC482)/(AR482*GA482*GA482)+(FZ482*FZ482)/(AR482*FX482*FX482))</f>
        <v>5.0684400826446277E-3</v>
      </c>
      <c r="GI482" s="15">
        <v>11.88</v>
      </c>
      <c r="GJ482" s="15">
        <v>0.73</v>
      </c>
      <c r="GK482" s="15">
        <f>GJ482*SQRT(AR166)</f>
        <v>1.2643970895252803</v>
      </c>
      <c r="GL482" s="15">
        <v>13.03</v>
      </c>
      <c r="GM482" s="15">
        <v>0.67</v>
      </c>
      <c r="GN482" s="15">
        <f>GM482*SQRT(AR166)</f>
        <v>1.1604740410711478</v>
      </c>
      <c r="GO482" s="15">
        <f t="shared" si="451"/>
        <v>1.0968013468013467</v>
      </c>
      <c r="GP482" s="15">
        <f t="shared" si="452"/>
        <v>1.1499999999999986</v>
      </c>
      <c r="GQ482" s="15">
        <f t="shared" si="453"/>
        <v>9.2398077202255013E-2</v>
      </c>
      <c r="GR482" s="15">
        <f>((GN482*GN482)/(AR166*GL482*GL482)+(GK482*GK482)/(AR166*GI482*GI482))</f>
        <v>6.4198294111209361E-3</v>
      </c>
      <c r="HY482" s="15">
        <f t="shared" ref="HY482:IA485" si="469">EW482</f>
        <v>35000</v>
      </c>
      <c r="HZ482" s="15">
        <f t="shared" si="469"/>
        <v>35.547785547785544</v>
      </c>
      <c r="IA482" s="15">
        <f t="shared" si="469"/>
        <v>80000</v>
      </c>
    </row>
    <row r="483" spans="1:235" s="15" customFormat="1" x14ac:dyDescent="0.25">
      <c r="A483" s="31">
        <v>481</v>
      </c>
      <c r="B483" s="1">
        <v>85</v>
      </c>
      <c r="C483" s="1">
        <v>97</v>
      </c>
      <c r="D483" s="15" t="s">
        <v>441</v>
      </c>
      <c r="E483" s="1">
        <v>6</v>
      </c>
      <c r="F483" s="15" t="s">
        <v>1304</v>
      </c>
      <c r="G483" s="15" t="s">
        <v>1312</v>
      </c>
      <c r="H483" s="15" t="s">
        <v>1311</v>
      </c>
      <c r="I483" s="1">
        <v>2018</v>
      </c>
      <c r="J483" s="15" t="s">
        <v>1310</v>
      </c>
      <c r="K483" s="1" t="s">
        <v>1315</v>
      </c>
      <c r="L483" s="15" t="s">
        <v>1313</v>
      </c>
      <c r="M483" s="15" t="s">
        <v>1314</v>
      </c>
      <c r="N483" s="15" t="s">
        <v>520</v>
      </c>
      <c r="O483" s="31">
        <v>3</v>
      </c>
      <c r="P483" s="15">
        <v>36.270000000000003</v>
      </c>
      <c r="Q483" s="15">
        <v>59.6</v>
      </c>
      <c r="R483" s="15">
        <v>354</v>
      </c>
      <c r="S483" s="15">
        <v>361</v>
      </c>
      <c r="T483" s="15">
        <v>16.3</v>
      </c>
      <c r="U483" s="15" t="s">
        <v>549</v>
      </c>
      <c r="V483" s="31">
        <v>1</v>
      </c>
      <c r="W483" s="15" t="s">
        <v>1226</v>
      </c>
      <c r="X483" s="15" t="s">
        <v>1316</v>
      </c>
      <c r="Y483" s="1">
        <v>2</v>
      </c>
      <c r="Z483" s="15">
        <v>6.4</v>
      </c>
      <c r="AA483" s="15" t="s">
        <v>574</v>
      </c>
      <c r="AB483" s="15">
        <f t="shared" si="436"/>
        <v>6.4</v>
      </c>
      <c r="AC483" s="1">
        <v>5</v>
      </c>
      <c r="AD483" s="15">
        <f t="shared" si="464"/>
        <v>22.272000000000002</v>
      </c>
      <c r="AF483" s="15">
        <v>11.8</v>
      </c>
      <c r="AJ483" s="15">
        <v>41.1</v>
      </c>
      <c r="AK483" s="15">
        <v>21.5</v>
      </c>
      <c r="AL483" s="15">
        <v>37.4</v>
      </c>
      <c r="AM483" s="1">
        <v>1</v>
      </c>
      <c r="AN483" s="15">
        <v>1.83</v>
      </c>
      <c r="AO483" s="1">
        <v>1</v>
      </c>
      <c r="AP483" s="15" t="s">
        <v>1317</v>
      </c>
      <c r="AQ483" s="57">
        <v>10</v>
      </c>
      <c r="AR483" s="1">
        <v>3</v>
      </c>
      <c r="BF483" s="15">
        <v>7.22</v>
      </c>
      <c r="BG483" s="15" t="s">
        <v>1319</v>
      </c>
      <c r="BI483" s="15">
        <v>206</v>
      </c>
      <c r="BJ483" s="15">
        <v>13.7</v>
      </c>
      <c r="BK483" s="15">
        <v>3.2</v>
      </c>
      <c r="BL483" s="15">
        <v>12.1</v>
      </c>
      <c r="BM483" s="15">
        <v>17.899999999999999</v>
      </c>
      <c r="BS483" s="15">
        <v>12500</v>
      </c>
      <c r="BT483" s="15">
        <f t="shared" si="465"/>
        <v>12500</v>
      </c>
      <c r="BU483" s="15" t="s">
        <v>766</v>
      </c>
      <c r="BY483" s="15">
        <f t="shared" si="466"/>
        <v>12500</v>
      </c>
      <c r="BZ483" s="15">
        <f t="shared" si="467"/>
        <v>11.363636363636362</v>
      </c>
      <c r="CA483" s="15">
        <f t="shared" si="468"/>
        <v>25000</v>
      </c>
      <c r="CC483" s="15" t="s">
        <v>1318</v>
      </c>
      <c r="CE483" s="15">
        <v>5000</v>
      </c>
      <c r="CF483" s="15">
        <f>CE483</f>
        <v>5000</v>
      </c>
      <c r="CG483" s="15" t="s">
        <v>766</v>
      </c>
      <c r="CH483" s="15">
        <v>9.6999999999999993</v>
      </c>
      <c r="CI483" s="15">
        <v>800</v>
      </c>
      <c r="CK483" s="15">
        <v>519</v>
      </c>
      <c r="CL483" s="15">
        <v>8.5</v>
      </c>
      <c r="CM483" s="15">
        <v>7.3</v>
      </c>
      <c r="CO483" s="15">
        <v>69.8</v>
      </c>
      <c r="CW483" s="15">
        <v>19.8</v>
      </c>
      <c r="CY483" s="25">
        <f>CF483</f>
        <v>5000</v>
      </c>
      <c r="CZ483" s="25">
        <f>CY483/0.78/1000</f>
        <v>6.4102564102564106</v>
      </c>
      <c r="DA483" s="25">
        <f>CY483*3</f>
        <v>15000</v>
      </c>
      <c r="EW483" s="46">
        <f>AX483+BT483+CF483+DE483+DY483</f>
        <v>17500</v>
      </c>
      <c r="EX483" s="46">
        <f>BA483+BZ483+CZ483+DT483+ET483</f>
        <v>17.773892773892772</v>
      </c>
      <c r="EY483" s="46">
        <f>BB483+CA483+DA483+DU483+EU483</f>
        <v>40000</v>
      </c>
      <c r="EZ483" s="15">
        <v>1.89</v>
      </c>
      <c r="FA483" s="15">
        <v>0.21</v>
      </c>
      <c r="FB483" s="15">
        <f>FA483*SQRT(AR483)</f>
        <v>0.36373066958946421</v>
      </c>
      <c r="FC483" s="15">
        <v>1.52</v>
      </c>
      <c r="FD483" s="15">
        <v>0.09</v>
      </c>
      <c r="FE483" s="15">
        <f>FD483*SQRT(AR483)</f>
        <v>0.15588457268119893</v>
      </c>
      <c r="FF483" s="15">
        <f t="shared" si="459"/>
        <v>0.8042328042328043</v>
      </c>
      <c r="FG483" s="15">
        <f t="shared" si="460"/>
        <v>-0.36999999999999988</v>
      </c>
      <c r="FH483" s="15">
        <f t="shared" si="461"/>
        <v>-0.21786649421336596</v>
      </c>
      <c r="FI483" s="15">
        <f>((FE483*FE483)/(AR483*FC483*FC483)+(FB483*FB483)/(AR483*EZ483*EZ483))</f>
        <v>1.5851565438938474E-2</v>
      </c>
      <c r="FK483" s="16">
        <f t="shared" si="390"/>
        <v>6.33</v>
      </c>
      <c r="FL483" s="16">
        <f t="shared" si="391"/>
        <v>6.7</v>
      </c>
      <c r="FM483" s="15">
        <v>6.33</v>
      </c>
      <c r="FN483" s="15">
        <v>0.25</v>
      </c>
      <c r="FO483" s="15">
        <f>FN483*SQRT(AR483)</f>
        <v>0.4330127018922193</v>
      </c>
      <c r="FP483" s="15">
        <v>6.7</v>
      </c>
      <c r="FQ483" s="15">
        <v>0.4</v>
      </c>
      <c r="FR483" s="15">
        <f>FQ483*SQRT(AR483)</f>
        <v>0.69282032302755092</v>
      </c>
      <c r="FS483" s="15">
        <f t="shared" si="394"/>
        <v>1.0584518167456556</v>
      </c>
      <c r="FT483" s="15">
        <f t="shared" si="395"/>
        <v>0.37000000000000011</v>
      </c>
      <c r="FU483" s="15">
        <f t="shared" si="396"/>
        <v>5.6807290240835639E-2</v>
      </c>
      <c r="FV483" s="15">
        <f>((FR483*FR483)/(AR483*FP483*FP483)+(FO483*FO483)/(AR483*FM483*FM483))</f>
        <v>5.1240814329084686E-3</v>
      </c>
      <c r="FX483" s="15">
        <v>22.097999999999999</v>
      </c>
      <c r="FY483" s="15">
        <v>1.044</v>
      </c>
      <c r="FZ483" s="15">
        <f>FY483*SQRT(AR483)</f>
        <v>1.8082610431019079</v>
      </c>
      <c r="GA483" s="15">
        <v>29.58</v>
      </c>
      <c r="GB483" s="15">
        <v>1.74</v>
      </c>
      <c r="GC483" s="15">
        <f>GB483*SQRT(AR483)</f>
        <v>3.0137684051698463</v>
      </c>
      <c r="GD483" s="15">
        <f t="shared" si="462"/>
        <v>1.3385826771653544</v>
      </c>
      <c r="GE483" s="15">
        <f t="shared" si="463"/>
        <v>7.4819999999999993</v>
      </c>
      <c r="GF483" s="15">
        <f t="shared" si="423"/>
        <v>0.29161135059167043</v>
      </c>
      <c r="GG483" s="15">
        <f>((GC483*GC483)/(AR483*GA483*GA483)+(FZ483*FZ483)/(AR483*FX483*FX483))</f>
        <v>5.6922120764656761E-3</v>
      </c>
      <c r="GI483" s="15">
        <v>11.96</v>
      </c>
      <c r="GJ483" s="15">
        <v>0.56000000000000005</v>
      </c>
      <c r="GK483" s="15">
        <f>GJ483*SQRT(AR167)</f>
        <v>0.96994845223857129</v>
      </c>
      <c r="GL483" s="15">
        <v>12.57</v>
      </c>
      <c r="GM483" s="15">
        <v>0.41</v>
      </c>
      <c r="GN483" s="15">
        <f>GM483*SQRT(AR167)</f>
        <v>0.71014083110323956</v>
      </c>
      <c r="GO483" s="15">
        <f t="shared" si="451"/>
        <v>1.0510033444816054</v>
      </c>
      <c r="GP483" s="15">
        <f t="shared" si="452"/>
        <v>0.60999999999999943</v>
      </c>
      <c r="GQ483" s="15">
        <f t="shared" si="453"/>
        <v>4.9745274079670221E-2</v>
      </c>
      <c r="GR483" s="15">
        <f>((GN483*GN483)/(AR167*GL483*GL483)+(GK483*GK483)/(AR167*GI483*GI483))</f>
        <v>3.256260269415522E-3</v>
      </c>
      <c r="HY483" s="15">
        <f t="shared" si="469"/>
        <v>17500</v>
      </c>
      <c r="HZ483" s="15">
        <f t="shared" si="469"/>
        <v>17.773892773892772</v>
      </c>
      <c r="IA483" s="15">
        <f t="shared" si="469"/>
        <v>40000</v>
      </c>
    </row>
    <row r="484" spans="1:235" s="15" customFormat="1" x14ac:dyDescent="0.25">
      <c r="A484" s="31">
        <v>482</v>
      </c>
      <c r="B484" s="1">
        <v>85</v>
      </c>
      <c r="C484" s="1">
        <v>97</v>
      </c>
      <c r="D484" s="15" t="s">
        <v>442</v>
      </c>
      <c r="E484" s="1">
        <v>6</v>
      </c>
      <c r="F484" s="15" t="s">
        <v>1304</v>
      </c>
      <c r="G484" s="15" t="s">
        <v>1312</v>
      </c>
      <c r="H484" s="15" t="s">
        <v>1311</v>
      </c>
      <c r="I484" s="1">
        <v>2018</v>
      </c>
      <c r="J484" s="15" t="s">
        <v>1310</v>
      </c>
      <c r="K484" s="1" t="s">
        <v>1315</v>
      </c>
      <c r="L484" s="15" t="s">
        <v>1313</v>
      </c>
      <c r="M484" s="15" t="s">
        <v>1314</v>
      </c>
      <c r="N484" s="15" t="s">
        <v>520</v>
      </c>
      <c r="O484" s="31">
        <v>3</v>
      </c>
      <c r="P484" s="15">
        <v>36.270000000000003</v>
      </c>
      <c r="Q484" s="15">
        <v>59.6</v>
      </c>
      <c r="R484" s="15">
        <v>354</v>
      </c>
      <c r="S484" s="15">
        <v>361</v>
      </c>
      <c r="T484" s="15">
        <v>16.3</v>
      </c>
      <c r="U484" s="15" t="s">
        <v>549</v>
      </c>
      <c r="V484" s="31">
        <v>1</v>
      </c>
      <c r="W484" s="15" t="s">
        <v>1226</v>
      </c>
      <c r="X484" s="15" t="s">
        <v>1316</v>
      </c>
      <c r="Y484" s="1">
        <v>2</v>
      </c>
      <c r="Z484" s="15">
        <v>6.4</v>
      </c>
      <c r="AA484" s="15" t="s">
        <v>574</v>
      </c>
      <c r="AB484" s="15">
        <f t="shared" si="436"/>
        <v>6.4</v>
      </c>
      <c r="AC484" s="1">
        <v>5</v>
      </c>
      <c r="AD484" s="15">
        <f t="shared" si="464"/>
        <v>22.272000000000002</v>
      </c>
      <c r="AF484" s="15">
        <v>11.8</v>
      </c>
      <c r="AJ484" s="15">
        <v>41.1</v>
      </c>
      <c r="AK484" s="15">
        <v>21.5</v>
      </c>
      <c r="AL484" s="15">
        <v>37.4</v>
      </c>
      <c r="AM484" s="1">
        <v>1</v>
      </c>
      <c r="AN484" s="15">
        <v>1.83</v>
      </c>
      <c r="AO484" s="1">
        <v>1</v>
      </c>
      <c r="AP484" s="15" t="s">
        <v>1317</v>
      </c>
      <c r="AQ484" s="57">
        <v>10</v>
      </c>
      <c r="AR484" s="1">
        <v>3</v>
      </c>
      <c r="BF484" s="15">
        <v>7.22</v>
      </c>
      <c r="BG484" s="15" t="s">
        <v>1319</v>
      </c>
      <c r="BI484" s="15">
        <v>206</v>
      </c>
      <c r="BJ484" s="15">
        <v>13.7</v>
      </c>
      <c r="BK484" s="15">
        <v>3.2</v>
      </c>
      <c r="BL484" s="15">
        <v>12.1</v>
      </c>
      <c r="BM484" s="15">
        <v>17.899999999999999</v>
      </c>
      <c r="BS484" s="15">
        <v>6250</v>
      </c>
      <c r="BT484" s="15">
        <f t="shared" si="465"/>
        <v>6250</v>
      </c>
      <c r="BU484" s="15" t="s">
        <v>766</v>
      </c>
      <c r="BY484" s="15">
        <f t="shared" si="466"/>
        <v>6250</v>
      </c>
      <c r="BZ484" s="15">
        <f t="shared" si="467"/>
        <v>5.6818181818181808</v>
      </c>
      <c r="CA484" s="15">
        <f t="shared" si="468"/>
        <v>12500</v>
      </c>
      <c r="CC484" s="15" t="s">
        <v>1318</v>
      </c>
      <c r="CE484" s="15">
        <v>2500</v>
      </c>
      <c r="CF484" s="15">
        <f>CE484</f>
        <v>2500</v>
      </c>
      <c r="CG484" s="15" t="s">
        <v>766</v>
      </c>
      <c r="CH484" s="15">
        <v>9.6999999999999993</v>
      </c>
      <c r="CI484" s="15">
        <v>800</v>
      </c>
      <c r="CK484" s="15">
        <v>519</v>
      </c>
      <c r="CL484" s="15">
        <v>8.5</v>
      </c>
      <c r="CM484" s="15">
        <v>7.3</v>
      </c>
      <c r="CO484" s="15">
        <v>69.8</v>
      </c>
      <c r="CW484" s="15">
        <v>19.8</v>
      </c>
      <c r="CY484" s="25">
        <f>CF484</f>
        <v>2500</v>
      </c>
      <c r="CZ484" s="25">
        <f>CY484/0.78/1000</f>
        <v>3.2051282051282053</v>
      </c>
      <c r="DA484" s="25">
        <f>CY484*3</f>
        <v>7500</v>
      </c>
      <c r="EW484" s="46">
        <f>AX484+BT484+CF484+DE484+DY484</f>
        <v>8750</v>
      </c>
      <c r="EX484" s="46">
        <f>BA484+BZ484+CZ484+DT484+ET484</f>
        <v>8.8869463869463861</v>
      </c>
      <c r="EY484" s="46">
        <f>BB484+CA484+DA484+DU484+EU484</f>
        <v>20000</v>
      </c>
      <c r="EZ484" s="15">
        <v>1.91</v>
      </c>
      <c r="FA484" s="15">
        <v>0.13</v>
      </c>
      <c r="FB484" s="15">
        <f>FA484*SQRT(AR484)</f>
        <v>0.22516660498395405</v>
      </c>
      <c r="FC484" s="15">
        <v>1.75</v>
      </c>
      <c r="FD484" s="15">
        <v>0.12</v>
      </c>
      <c r="FE484" s="15">
        <f>FD484*SQRT(AR484)</f>
        <v>0.20784609690826525</v>
      </c>
      <c r="FF484" s="15">
        <f t="shared" si="459"/>
        <v>0.91623036649214662</v>
      </c>
      <c r="FG484" s="15">
        <f t="shared" si="460"/>
        <v>-0.15999999999999992</v>
      </c>
      <c r="FH484" s="15">
        <f t="shared" si="461"/>
        <v>-8.748745412311576E-2</v>
      </c>
      <c r="FI484" s="15">
        <f>((FE484*FE484)/(AR484*FC484*FC484)+(FB484*FB484)/(AR484*EZ484*EZ484))</f>
        <v>9.3345892662045488E-3</v>
      </c>
      <c r="FK484" s="16">
        <f t="shared" si="390"/>
        <v>6.47</v>
      </c>
      <c r="FL484" s="16">
        <f t="shared" si="391"/>
        <v>6.53</v>
      </c>
      <c r="FM484" s="15">
        <v>6.47</v>
      </c>
      <c r="FN484" s="15">
        <v>0.25</v>
      </c>
      <c r="FO484" s="15">
        <f>FN484*SQRT(AR484)</f>
        <v>0.4330127018922193</v>
      </c>
      <c r="FP484" s="15">
        <v>6.53</v>
      </c>
      <c r="FQ484" s="15">
        <v>0.59</v>
      </c>
      <c r="FR484" s="15">
        <f>FQ484*SQRT(AR484)</f>
        <v>1.0219099764656374</v>
      </c>
      <c r="FS484" s="15">
        <f t="shared" si="394"/>
        <v>1.009273570324575</v>
      </c>
      <c r="FT484" s="15">
        <f t="shared" si="395"/>
        <v>6.0000000000000497E-2</v>
      </c>
      <c r="FU484" s="15">
        <f t="shared" si="396"/>
        <v>9.2308347755305498E-3</v>
      </c>
      <c r="FV484" s="15">
        <f>((FR484*FR484)/(AR484*FP484*FP484)+(FO484*FO484)/(AR484*FM484*FM484))</f>
        <v>9.6565637975448912E-3</v>
      </c>
      <c r="FX484" s="15">
        <v>22.097999999999999</v>
      </c>
      <c r="FY484" s="15">
        <v>1.044</v>
      </c>
      <c r="FZ484" s="15">
        <f>FY484*SQRT(AR484)</f>
        <v>1.8082610431019079</v>
      </c>
      <c r="GA484" s="15">
        <v>28.362000000000002</v>
      </c>
      <c r="GB484" s="15">
        <v>1.218</v>
      </c>
      <c r="GC484" s="15">
        <f>GB484*SQRT(AR484)</f>
        <v>2.1096378836188925</v>
      </c>
      <c r="GD484" s="15">
        <f t="shared" si="462"/>
        <v>1.283464566929134</v>
      </c>
      <c r="GE484" s="15">
        <f t="shared" si="463"/>
        <v>6.2640000000000029</v>
      </c>
      <c r="GF484" s="15">
        <f t="shared" si="423"/>
        <v>0.24956311434817113</v>
      </c>
      <c r="GG484" s="15">
        <f>((GC484*GC484)/(AR484*GA484*GA484)+(FZ484*FZ484)/(AR484*FX484*FX484))</f>
        <v>4.0762590464169975E-3</v>
      </c>
      <c r="GI484" s="15">
        <v>11.97</v>
      </c>
      <c r="GJ484" s="15">
        <v>0.69</v>
      </c>
      <c r="GK484" s="15">
        <f>GJ484*SQRT(AR168)</f>
        <v>1.1951150572225251</v>
      </c>
      <c r="GL484" s="15">
        <v>12.36</v>
      </c>
      <c r="GM484" s="15">
        <v>0.34</v>
      </c>
      <c r="GN484" s="15">
        <f>GM484*SQRT(AR168)</f>
        <v>0.58889727457341834</v>
      </c>
      <c r="GO484" s="15">
        <f t="shared" si="451"/>
        <v>1.0325814536340852</v>
      </c>
      <c r="GP484" s="15">
        <f t="shared" si="452"/>
        <v>0.38999999999999879</v>
      </c>
      <c r="GQ484" s="15">
        <f t="shared" si="453"/>
        <v>3.2061932459662934E-2</v>
      </c>
      <c r="GR484" s="15">
        <f>((GN484*GN484)/(AR168*GL484*GL484)+(GK484*GK484)/(AR168*GI484*GI484))</f>
        <v>4.0795384987526379E-3</v>
      </c>
      <c r="HE484" s="15">
        <v>67500</v>
      </c>
      <c r="HF484" s="15">
        <v>2700</v>
      </c>
      <c r="HG484" s="15">
        <f>HF484*SQRT(AR174)</f>
        <v>4676.5371804359684</v>
      </c>
      <c r="HH484" s="15">
        <v>76500</v>
      </c>
      <c r="HI484" s="15">
        <v>2700</v>
      </c>
      <c r="HJ484" s="15">
        <f>HI484*SQRT(AR174)</f>
        <v>4676.5371804359684</v>
      </c>
      <c r="HK484" s="15">
        <f t="shared" ref="HK484:HK520" si="470">HH484/HE484</f>
        <v>1.1333333333333333</v>
      </c>
      <c r="HL484" s="15">
        <f t="shared" ref="HL484:HL520" si="471">HH484-HE484</f>
        <v>9000</v>
      </c>
      <c r="HM484" s="15">
        <f t="shared" ref="HM484:HM520" si="472">LN(HH484)-LN(HE484)</f>
        <v>0.12516314295400477</v>
      </c>
      <c r="HN484" s="15">
        <f>((HJ484*HJ484)/(AR174*HH484*HH484)+(HG484*HG484)/(AR174*HE484*HE484))</f>
        <v>2.8456747404844284E-3</v>
      </c>
      <c r="HP484" s="15" t="s">
        <v>766</v>
      </c>
      <c r="HV484" s="15">
        <f t="shared" ref="HV484:HV520" si="473">HX484/HW484/100</f>
        <v>1597.9144920761255</v>
      </c>
      <c r="HW484" s="15">
        <f t="shared" ref="HW484:HW520" si="474">HM484</f>
        <v>0.12516314295400477</v>
      </c>
      <c r="HX484" s="15">
        <f>EY484</f>
        <v>20000</v>
      </c>
      <c r="HY484" s="15">
        <f t="shared" si="469"/>
        <v>8750</v>
      </c>
      <c r="HZ484" s="15">
        <f t="shared" si="469"/>
        <v>8.8869463869463861</v>
      </c>
      <c r="IA484" s="15">
        <f t="shared" si="469"/>
        <v>20000</v>
      </c>
    </row>
    <row r="485" spans="1:235" s="15" customFormat="1" x14ac:dyDescent="0.25">
      <c r="A485" s="31">
        <v>483</v>
      </c>
      <c r="B485" s="1">
        <v>85</v>
      </c>
      <c r="C485" s="1">
        <v>97</v>
      </c>
      <c r="D485" s="15" t="s">
        <v>443</v>
      </c>
      <c r="E485" s="1">
        <v>6</v>
      </c>
      <c r="F485" s="15" t="s">
        <v>1304</v>
      </c>
      <c r="G485" s="15" t="s">
        <v>1312</v>
      </c>
      <c r="H485" s="15" t="s">
        <v>1311</v>
      </c>
      <c r="I485" s="1">
        <v>2018</v>
      </c>
      <c r="J485" s="15" t="s">
        <v>1310</v>
      </c>
      <c r="K485" s="1" t="s">
        <v>1315</v>
      </c>
      <c r="L485" s="15" t="s">
        <v>1313</v>
      </c>
      <c r="M485" s="15" t="s">
        <v>1314</v>
      </c>
      <c r="N485" s="15" t="s">
        <v>520</v>
      </c>
      <c r="O485" s="31">
        <v>3</v>
      </c>
      <c r="P485" s="15">
        <v>36.270000000000003</v>
      </c>
      <c r="Q485" s="15">
        <v>59.6</v>
      </c>
      <c r="R485" s="15">
        <v>354</v>
      </c>
      <c r="S485" s="15">
        <v>361</v>
      </c>
      <c r="T485" s="15">
        <v>16.3</v>
      </c>
      <c r="U485" s="15" t="s">
        <v>549</v>
      </c>
      <c r="V485" s="31">
        <v>1</v>
      </c>
      <c r="W485" s="15" t="s">
        <v>1226</v>
      </c>
      <c r="X485" s="15" t="s">
        <v>1316</v>
      </c>
      <c r="Y485" s="1">
        <v>2</v>
      </c>
      <c r="Z485" s="15">
        <v>6.4</v>
      </c>
      <c r="AA485" s="15" t="s">
        <v>574</v>
      </c>
      <c r="AB485" s="15">
        <f t="shared" si="436"/>
        <v>6.4</v>
      </c>
      <c r="AC485" s="1">
        <v>5</v>
      </c>
      <c r="AD485" s="15">
        <f t="shared" si="464"/>
        <v>22.272000000000002</v>
      </c>
      <c r="AF485" s="15">
        <v>11.8</v>
      </c>
      <c r="AJ485" s="15">
        <v>41.1</v>
      </c>
      <c r="AK485" s="15">
        <v>21.5</v>
      </c>
      <c r="AL485" s="15">
        <v>37.4</v>
      </c>
      <c r="AM485" s="1">
        <v>1</v>
      </c>
      <c r="AN485" s="15">
        <v>1.83</v>
      </c>
      <c r="AO485" s="1">
        <v>1</v>
      </c>
      <c r="AP485" s="15" t="s">
        <v>1317</v>
      </c>
      <c r="AQ485" s="57">
        <v>10</v>
      </c>
      <c r="AR485" s="1">
        <v>3</v>
      </c>
      <c r="BF485" s="15">
        <v>7.22</v>
      </c>
      <c r="BG485" s="15" t="s">
        <v>1319</v>
      </c>
      <c r="BI485" s="15">
        <v>206</v>
      </c>
      <c r="BJ485" s="15">
        <v>13.7</v>
      </c>
      <c r="BK485" s="15">
        <v>3.2</v>
      </c>
      <c r="BL485" s="15">
        <v>12.1</v>
      </c>
      <c r="BM485" s="15">
        <v>17.899999999999999</v>
      </c>
      <c r="BS485" s="15">
        <v>3130</v>
      </c>
      <c r="BT485" s="15">
        <f t="shared" si="465"/>
        <v>3130</v>
      </c>
      <c r="BU485" s="15" t="s">
        <v>766</v>
      </c>
      <c r="BY485" s="15">
        <f t="shared" si="466"/>
        <v>3130</v>
      </c>
      <c r="BZ485" s="15">
        <f t="shared" si="467"/>
        <v>2.8454545454545452</v>
      </c>
      <c r="CA485" s="15">
        <f t="shared" si="468"/>
        <v>6260</v>
      </c>
      <c r="CC485" s="15" t="s">
        <v>1318</v>
      </c>
      <c r="CE485" s="15">
        <v>1250</v>
      </c>
      <c r="CF485" s="15">
        <f>CE485</f>
        <v>1250</v>
      </c>
      <c r="CG485" s="15" t="s">
        <v>766</v>
      </c>
      <c r="CH485" s="15">
        <v>9.6999999999999993</v>
      </c>
      <c r="CI485" s="15">
        <v>800</v>
      </c>
      <c r="CK485" s="15">
        <v>519</v>
      </c>
      <c r="CL485" s="15">
        <v>8.5</v>
      </c>
      <c r="CM485" s="15">
        <v>7.3</v>
      </c>
      <c r="CO485" s="15">
        <v>69.8</v>
      </c>
      <c r="CW485" s="15">
        <v>19.8</v>
      </c>
      <c r="CY485" s="25">
        <f>CF485</f>
        <v>1250</v>
      </c>
      <c r="CZ485" s="25">
        <f>CY485/0.78/1000</f>
        <v>1.6025641025641026</v>
      </c>
      <c r="DA485" s="25">
        <f>CY485*3</f>
        <v>3750</v>
      </c>
      <c r="EW485" s="46">
        <f>AX485+BT485+CF485+DE485+DY485</f>
        <v>4380</v>
      </c>
      <c r="EX485" s="46">
        <f>BA485+BZ485+CZ485+DT485+ET485</f>
        <v>4.4480186480186479</v>
      </c>
      <c r="EY485" s="46">
        <f>BB485+CA485+DA485+DU485+EU485</f>
        <v>10010</v>
      </c>
      <c r="EZ485" s="15">
        <v>1.95</v>
      </c>
      <c r="FA485" s="15">
        <v>0.19</v>
      </c>
      <c r="FB485" s="15">
        <f>FA485*SQRT(AR485)</f>
        <v>0.32908965343808666</v>
      </c>
      <c r="FC485" s="15">
        <v>1.83</v>
      </c>
      <c r="FD485" s="15">
        <v>0.13</v>
      </c>
      <c r="FE485" s="15">
        <f>FD485*SQRT(AR485)</f>
        <v>0.22516660498395405</v>
      </c>
      <c r="FF485" s="15">
        <f t="shared" si="459"/>
        <v>0.93846153846153857</v>
      </c>
      <c r="FG485" s="15">
        <f t="shared" si="460"/>
        <v>-0.11999999999999988</v>
      </c>
      <c r="FH485" s="15">
        <f t="shared" si="461"/>
        <v>-6.3513405722325889E-2</v>
      </c>
      <c r="FI485" s="15">
        <f>((FE485*FE485)/(AR485*FC485*FC485)+(FB485*FB485)/(AR485*EZ485*EZ485))</f>
        <v>1.4540187266294805E-2</v>
      </c>
      <c r="FK485" s="16">
        <f t="shared" si="390"/>
        <v>6.37</v>
      </c>
      <c r="FL485" s="16">
        <f t="shared" si="391"/>
        <v>6.5</v>
      </c>
      <c r="FM485" s="15">
        <v>6.37</v>
      </c>
      <c r="FN485" s="15">
        <v>0.35</v>
      </c>
      <c r="FO485" s="15">
        <f>FN485*SQRT(AR485)</f>
        <v>0.60621778264910697</v>
      </c>
      <c r="FP485" s="15">
        <v>6.5</v>
      </c>
      <c r="FQ485" s="15">
        <v>0.3</v>
      </c>
      <c r="FR485" s="15">
        <f>FQ485*SQRT(AR485)</f>
        <v>0.51961524227066314</v>
      </c>
      <c r="FS485" s="15">
        <f t="shared" si="394"/>
        <v>1.0204081632653061</v>
      </c>
      <c r="FT485" s="15">
        <f t="shared" si="395"/>
        <v>0.12999999999999989</v>
      </c>
      <c r="FU485" s="15">
        <f t="shared" si="396"/>
        <v>2.0202707317519275E-2</v>
      </c>
      <c r="FV485" s="15">
        <f>((FR485*FR485)/(AR485*FP485*FP485)+(FO485*FO485)/(AR485*FM485*FM485))</f>
        <v>5.149136577708005E-3</v>
      </c>
      <c r="FX485" s="15">
        <v>22.272000000000002</v>
      </c>
      <c r="FY485" s="15">
        <v>1.3920000000000001</v>
      </c>
      <c r="FZ485" s="15">
        <f>FY485*SQRT(AR485)</f>
        <v>2.4110147241358773</v>
      </c>
      <c r="GA485" s="15">
        <v>26.274000000000001</v>
      </c>
      <c r="GB485" s="15">
        <v>1.9140000000000001</v>
      </c>
      <c r="GC485" s="15">
        <f>GB485*SQRT(AR485)</f>
        <v>3.3151452456868311</v>
      </c>
      <c r="GD485" s="15">
        <f t="shared" si="462"/>
        <v>1.1796875</v>
      </c>
      <c r="GE485" s="15">
        <f t="shared" si="463"/>
        <v>4.0019999999999989</v>
      </c>
      <c r="GF485" s="15">
        <f t="shared" si="423"/>
        <v>0.16524957289530695</v>
      </c>
      <c r="GG485" s="15">
        <f>((GC485*GC485)/(AR485*GA485*GA485)+(FZ485*FZ485)/(AR485*FX485*FX485))</f>
        <v>9.2130347901407846E-3</v>
      </c>
      <c r="GI485" s="15">
        <v>11.85</v>
      </c>
      <c r="GJ485" s="15">
        <v>0.55000000000000004</v>
      </c>
      <c r="GK485" s="15">
        <f>GJ485*SQRT(AR169)</f>
        <v>0.95262794416288255</v>
      </c>
      <c r="GL485" s="15">
        <v>12.22</v>
      </c>
      <c r="GM485" s="15">
        <v>0.21</v>
      </c>
      <c r="GN485" s="15">
        <f>GM485*SQRT(AR169)</f>
        <v>0.36373066958946421</v>
      </c>
      <c r="GO485" s="15">
        <f t="shared" si="451"/>
        <v>1.0312236286919831</v>
      </c>
      <c r="GP485" s="15">
        <f t="shared" si="452"/>
        <v>0.37000000000000099</v>
      </c>
      <c r="GQ485" s="15">
        <f t="shared" si="453"/>
        <v>3.0746086162309005E-2</v>
      </c>
      <c r="GR485" s="15">
        <f>((GN485*GN485)/(AR169*GL485*GL485)+(GK485*GK485)/(AR169*GI485*GI485))</f>
        <v>2.4495354342692348E-3</v>
      </c>
      <c r="HE485" s="15">
        <v>76500</v>
      </c>
      <c r="HF485" s="15">
        <v>2700</v>
      </c>
      <c r="HG485" s="15">
        <f>HF485*SQRT(AR175)</f>
        <v>4676.5371804359684</v>
      </c>
      <c r="HH485" s="15">
        <v>85500</v>
      </c>
      <c r="HI485" s="15">
        <v>2700</v>
      </c>
      <c r="HJ485" s="15">
        <f>HI485*SQRT(AR175)</f>
        <v>4676.5371804359684</v>
      </c>
      <c r="HK485" s="15">
        <f t="shared" si="470"/>
        <v>1.1176470588235294</v>
      </c>
      <c r="HL485" s="15">
        <f t="shared" si="471"/>
        <v>9000</v>
      </c>
      <c r="HM485" s="15">
        <f t="shared" si="472"/>
        <v>0.11122563511022499</v>
      </c>
      <c r="HN485" s="15">
        <f>((HJ485*HJ485)/(AR175*HH485*HH485)+(HG485*HG485)/(AR175*HE485*HE485))</f>
        <v>2.2429046573819358E-3</v>
      </c>
      <c r="HP485" s="15" t="s">
        <v>766</v>
      </c>
      <c r="HV485" s="15">
        <f t="shared" si="473"/>
        <v>899.97238407135694</v>
      </c>
      <c r="HW485" s="15">
        <f t="shared" si="474"/>
        <v>0.11122563511022499</v>
      </c>
      <c r="HX485" s="15">
        <f>EY485</f>
        <v>10010</v>
      </c>
      <c r="HY485" s="15">
        <f t="shared" si="469"/>
        <v>4380</v>
      </c>
      <c r="HZ485" s="15">
        <f t="shared" si="469"/>
        <v>4.4480186480186479</v>
      </c>
      <c r="IA485" s="15">
        <f t="shared" si="469"/>
        <v>10010</v>
      </c>
    </row>
    <row r="486" spans="1:235" s="15" customFormat="1" x14ac:dyDescent="0.25">
      <c r="A486" s="31">
        <v>484</v>
      </c>
      <c r="B486" s="1">
        <v>86</v>
      </c>
      <c r="C486" s="1">
        <v>98</v>
      </c>
      <c r="D486" s="15" t="s">
        <v>444</v>
      </c>
      <c r="E486" s="1">
        <v>1</v>
      </c>
      <c r="F486" s="15" t="s">
        <v>761</v>
      </c>
      <c r="G486" s="15" t="s">
        <v>1322</v>
      </c>
      <c r="H486" s="15" t="s">
        <v>1323</v>
      </c>
      <c r="I486" s="1">
        <v>2020</v>
      </c>
      <c r="J486" s="15" t="s">
        <v>1324</v>
      </c>
      <c r="K486" s="1">
        <v>2015</v>
      </c>
      <c r="L486" s="15" t="s">
        <v>1325</v>
      </c>
      <c r="M486" s="15" t="s">
        <v>480</v>
      </c>
      <c r="N486" s="15" t="s">
        <v>520</v>
      </c>
      <c r="O486" s="31">
        <v>2</v>
      </c>
      <c r="P486" s="15">
        <v>27.29</v>
      </c>
      <c r="Q486" s="15">
        <v>119.32</v>
      </c>
      <c r="R486" s="15">
        <v>853</v>
      </c>
      <c r="S486" s="15">
        <v>1500</v>
      </c>
      <c r="T486" s="15">
        <v>26</v>
      </c>
      <c r="U486" s="15" t="s">
        <v>549</v>
      </c>
      <c r="V486" s="31">
        <v>1</v>
      </c>
      <c r="W486" s="15" t="s">
        <v>1158</v>
      </c>
      <c r="X486" s="15" t="s">
        <v>689</v>
      </c>
      <c r="Y486" s="1">
        <v>1</v>
      </c>
      <c r="Z486" s="15">
        <v>4.95</v>
      </c>
      <c r="AA486" s="15" t="s">
        <v>574</v>
      </c>
      <c r="AB486" s="15">
        <f t="shared" si="436"/>
        <v>4.95</v>
      </c>
      <c r="AC486" s="1">
        <v>2</v>
      </c>
      <c r="AD486" s="15">
        <v>26.2</v>
      </c>
      <c r="AF486" s="15">
        <v>7.9</v>
      </c>
      <c r="AM486" s="1"/>
      <c r="AP486" s="15" t="s">
        <v>1326</v>
      </c>
      <c r="AQ486" s="61">
        <v>3</v>
      </c>
      <c r="AR486" s="1">
        <v>3</v>
      </c>
      <c r="AS486" s="15">
        <v>9.02</v>
      </c>
      <c r="AT486" s="15" t="s">
        <v>576</v>
      </c>
      <c r="AU486" s="15">
        <v>56</v>
      </c>
      <c r="AW486" s="15">
        <v>1500</v>
      </c>
      <c r="AX486" s="15">
        <f t="shared" ref="AX486:AX491" si="475">AW486</f>
        <v>1500</v>
      </c>
      <c r="AY486" s="15" t="s">
        <v>766</v>
      </c>
      <c r="AZ486" s="15">
        <f t="shared" ref="AZ486:AZ520" si="476">AX486</f>
        <v>1500</v>
      </c>
      <c r="BA486" s="15">
        <f t="shared" ref="BA486:BA520" si="477">AZ486/2.93/1000</f>
        <v>0.51194539249146753</v>
      </c>
      <c r="BB486" s="15">
        <f t="shared" ref="BB486:BB520" si="478">AZ486*0.6</f>
        <v>900</v>
      </c>
      <c r="BP486" s="16"/>
      <c r="BQ486" s="16"/>
      <c r="BR486" s="16"/>
      <c r="BU486" s="16"/>
      <c r="EZ486" s="16"/>
      <c r="FA486" s="16"/>
      <c r="FB486" s="16"/>
      <c r="FC486" s="16"/>
      <c r="FD486" s="16"/>
      <c r="FE486" s="16"/>
      <c r="FF486" s="16"/>
      <c r="FG486" s="16"/>
      <c r="FH486" s="16"/>
      <c r="FI486" s="16"/>
      <c r="FJ486" s="16"/>
      <c r="FK486" s="16">
        <f t="shared" ref="FK486:FK532" si="479">FM486</f>
        <v>4.82</v>
      </c>
      <c r="FL486" s="16">
        <f t="shared" ref="FL486:FL532" si="480">FP486</f>
        <v>5.32</v>
      </c>
      <c r="FM486" s="15">
        <v>4.82</v>
      </c>
      <c r="FN486" s="15">
        <f t="shared" ref="FN486:FN532" si="481">FM486*0.05</f>
        <v>0.24100000000000002</v>
      </c>
      <c r="FO486" s="15">
        <f>FN486*SQRT(AR486)</f>
        <v>0.41742424462409944</v>
      </c>
      <c r="FP486" s="15">
        <v>5.32</v>
      </c>
      <c r="FQ486" s="15">
        <f t="shared" ref="FQ486:FQ532" si="482">FP486*0.05</f>
        <v>0.26600000000000001</v>
      </c>
      <c r="FR486" s="15">
        <f>FQ486*SQRT(AR486)</f>
        <v>0.46072551481332136</v>
      </c>
      <c r="FS486" s="15">
        <f t="shared" ref="FS486:FS532" si="483">FP486/FM486</f>
        <v>1.103734439834025</v>
      </c>
      <c r="FT486" s="15">
        <f t="shared" ref="FT486:FT532" si="484">FP486-FM486</f>
        <v>0.5</v>
      </c>
      <c r="FU486" s="15">
        <f t="shared" ref="FU486:FU532" si="485">LN(FP486)-LN(FM486)</f>
        <v>9.8699375291044111E-2</v>
      </c>
      <c r="FV486" s="15">
        <f>((FR486*FR486)/(AR486*FP486*FP486)+(FO486*FO486)/(AR486*FM486*FM486))</f>
        <v>4.9999999999999992E-3</v>
      </c>
      <c r="HE486" s="15">
        <v>6155</v>
      </c>
      <c r="HF486" s="15">
        <f t="shared" ref="HF486:HF491" si="486">HE486*0.05</f>
        <v>307.75</v>
      </c>
      <c r="HG486" s="15">
        <f>HF486*SQRT(AR176)</f>
        <v>533.03863602932199</v>
      </c>
      <c r="HH486" s="15">
        <v>6690</v>
      </c>
      <c r="HI486" s="15">
        <f t="shared" ref="HI486:HI491" si="487">HH486*0.05</f>
        <v>334.5</v>
      </c>
      <c r="HJ486" s="15">
        <f>HI486*SQRT(AR176)</f>
        <v>579.37099513178941</v>
      </c>
      <c r="HK486" s="15">
        <f t="shared" si="470"/>
        <v>1.0869212022745736</v>
      </c>
      <c r="HL486" s="15">
        <f t="shared" si="471"/>
        <v>535</v>
      </c>
      <c r="HM486" s="15">
        <f t="shared" si="472"/>
        <v>8.3349114503720401E-2</v>
      </c>
      <c r="HN486" s="15">
        <f>((HJ486*HJ486)/(AR176*HH486*HH486)+(HG486*HG486)/(AR176*HE486*HE486))</f>
        <v>4.9999999999999992E-3</v>
      </c>
      <c r="HP486" s="15" t="s">
        <v>766</v>
      </c>
      <c r="HV486" s="15">
        <f t="shared" si="473"/>
        <v>107.97955147559813</v>
      </c>
      <c r="HW486" s="15">
        <f t="shared" si="474"/>
        <v>8.3349114503720401E-2</v>
      </c>
      <c r="HX486" s="15">
        <f>BB486</f>
        <v>900</v>
      </c>
      <c r="HY486" s="15">
        <f>AZ486</f>
        <v>1500</v>
      </c>
      <c r="HZ486" s="15">
        <f>BA486</f>
        <v>0.51194539249146753</v>
      </c>
      <c r="IA486" s="15">
        <f>BB486</f>
        <v>900</v>
      </c>
    </row>
    <row r="487" spans="1:235" s="15" customFormat="1" x14ac:dyDescent="0.25">
      <c r="A487" s="31">
        <v>485</v>
      </c>
      <c r="B487" s="1">
        <v>86</v>
      </c>
      <c r="C487" s="1">
        <v>98</v>
      </c>
      <c r="D487" s="15" t="s">
        <v>445</v>
      </c>
      <c r="E487" s="1">
        <v>1</v>
      </c>
      <c r="F487" s="15" t="s">
        <v>761</v>
      </c>
      <c r="G487" s="15" t="s">
        <v>1322</v>
      </c>
      <c r="H487" s="15" t="s">
        <v>1323</v>
      </c>
      <c r="I487" s="1">
        <v>2020</v>
      </c>
      <c r="J487" s="15" t="s">
        <v>1324</v>
      </c>
      <c r="K487" s="1">
        <v>2015</v>
      </c>
      <c r="L487" s="15" t="s">
        <v>1325</v>
      </c>
      <c r="M487" s="15" t="s">
        <v>480</v>
      </c>
      <c r="N487" s="15" t="s">
        <v>520</v>
      </c>
      <c r="O487" s="31">
        <v>2</v>
      </c>
      <c r="P487" s="15">
        <v>27.29</v>
      </c>
      <c r="Q487" s="15">
        <v>119.32</v>
      </c>
      <c r="R487" s="15">
        <v>853</v>
      </c>
      <c r="S487" s="15">
        <v>1500</v>
      </c>
      <c r="T487" s="15">
        <v>26</v>
      </c>
      <c r="U487" s="15" t="s">
        <v>549</v>
      </c>
      <c r="V487" s="31">
        <v>1</v>
      </c>
      <c r="W487" s="15" t="s">
        <v>1158</v>
      </c>
      <c r="X487" s="15" t="s">
        <v>689</v>
      </c>
      <c r="Y487" s="1">
        <v>1</v>
      </c>
      <c r="Z487" s="15">
        <v>4.95</v>
      </c>
      <c r="AA487" s="15" t="s">
        <v>574</v>
      </c>
      <c r="AB487" s="15">
        <f t="shared" si="436"/>
        <v>4.95</v>
      </c>
      <c r="AC487" s="1">
        <v>2</v>
      </c>
      <c r="AD487" s="15">
        <v>26.2</v>
      </c>
      <c r="AF487" s="15">
        <v>7.9</v>
      </c>
      <c r="AM487" s="1"/>
      <c r="AP487" s="15" t="s">
        <v>1326</v>
      </c>
      <c r="AQ487" s="61">
        <v>3</v>
      </c>
      <c r="AR487" s="1">
        <v>3</v>
      </c>
      <c r="AS487" s="15">
        <v>9.02</v>
      </c>
      <c r="AT487" s="15" t="s">
        <v>576</v>
      </c>
      <c r="AU487" s="15">
        <v>56</v>
      </c>
      <c r="AW487" s="15">
        <v>3000</v>
      </c>
      <c r="AX487" s="15">
        <f t="shared" si="475"/>
        <v>3000</v>
      </c>
      <c r="AY487" s="15" t="s">
        <v>766</v>
      </c>
      <c r="AZ487" s="15">
        <f t="shared" si="476"/>
        <v>3000</v>
      </c>
      <c r="BA487" s="15">
        <f t="shared" si="477"/>
        <v>1.0238907849829351</v>
      </c>
      <c r="BB487" s="15">
        <f t="shared" si="478"/>
        <v>1800</v>
      </c>
      <c r="BP487" s="16"/>
      <c r="BQ487" s="16"/>
      <c r="BR487" s="16"/>
      <c r="BU487" s="16"/>
      <c r="EZ487" s="16"/>
      <c r="FA487" s="16"/>
      <c r="FB487" s="16"/>
      <c r="FC487" s="16"/>
      <c r="FD487" s="16"/>
      <c r="FE487" s="16"/>
      <c r="FF487" s="16"/>
      <c r="FG487" s="16"/>
      <c r="FH487" s="16"/>
      <c r="FI487" s="16"/>
      <c r="FJ487" s="16"/>
      <c r="FK487" s="16">
        <f t="shared" si="479"/>
        <v>4.82</v>
      </c>
      <c r="FL487" s="16">
        <f t="shared" si="480"/>
        <v>5.69</v>
      </c>
      <c r="FM487" s="15">
        <v>4.82</v>
      </c>
      <c r="FN487" s="15">
        <f t="shared" si="481"/>
        <v>0.24100000000000002</v>
      </c>
      <c r="FO487" s="15">
        <f>FN487*SQRT(AR487)</f>
        <v>0.41742424462409944</v>
      </c>
      <c r="FP487" s="15">
        <v>5.69</v>
      </c>
      <c r="FQ487" s="15">
        <f t="shared" si="482"/>
        <v>0.28450000000000003</v>
      </c>
      <c r="FR487" s="15">
        <f>FQ487*SQRT(AR487)</f>
        <v>0.49276845475334563</v>
      </c>
      <c r="FS487" s="15">
        <f t="shared" si="483"/>
        <v>1.1804979253112033</v>
      </c>
      <c r="FT487" s="15">
        <f t="shared" si="484"/>
        <v>0.87000000000000011</v>
      </c>
      <c r="FU487" s="15">
        <f t="shared" si="485"/>
        <v>0.16593632007573067</v>
      </c>
      <c r="FV487" s="15">
        <f>((FR487*FR487)/(AR487*FP487*FP487)+(FO487*FO487)/(AR487*FM487*FM487))</f>
        <v>4.9999999999999992E-3</v>
      </c>
      <c r="HE487" s="15">
        <v>6155</v>
      </c>
      <c r="HF487" s="15">
        <f t="shared" si="486"/>
        <v>307.75</v>
      </c>
      <c r="HG487" s="15">
        <f>HF487*SQRT(AR177)</f>
        <v>533.03863602932199</v>
      </c>
      <c r="HH487" s="15">
        <v>6973</v>
      </c>
      <c r="HI487" s="15">
        <f t="shared" si="487"/>
        <v>348.65000000000003</v>
      </c>
      <c r="HJ487" s="15">
        <f>HI487*SQRT(AR177)</f>
        <v>603.87951405888907</v>
      </c>
      <c r="HK487" s="15">
        <f t="shared" si="470"/>
        <v>1.1329000812347685</v>
      </c>
      <c r="HL487" s="15">
        <f t="shared" si="471"/>
        <v>818</v>
      </c>
      <c r="HM487" s="15">
        <f t="shared" si="472"/>
        <v>0.12478078860245567</v>
      </c>
      <c r="HN487" s="15">
        <f>((HJ487*HJ487)/(AR177*HH487*HH487)+(HG487*HG487)/(AR177*HE487*HE487))</f>
        <v>5.0000000000000001E-3</v>
      </c>
      <c r="HP487" s="15" t="s">
        <v>766</v>
      </c>
      <c r="HV487" s="15">
        <f t="shared" si="473"/>
        <v>144.25297517029605</v>
      </c>
      <c r="HW487" s="15">
        <f t="shared" si="474"/>
        <v>0.12478078860245567</v>
      </c>
      <c r="HX487" s="15">
        <f>BB487</f>
        <v>1800</v>
      </c>
      <c r="HY487" s="15">
        <f>AZ487</f>
        <v>3000</v>
      </c>
      <c r="HZ487" s="15">
        <f>BA487</f>
        <v>1.0238907849829351</v>
      </c>
      <c r="IA487" s="15">
        <f>BB487</f>
        <v>1800</v>
      </c>
    </row>
    <row r="488" spans="1:235" s="15" customFormat="1" x14ac:dyDescent="0.25">
      <c r="A488" s="31">
        <v>486</v>
      </c>
      <c r="B488" s="1">
        <v>86</v>
      </c>
      <c r="C488" s="1">
        <v>98</v>
      </c>
      <c r="D488" s="15" t="s">
        <v>446</v>
      </c>
      <c r="E488" s="1">
        <v>1</v>
      </c>
      <c r="F488" s="15" t="s">
        <v>761</v>
      </c>
      <c r="G488" s="15" t="s">
        <v>1322</v>
      </c>
      <c r="H488" s="15" t="s">
        <v>1323</v>
      </c>
      <c r="I488" s="1">
        <v>2020</v>
      </c>
      <c r="J488" s="15" t="s">
        <v>1324</v>
      </c>
      <c r="K488" s="1">
        <v>2015</v>
      </c>
      <c r="L488" s="15" t="s">
        <v>1325</v>
      </c>
      <c r="M488" s="15" t="s">
        <v>480</v>
      </c>
      <c r="N488" s="15" t="s">
        <v>520</v>
      </c>
      <c r="O488" s="31">
        <v>2</v>
      </c>
      <c r="P488" s="15">
        <v>27.29</v>
      </c>
      <c r="Q488" s="15">
        <v>119.32</v>
      </c>
      <c r="R488" s="15">
        <v>853</v>
      </c>
      <c r="S488" s="15">
        <v>1500</v>
      </c>
      <c r="T488" s="15">
        <v>26</v>
      </c>
      <c r="U488" s="15" t="s">
        <v>549</v>
      </c>
      <c r="V488" s="31">
        <v>1</v>
      </c>
      <c r="W488" s="15" t="s">
        <v>1158</v>
      </c>
      <c r="X488" s="15" t="s">
        <v>689</v>
      </c>
      <c r="Y488" s="1">
        <v>1</v>
      </c>
      <c r="Z488" s="15">
        <v>4.95</v>
      </c>
      <c r="AA488" s="15" t="s">
        <v>574</v>
      </c>
      <c r="AB488" s="15">
        <f t="shared" si="436"/>
        <v>4.95</v>
      </c>
      <c r="AC488" s="1">
        <v>2</v>
      </c>
      <c r="AD488" s="15">
        <v>26.2</v>
      </c>
      <c r="AF488" s="15">
        <v>7.9</v>
      </c>
      <c r="AM488" s="1"/>
      <c r="AP488" s="15" t="s">
        <v>1326</v>
      </c>
      <c r="AQ488" s="61">
        <v>3</v>
      </c>
      <c r="AR488" s="1">
        <v>3</v>
      </c>
      <c r="AS488" s="15">
        <v>9.02</v>
      </c>
      <c r="AT488" s="15" t="s">
        <v>576</v>
      </c>
      <c r="AU488" s="15">
        <v>56</v>
      </c>
      <c r="AW488" s="15">
        <v>4500</v>
      </c>
      <c r="AX488" s="15">
        <f t="shared" si="475"/>
        <v>4500</v>
      </c>
      <c r="AY488" s="15" t="s">
        <v>766</v>
      </c>
      <c r="AZ488" s="15">
        <f t="shared" si="476"/>
        <v>4500</v>
      </c>
      <c r="BA488" s="15">
        <f t="shared" si="477"/>
        <v>1.5358361774744025</v>
      </c>
      <c r="BB488" s="15">
        <f t="shared" si="478"/>
        <v>2700</v>
      </c>
      <c r="BP488" s="16"/>
      <c r="BQ488" s="16"/>
      <c r="BR488" s="16"/>
      <c r="BU488" s="16"/>
      <c r="EZ488" s="16"/>
      <c r="FA488" s="16"/>
      <c r="FB488" s="16"/>
      <c r="FC488" s="16"/>
      <c r="FD488" s="16"/>
      <c r="FE488" s="16"/>
      <c r="FF488" s="16"/>
      <c r="FG488" s="16"/>
      <c r="FH488" s="16"/>
      <c r="FI488" s="16"/>
      <c r="FJ488" s="16"/>
      <c r="FK488" s="16">
        <f t="shared" si="479"/>
        <v>4.82</v>
      </c>
      <c r="FL488" s="16">
        <f t="shared" si="480"/>
        <v>6.24</v>
      </c>
      <c r="FM488" s="15">
        <v>4.82</v>
      </c>
      <c r="FN488" s="15">
        <f t="shared" si="481"/>
        <v>0.24100000000000002</v>
      </c>
      <c r="FO488" s="15">
        <f>FN488*SQRT(AR488)</f>
        <v>0.41742424462409944</v>
      </c>
      <c r="FP488" s="15">
        <v>6.24</v>
      </c>
      <c r="FQ488" s="15">
        <f t="shared" si="482"/>
        <v>0.31200000000000006</v>
      </c>
      <c r="FR488" s="15">
        <f>FQ488*SQRT(AR488)</f>
        <v>0.54039985196148976</v>
      </c>
      <c r="FS488" s="15">
        <f t="shared" si="483"/>
        <v>1.2946058091286308</v>
      </c>
      <c r="FT488" s="15">
        <f t="shared" si="484"/>
        <v>1.42</v>
      </c>
      <c r="FU488" s="15">
        <f t="shared" si="485"/>
        <v>0.25820625431882727</v>
      </c>
      <c r="FV488" s="15">
        <f>((FR488*FR488)/(AR488*FP488*FP488)+(FO488*FO488)/(AR488*FM488*FM488))</f>
        <v>5.0000000000000001E-3</v>
      </c>
      <c r="HE488" s="15">
        <v>6155</v>
      </c>
      <c r="HF488" s="15">
        <f t="shared" si="486"/>
        <v>307.75</v>
      </c>
      <c r="HG488" s="15">
        <f>HF488*SQRT(AR178)</f>
        <v>533.03863602932199</v>
      </c>
      <c r="HH488" s="15">
        <v>6647</v>
      </c>
      <c r="HI488" s="15">
        <f t="shared" si="487"/>
        <v>332.35</v>
      </c>
      <c r="HJ488" s="15">
        <f>HI488*SQRT(AR178)</f>
        <v>575.6470858955164</v>
      </c>
      <c r="HK488" s="15">
        <f t="shared" si="470"/>
        <v>1.0799350121852154</v>
      </c>
      <c r="HL488" s="15">
        <f t="shared" si="471"/>
        <v>492</v>
      </c>
      <c r="HM488" s="15">
        <f t="shared" si="472"/>
        <v>7.6900865423027653E-2</v>
      </c>
      <c r="HN488" s="15">
        <f>((HJ488*HJ488)/(AR178*HH488*HH488)+(HG488*HG488)/(AR178*HE488*HE488))</f>
        <v>5.0000000000000001E-3</v>
      </c>
      <c r="HP488" s="15" t="s">
        <v>766</v>
      </c>
      <c r="HV488" s="15">
        <f t="shared" si="473"/>
        <v>351.10138034824973</v>
      </c>
      <c r="HW488" s="15">
        <f t="shared" si="474"/>
        <v>7.6900865423027653E-2</v>
      </c>
      <c r="HX488" s="15">
        <f>BB488</f>
        <v>2700</v>
      </c>
      <c r="HY488" s="15">
        <f>AZ488</f>
        <v>4500</v>
      </c>
      <c r="HZ488" s="15">
        <f>BA488</f>
        <v>1.5358361774744025</v>
      </c>
      <c r="IA488" s="15">
        <f>BB488</f>
        <v>2700</v>
      </c>
    </row>
    <row r="489" spans="1:235" s="15" customFormat="1" x14ac:dyDescent="0.25">
      <c r="A489" s="31">
        <v>487</v>
      </c>
      <c r="B489" s="1">
        <v>86</v>
      </c>
      <c r="C489" s="1">
        <v>99</v>
      </c>
      <c r="D489" s="15" t="s">
        <v>447</v>
      </c>
      <c r="E489" s="1">
        <v>1</v>
      </c>
      <c r="F489" s="15" t="s">
        <v>761</v>
      </c>
      <c r="G489" s="15" t="s">
        <v>1322</v>
      </c>
      <c r="H489" s="15" t="s">
        <v>1323</v>
      </c>
      <c r="I489" s="1">
        <v>2020</v>
      </c>
      <c r="J489" s="15" t="s">
        <v>1324</v>
      </c>
      <c r="K489" s="1">
        <v>2015</v>
      </c>
      <c r="L489" s="15" t="s">
        <v>1325</v>
      </c>
      <c r="M489" s="15" t="s">
        <v>480</v>
      </c>
      <c r="N489" s="15" t="s">
        <v>520</v>
      </c>
      <c r="O489" s="31">
        <v>2</v>
      </c>
      <c r="P489" s="15">
        <v>27.29</v>
      </c>
      <c r="Q489" s="15">
        <v>119.32</v>
      </c>
      <c r="R489" s="15">
        <v>853</v>
      </c>
      <c r="S489" s="15">
        <v>1500</v>
      </c>
      <c r="T489" s="15">
        <v>26</v>
      </c>
      <c r="U489" s="15" t="s">
        <v>549</v>
      </c>
      <c r="V489" s="31">
        <v>1</v>
      </c>
      <c r="W489" s="15" t="s">
        <v>1158</v>
      </c>
      <c r="X489" s="15" t="s">
        <v>689</v>
      </c>
      <c r="Y489" s="1">
        <v>1</v>
      </c>
      <c r="Z489" s="15">
        <v>4.93</v>
      </c>
      <c r="AA489" s="15" t="s">
        <v>574</v>
      </c>
      <c r="AB489" s="15">
        <f t="shared" si="436"/>
        <v>4.93</v>
      </c>
      <c r="AC489" s="1">
        <v>2</v>
      </c>
      <c r="AD489" s="15">
        <v>28.9</v>
      </c>
      <c r="AF489" s="15">
        <v>9.4</v>
      </c>
      <c r="AM489" s="1"/>
      <c r="AP489" s="15" t="s">
        <v>1326</v>
      </c>
      <c r="AQ489" s="61">
        <v>3</v>
      </c>
      <c r="AR489" s="1">
        <v>3</v>
      </c>
      <c r="AS489" s="15">
        <v>9.02</v>
      </c>
      <c r="AT489" s="15" t="s">
        <v>576</v>
      </c>
      <c r="AU489" s="15">
        <v>56</v>
      </c>
      <c r="AW489" s="15">
        <v>1500</v>
      </c>
      <c r="AX489" s="15">
        <f t="shared" si="475"/>
        <v>1500</v>
      </c>
      <c r="AY489" s="15" t="s">
        <v>766</v>
      </c>
      <c r="AZ489" s="15">
        <f t="shared" si="476"/>
        <v>1500</v>
      </c>
      <c r="BA489" s="15">
        <f t="shared" si="477"/>
        <v>0.51194539249146753</v>
      </c>
      <c r="BB489" s="15">
        <f t="shared" si="478"/>
        <v>900</v>
      </c>
      <c r="BP489" s="16"/>
      <c r="BQ489" s="16"/>
      <c r="BR489" s="16"/>
      <c r="BU489" s="16"/>
      <c r="EZ489" s="16"/>
      <c r="FA489" s="16"/>
      <c r="FB489" s="16"/>
      <c r="FC489" s="16"/>
      <c r="FD489" s="16"/>
      <c r="FE489" s="16"/>
      <c r="FF489" s="16"/>
      <c r="FG489" s="16"/>
      <c r="FH489" s="16"/>
      <c r="FI489" s="16"/>
      <c r="FJ489" s="16"/>
      <c r="FK489" s="16">
        <f t="shared" si="479"/>
        <v>4.8499999999999996</v>
      </c>
      <c r="FL489" s="16">
        <f t="shared" si="480"/>
        <v>5.54</v>
      </c>
      <c r="FM489" s="15">
        <v>4.8499999999999996</v>
      </c>
      <c r="FN489" s="15">
        <f t="shared" si="481"/>
        <v>0.24249999999999999</v>
      </c>
      <c r="FO489" s="15">
        <f>FN489*SQRT(AR489)</f>
        <v>0.42002232083545271</v>
      </c>
      <c r="FP489" s="15">
        <v>5.54</v>
      </c>
      <c r="FQ489" s="15">
        <f t="shared" si="482"/>
        <v>0.27700000000000002</v>
      </c>
      <c r="FR489" s="15">
        <f>FQ489*SQRT(AR489)</f>
        <v>0.47977807369657904</v>
      </c>
      <c r="FS489" s="15">
        <f t="shared" si="483"/>
        <v>1.1422680412371136</v>
      </c>
      <c r="FT489" s="15">
        <f t="shared" si="484"/>
        <v>0.69000000000000039</v>
      </c>
      <c r="FU489" s="15">
        <f t="shared" si="485"/>
        <v>0.13301579580980061</v>
      </c>
      <c r="FV489" s="15">
        <f>((FR489*FR489)/(AR489*FP489*FP489)+(FO489*FO489)/(AR489*FM489*FM489))</f>
        <v>5.0000000000000001E-3</v>
      </c>
      <c r="HE489" s="15">
        <v>6255</v>
      </c>
      <c r="HF489" s="15">
        <f t="shared" si="486"/>
        <v>312.75</v>
      </c>
      <c r="HG489" s="15">
        <f>HF489*SQRT(AR179)</f>
        <v>541.6988900671663</v>
      </c>
      <c r="HH489" s="15">
        <v>6995</v>
      </c>
      <c r="HI489" s="15">
        <f t="shared" si="487"/>
        <v>349.75</v>
      </c>
      <c r="HJ489" s="15">
        <f>HI489*SQRT(AR179)</f>
        <v>605.78476994721484</v>
      </c>
      <c r="HK489" s="15">
        <f t="shared" si="470"/>
        <v>1.1183053557154277</v>
      </c>
      <c r="HL489" s="15">
        <f t="shared" si="471"/>
        <v>740</v>
      </c>
      <c r="HM489" s="15">
        <f t="shared" si="472"/>
        <v>0.11181446419857011</v>
      </c>
      <c r="HN489" s="15">
        <f>((HJ489*HJ489)/(AR179*HH489*HH489)+(HG489*HG489)/(AR179*HE489*HE489))</f>
        <v>4.9999999999999992E-3</v>
      </c>
      <c r="HP489" s="15" t="s">
        <v>766</v>
      </c>
      <c r="HV489" s="15">
        <f t="shared" si="473"/>
        <v>80.490480945443664</v>
      </c>
      <c r="HW489" s="15">
        <f t="shared" si="474"/>
        <v>0.11181446419857011</v>
      </c>
      <c r="HX489" s="15">
        <f>BB489</f>
        <v>900</v>
      </c>
      <c r="HY489" s="15">
        <f>AZ489</f>
        <v>1500</v>
      </c>
      <c r="HZ489" s="15">
        <f>BA489</f>
        <v>0.51194539249146753</v>
      </c>
      <c r="IA489" s="15">
        <f>BB489</f>
        <v>900</v>
      </c>
    </row>
    <row r="490" spans="1:235" s="15" customFormat="1" x14ac:dyDescent="0.25">
      <c r="A490" s="31">
        <v>488</v>
      </c>
      <c r="B490" s="1">
        <v>86</v>
      </c>
      <c r="C490" s="1">
        <v>99</v>
      </c>
      <c r="D490" s="15" t="s">
        <v>448</v>
      </c>
      <c r="E490" s="1">
        <v>1</v>
      </c>
      <c r="F490" s="15" t="s">
        <v>761</v>
      </c>
      <c r="G490" s="15" t="s">
        <v>1322</v>
      </c>
      <c r="H490" s="15" t="s">
        <v>1323</v>
      </c>
      <c r="I490" s="1">
        <v>2020</v>
      </c>
      <c r="J490" s="15" t="s">
        <v>1324</v>
      </c>
      <c r="K490" s="1">
        <v>2015</v>
      </c>
      <c r="L490" s="15" t="s">
        <v>1325</v>
      </c>
      <c r="M490" s="15" t="s">
        <v>480</v>
      </c>
      <c r="N490" s="15" t="s">
        <v>520</v>
      </c>
      <c r="O490" s="31">
        <v>2</v>
      </c>
      <c r="P490" s="15">
        <v>27.29</v>
      </c>
      <c r="Q490" s="15">
        <v>119.32</v>
      </c>
      <c r="R490" s="15">
        <v>853</v>
      </c>
      <c r="S490" s="15">
        <v>1500</v>
      </c>
      <c r="T490" s="15">
        <v>26</v>
      </c>
      <c r="U490" s="15" t="s">
        <v>549</v>
      </c>
      <c r="V490" s="31">
        <v>1</v>
      </c>
      <c r="W490" s="15" t="s">
        <v>1158</v>
      </c>
      <c r="X490" s="15" t="s">
        <v>689</v>
      </c>
      <c r="Y490" s="1">
        <v>1</v>
      </c>
      <c r="Z490" s="15">
        <v>4.93</v>
      </c>
      <c r="AA490" s="15" t="s">
        <v>574</v>
      </c>
      <c r="AB490" s="15">
        <f t="shared" si="436"/>
        <v>4.93</v>
      </c>
      <c r="AC490" s="1">
        <v>2</v>
      </c>
      <c r="AD490" s="15">
        <v>28.9</v>
      </c>
      <c r="AF490" s="15">
        <v>9.4</v>
      </c>
      <c r="AM490" s="1"/>
      <c r="AP490" s="15" t="s">
        <v>1326</v>
      </c>
      <c r="AQ490" s="61">
        <v>3</v>
      </c>
      <c r="AR490" s="1">
        <v>3</v>
      </c>
      <c r="AS490" s="15">
        <v>9.02</v>
      </c>
      <c r="AT490" s="15" t="s">
        <v>886</v>
      </c>
      <c r="AU490" s="15">
        <v>56</v>
      </c>
      <c r="AW490" s="15">
        <v>3000</v>
      </c>
      <c r="AX490" s="15">
        <f t="shared" si="475"/>
        <v>3000</v>
      </c>
      <c r="AY490" s="15" t="s">
        <v>766</v>
      </c>
      <c r="AZ490" s="15">
        <f t="shared" si="476"/>
        <v>3000</v>
      </c>
      <c r="BA490" s="15">
        <f t="shared" si="477"/>
        <v>1.0238907849829351</v>
      </c>
      <c r="BB490" s="15">
        <f t="shared" si="478"/>
        <v>1800</v>
      </c>
      <c r="BP490" s="16"/>
      <c r="BQ490" s="16"/>
      <c r="BR490" s="16"/>
      <c r="BU490" s="16"/>
      <c r="EZ490" s="16"/>
      <c r="FA490" s="16"/>
      <c r="FB490" s="16"/>
      <c r="FC490" s="16"/>
      <c r="FD490" s="16"/>
      <c r="FE490" s="16"/>
      <c r="FF490" s="16"/>
      <c r="FG490" s="16"/>
      <c r="FH490" s="16"/>
      <c r="FI490" s="16"/>
      <c r="FJ490" s="16"/>
      <c r="FK490" s="16">
        <f t="shared" si="479"/>
        <v>4.8499999999999996</v>
      </c>
      <c r="FL490" s="16">
        <f t="shared" si="480"/>
        <v>6.24</v>
      </c>
      <c r="FM490" s="15">
        <v>4.8499999999999996</v>
      </c>
      <c r="FN490" s="15">
        <f t="shared" si="481"/>
        <v>0.24249999999999999</v>
      </c>
      <c r="FO490" s="15">
        <f>FN490*SQRT(AR490)</f>
        <v>0.42002232083545271</v>
      </c>
      <c r="FP490" s="15">
        <v>6.24</v>
      </c>
      <c r="FQ490" s="15">
        <f t="shared" si="482"/>
        <v>0.31200000000000006</v>
      </c>
      <c r="FR490" s="15">
        <f>FQ490*SQRT(AR490)</f>
        <v>0.54039985196148976</v>
      </c>
      <c r="FS490" s="15">
        <f t="shared" si="483"/>
        <v>1.28659793814433</v>
      </c>
      <c r="FT490" s="15">
        <f t="shared" si="484"/>
        <v>1.3900000000000006</v>
      </c>
      <c r="FU490" s="15">
        <f t="shared" si="485"/>
        <v>0.25200147743194456</v>
      </c>
      <c r="FV490" s="15">
        <f>((FR490*FR490)/(AR490*FP490*FP490)+(FO490*FO490)/(AR490*FM490*FM490))</f>
        <v>5.000000000000001E-3</v>
      </c>
      <c r="HE490" s="15">
        <v>6255</v>
      </c>
      <c r="HF490" s="15">
        <f t="shared" si="486"/>
        <v>312.75</v>
      </c>
      <c r="HG490" s="15">
        <f>HF490*SQRT(AR180)</f>
        <v>541.6988900671663</v>
      </c>
      <c r="HH490" s="15">
        <v>6534</v>
      </c>
      <c r="HI490" s="15">
        <f t="shared" si="487"/>
        <v>326.70000000000005</v>
      </c>
      <c r="HJ490" s="15">
        <f>HI490*SQRT(AR180)</f>
        <v>565.86099883275222</v>
      </c>
      <c r="HK490" s="15">
        <f t="shared" si="470"/>
        <v>1.0446043165467627</v>
      </c>
      <c r="HL490" s="15">
        <f t="shared" si="471"/>
        <v>279</v>
      </c>
      <c r="HM490" s="15">
        <f t="shared" si="472"/>
        <v>4.3638169260004744E-2</v>
      </c>
      <c r="HN490" s="15">
        <f>((HJ490*HJ490)/(AR180*HH490*HH490)+(HG490*HG490)/(AR180*HE490*HE490))</f>
        <v>4.9999999999999992E-3</v>
      </c>
      <c r="HP490" s="15" t="s">
        <v>766</v>
      </c>
      <c r="HV490" s="15">
        <f t="shared" si="473"/>
        <v>412.48293192027558</v>
      </c>
      <c r="HW490" s="15">
        <f t="shared" si="474"/>
        <v>4.3638169260004744E-2</v>
      </c>
      <c r="HX490" s="15">
        <f>BB490</f>
        <v>1800</v>
      </c>
      <c r="HY490" s="15">
        <f>AZ490</f>
        <v>3000</v>
      </c>
      <c r="HZ490" s="15">
        <f>BA490</f>
        <v>1.0238907849829351</v>
      </c>
      <c r="IA490" s="15">
        <f>BB490</f>
        <v>1800</v>
      </c>
    </row>
    <row r="491" spans="1:235" s="15" customFormat="1" x14ac:dyDescent="0.25">
      <c r="A491" s="31">
        <v>489</v>
      </c>
      <c r="B491" s="1">
        <v>86</v>
      </c>
      <c r="C491" s="1">
        <v>99</v>
      </c>
      <c r="D491" s="15" t="s">
        <v>449</v>
      </c>
      <c r="E491" s="1">
        <v>1</v>
      </c>
      <c r="F491" s="15" t="s">
        <v>761</v>
      </c>
      <c r="G491" s="15" t="s">
        <v>1322</v>
      </c>
      <c r="H491" s="15" t="s">
        <v>1323</v>
      </c>
      <c r="I491" s="1">
        <v>2020</v>
      </c>
      <c r="J491" s="15" t="s">
        <v>1324</v>
      </c>
      <c r="K491" s="1">
        <v>2015</v>
      </c>
      <c r="L491" s="15" t="s">
        <v>1325</v>
      </c>
      <c r="M491" s="15" t="s">
        <v>480</v>
      </c>
      <c r="N491" s="15" t="s">
        <v>520</v>
      </c>
      <c r="O491" s="31">
        <v>2</v>
      </c>
      <c r="P491" s="15">
        <v>27.29</v>
      </c>
      <c r="Q491" s="15">
        <v>119.32</v>
      </c>
      <c r="R491" s="15">
        <v>853</v>
      </c>
      <c r="S491" s="15">
        <v>1500</v>
      </c>
      <c r="T491" s="15">
        <v>26</v>
      </c>
      <c r="U491" s="15" t="s">
        <v>549</v>
      </c>
      <c r="V491" s="31">
        <v>1</v>
      </c>
      <c r="W491" s="15" t="s">
        <v>1158</v>
      </c>
      <c r="X491" s="15" t="s">
        <v>689</v>
      </c>
      <c r="Y491" s="1">
        <v>1</v>
      </c>
      <c r="Z491" s="15">
        <v>4.93</v>
      </c>
      <c r="AA491" s="15" t="s">
        <v>574</v>
      </c>
      <c r="AB491" s="15">
        <f t="shared" si="436"/>
        <v>4.93</v>
      </c>
      <c r="AC491" s="1">
        <v>2</v>
      </c>
      <c r="AD491" s="15">
        <v>28.9</v>
      </c>
      <c r="AF491" s="15">
        <v>9.4</v>
      </c>
      <c r="AM491" s="1"/>
      <c r="AP491" s="15" t="s">
        <v>1326</v>
      </c>
      <c r="AQ491" s="61">
        <v>3</v>
      </c>
      <c r="AR491" s="1">
        <v>3</v>
      </c>
      <c r="AS491" s="15">
        <v>9.02</v>
      </c>
      <c r="AT491" s="15" t="s">
        <v>886</v>
      </c>
      <c r="AU491" s="15">
        <v>56</v>
      </c>
      <c r="AW491" s="15">
        <v>4500</v>
      </c>
      <c r="AX491" s="15">
        <f t="shared" si="475"/>
        <v>4500</v>
      </c>
      <c r="AY491" s="15" t="s">
        <v>766</v>
      </c>
      <c r="AZ491" s="15">
        <f t="shared" si="476"/>
        <v>4500</v>
      </c>
      <c r="BA491" s="15">
        <f t="shared" si="477"/>
        <v>1.5358361774744025</v>
      </c>
      <c r="BB491" s="15">
        <f t="shared" si="478"/>
        <v>2700</v>
      </c>
      <c r="BP491" s="16"/>
      <c r="BQ491" s="16"/>
      <c r="BR491" s="16"/>
      <c r="BU491" s="16"/>
      <c r="EZ491" s="16"/>
      <c r="FA491" s="16"/>
      <c r="FB491" s="16"/>
      <c r="FC491" s="16"/>
      <c r="FD491" s="16"/>
      <c r="FE491" s="16"/>
      <c r="FF491" s="16"/>
      <c r="FG491" s="16"/>
      <c r="FH491" s="16"/>
      <c r="FI491" s="16"/>
      <c r="FJ491" s="16"/>
      <c r="FK491" s="16">
        <f t="shared" si="479"/>
        <v>4.8499999999999996</v>
      </c>
      <c r="FL491" s="16">
        <f t="shared" si="480"/>
        <v>6.66</v>
      </c>
      <c r="FM491" s="15">
        <v>4.8499999999999996</v>
      </c>
      <c r="FN491" s="15">
        <f t="shared" si="481"/>
        <v>0.24249999999999999</v>
      </c>
      <c r="FO491" s="15">
        <f>FN491*SQRT(AR491)</f>
        <v>0.42002232083545271</v>
      </c>
      <c r="FP491" s="15">
        <v>6.66</v>
      </c>
      <c r="FQ491" s="15">
        <f t="shared" si="482"/>
        <v>0.33300000000000002</v>
      </c>
      <c r="FR491" s="15">
        <f>FQ491*SQRT(AR491)</f>
        <v>0.57677291892043614</v>
      </c>
      <c r="FS491" s="15">
        <f t="shared" si="483"/>
        <v>1.37319587628866</v>
      </c>
      <c r="FT491" s="15">
        <f t="shared" si="484"/>
        <v>1.8100000000000005</v>
      </c>
      <c r="FU491" s="15">
        <f t="shared" si="485"/>
        <v>0.31714077960290599</v>
      </c>
      <c r="FV491" s="15">
        <f>((FR491*FR491)/(AR491*FP491*FP491)+(FO491*FO491)/(AR491*FM491*FM491))</f>
        <v>5.0000000000000001E-3</v>
      </c>
      <c r="HE491" s="15">
        <v>6255</v>
      </c>
      <c r="HF491" s="15">
        <f t="shared" si="486"/>
        <v>312.75</v>
      </c>
      <c r="HG491" s="15">
        <f>HF491*SQRT(AR181)</f>
        <v>541.6988900671663</v>
      </c>
      <c r="HH491" s="15">
        <v>6481</v>
      </c>
      <c r="HI491" s="15">
        <f t="shared" si="487"/>
        <v>324.05</v>
      </c>
      <c r="HJ491" s="15">
        <f>HI491*SQRT(AR181)</f>
        <v>561.27106419269467</v>
      </c>
      <c r="HK491" s="15">
        <f t="shared" si="470"/>
        <v>1.0361310951239009</v>
      </c>
      <c r="HL491" s="15">
        <f t="shared" si="471"/>
        <v>226</v>
      </c>
      <c r="HM491" s="15">
        <f t="shared" si="472"/>
        <v>3.5493675526705459E-2</v>
      </c>
      <c r="HN491" s="15">
        <f>((HJ491*HJ491)/(AR181*HH491*HH491)+(HG491*HG491)/(AR181*HE491*HE491))</f>
        <v>4.9999999999999992E-3</v>
      </c>
      <c r="HP491" s="15" t="s">
        <v>766</v>
      </c>
      <c r="HV491" s="15">
        <f t="shared" si="473"/>
        <v>760.69890196875178</v>
      </c>
      <c r="HW491" s="15">
        <f t="shared" si="474"/>
        <v>3.5493675526705459E-2</v>
      </c>
      <c r="HX491" s="15">
        <f>BB491</f>
        <v>2700</v>
      </c>
      <c r="HY491" s="15">
        <f>AZ491</f>
        <v>4500</v>
      </c>
      <c r="HZ491" s="15">
        <f>BA491</f>
        <v>1.5358361774744025</v>
      </c>
      <c r="IA491" s="15">
        <f>BB491</f>
        <v>2700</v>
      </c>
    </row>
    <row r="492" spans="1:235" s="15" customFormat="1" x14ac:dyDescent="0.25">
      <c r="A492" s="31">
        <v>490</v>
      </c>
      <c r="B492" s="1">
        <v>87</v>
      </c>
      <c r="C492" s="1">
        <v>100</v>
      </c>
      <c r="D492" s="15" t="s">
        <v>450</v>
      </c>
      <c r="E492" s="1">
        <v>1</v>
      </c>
      <c r="F492" s="15" t="s">
        <v>761</v>
      </c>
      <c r="G492" s="15" t="s">
        <v>1327</v>
      </c>
      <c r="H492" s="15" t="s">
        <v>839</v>
      </c>
      <c r="I492" s="1">
        <v>2014</v>
      </c>
      <c r="J492" s="15" t="s">
        <v>1080</v>
      </c>
      <c r="K492" s="1">
        <v>2014</v>
      </c>
      <c r="L492" s="15" t="s">
        <v>1328</v>
      </c>
      <c r="M492" s="15" t="s">
        <v>480</v>
      </c>
      <c r="N492" s="15" t="s">
        <v>520</v>
      </c>
      <c r="O492" s="31">
        <v>2</v>
      </c>
      <c r="P492" s="15">
        <v>28.91</v>
      </c>
      <c r="Q492" s="15">
        <v>111.97</v>
      </c>
      <c r="U492" s="15" t="s">
        <v>549</v>
      </c>
      <c r="V492" s="31">
        <v>1</v>
      </c>
      <c r="W492" s="15" t="s">
        <v>1158</v>
      </c>
      <c r="X492" s="15" t="s">
        <v>689</v>
      </c>
      <c r="Y492" s="1">
        <v>1</v>
      </c>
      <c r="Z492" s="15">
        <v>4.5</v>
      </c>
      <c r="AA492" s="15" t="s">
        <v>574</v>
      </c>
      <c r="AB492" s="15">
        <f t="shared" si="436"/>
        <v>4.5</v>
      </c>
      <c r="AC492" s="1">
        <v>1</v>
      </c>
      <c r="AM492" s="1"/>
      <c r="AP492" s="15" t="s">
        <v>1334</v>
      </c>
      <c r="AQ492" s="61">
        <v>3</v>
      </c>
      <c r="AR492" s="1">
        <v>3</v>
      </c>
      <c r="AT492" s="15" t="s">
        <v>545</v>
      </c>
      <c r="AU492" s="15">
        <v>80</v>
      </c>
      <c r="AW492" s="15">
        <v>375</v>
      </c>
      <c r="AX492" s="15">
        <f t="shared" ref="AX492:AX515" si="488">AW492*1.78</f>
        <v>667.5</v>
      </c>
      <c r="AY492" s="15" t="s">
        <v>766</v>
      </c>
      <c r="AZ492" s="15">
        <f t="shared" si="476"/>
        <v>667.5</v>
      </c>
      <c r="BA492" s="15">
        <f t="shared" si="477"/>
        <v>0.22781569965870307</v>
      </c>
      <c r="BB492" s="15">
        <f t="shared" si="478"/>
        <v>400.5</v>
      </c>
      <c r="FK492" s="16">
        <f t="shared" si="479"/>
        <v>4.5</v>
      </c>
      <c r="FL492" s="16">
        <f t="shared" si="480"/>
        <v>4.59</v>
      </c>
      <c r="FM492" s="15">
        <v>4.5</v>
      </c>
      <c r="FN492" s="15">
        <f t="shared" si="481"/>
        <v>0.22500000000000001</v>
      </c>
      <c r="FO492" s="15">
        <f>FN492*SQRT(AR492)</f>
        <v>0.38971143170299738</v>
      </c>
      <c r="FP492" s="15">
        <v>4.59</v>
      </c>
      <c r="FQ492" s="15">
        <f t="shared" si="482"/>
        <v>0.22950000000000001</v>
      </c>
      <c r="FR492" s="15">
        <f>FQ492*SQRT(AR492)</f>
        <v>0.39750566033705731</v>
      </c>
      <c r="FS492" s="15">
        <f t="shared" si="483"/>
        <v>1.02</v>
      </c>
      <c r="FT492" s="15">
        <f t="shared" si="484"/>
        <v>8.9999999999999858E-2</v>
      </c>
      <c r="FU492" s="15">
        <f t="shared" si="485"/>
        <v>1.9802627296179542E-2</v>
      </c>
      <c r="FV492" s="15">
        <f>((FR492*FR492)/(AR492*FP492*FP492)+(FO492*FO492)/(AR492*FM492*FM492))</f>
        <v>4.9999999999999992E-3</v>
      </c>
      <c r="HE492" s="15">
        <v>5161.2</v>
      </c>
      <c r="HF492" s="15">
        <v>258.06</v>
      </c>
      <c r="HG492" s="15">
        <f>HF492*SQRT(AR182)</f>
        <v>446.97303140122443</v>
      </c>
      <c r="HH492" s="15">
        <v>5758.3499999999995</v>
      </c>
      <c r="HI492" s="15">
        <v>287.91750000000002</v>
      </c>
      <c r="HJ492" s="15">
        <f>HI492*SQRT(AR182)</f>
        <v>498.68773838821221</v>
      </c>
      <c r="HK492" s="15">
        <f t="shared" si="470"/>
        <v>1.1156998372471518</v>
      </c>
      <c r="HL492" s="15">
        <f t="shared" si="471"/>
        <v>597.14999999999964</v>
      </c>
      <c r="HM492" s="15">
        <f t="shared" si="472"/>
        <v>0.10948186474188759</v>
      </c>
      <c r="HN492" s="15">
        <f>((HJ492*HJ492)/(AR182*HH492*HH492)+(HG492*HG492)/(AR182*HE492*HE492))</f>
        <v>4.9999999999999992E-3</v>
      </c>
      <c r="HP492" s="15" t="s">
        <v>766</v>
      </c>
      <c r="HV492" s="15">
        <f t="shared" si="473"/>
        <v>36.581401033331993</v>
      </c>
      <c r="HW492" s="15">
        <f t="shared" si="474"/>
        <v>0.10948186474188759</v>
      </c>
      <c r="HX492" s="15">
        <f>BB492</f>
        <v>400.5</v>
      </c>
      <c r="HY492" s="15">
        <f>AZ492</f>
        <v>667.5</v>
      </c>
      <c r="HZ492" s="15">
        <f>BA492</f>
        <v>0.22781569965870307</v>
      </c>
      <c r="IA492" s="15">
        <f>BB492</f>
        <v>400.5</v>
      </c>
    </row>
    <row r="493" spans="1:235" s="15" customFormat="1" x14ac:dyDescent="0.25">
      <c r="A493" s="31">
        <v>491</v>
      </c>
      <c r="B493" s="1">
        <v>87</v>
      </c>
      <c r="C493" s="1">
        <v>100</v>
      </c>
      <c r="D493" s="15" t="s">
        <v>451</v>
      </c>
      <c r="E493" s="1">
        <v>1</v>
      </c>
      <c r="F493" s="15" t="s">
        <v>761</v>
      </c>
      <c r="G493" s="15" t="s">
        <v>1327</v>
      </c>
      <c r="H493" s="15" t="s">
        <v>839</v>
      </c>
      <c r="I493" s="1">
        <v>2014</v>
      </c>
      <c r="J493" s="15" t="s">
        <v>1080</v>
      </c>
      <c r="K493" s="1">
        <v>2014</v>
      </c>
      <c r="L493" s="15" t="s">
        <v>1328</v>
      </c>
      <c r="M493" s="15" t="s">
        <v>480</v>
      </c>
      <c r="N493" s="15" t="s">
        <v>520</v>
      </c>
      <c r="O493" s="31">
        <v>2</v>
      </c>
      <c r="P493" s="15">
        <v>28.91</v>
      </c>
      <c r="Q493" s="15">
        <v>111.97</v>
      </c>
      <c r="U493" s="15" t="s">
        <v>549</v>
      </c>
      <c r="V493" s="31">
        <v>1</v>
      </c>
      <c r="W493" s="15" t="s">
        <v>1158</v>
      </c>
      <c r="X493" s="15" t="s">
        <v>689</v>
      </c>
      <c r="Y493" s="1">
        <v>1</v>
      </c>
      <c r="Z493" s="15">
        <v>4.5</v>
      </c>
      <c r="AA493" s="15" t="s">
        <v>574</v>
      </c>
      <c r="AB493" s="15">
        <f t="shared" si="436"/>
        <v>4.5</v>
      </c>
      <c r="AC493" s="1">
        <v>1</v>
      </c>
      <c r="AM493" s="1"/>
      <c r="AP493" s="15" t="s">
        <v>1334</v>
      </c>
      <c r="AQ493" s="61">
        <v>3</v>
      </c>
      <c r="AR493" s="1">
        <v>3</v>
      </c>
      <c r="AT493" s="15" t="s">
        <v>545</v>
      </c>
      <c r="AU493" s="15">
        <v>80</v>
      </c>
      <c r="AW493" s="15">
        <v>750</v>
      </c>
      <c r="AX493" s="15">
        <f t="shared" si="488"/>
        <v>1335</v>
      </c>
      <c r="AY493" s="15" t="s">
        <v>766</v>
      </c>
      <c r="AZ493" s="15">
        <f t="shared" si="476"/>
        <v>1335</v>
      </c>
      <c r="BA493" s="15">
        <f t="shared" si="477"/>
        <v>0.45563139931740615</v>
      </c>
      <c r="BB493" s="15">
        <f t="shared" si="478"/>
        <v>801</v>
      </c>
      <c r="FK493" s="16">
        <f t="shared" si="479"/>
        <v>4.5</v>
      </c>
      <c r="FL493" s="16">
        <f t="shared" si="480"/>
        <v>4.8099999999999996</v>
      </c>
      <c r="FM493" s="15">
        <v>4.5</v>
      </c>
      <c r="FN493" s="15">
        <f t="shared" si="481"/>
        <v>0.22500000000000001</v>
      </c>
      <c r="FO493" s="15">
        <f>FN493*SQRT(AR493)</f>
        <v>0.38971143170299738</v>
      </c>
      <c r="FP493" s="15">
        <v>4.8099999999999996</v>
      </c>
      <c r="FQ493" s="15">
        <f t="shared" si="482"/>
        <v>0.24049999999999999</v>
      </c>
      <c r="FR493" s="15">
        <f>FQ493*SQRT(AR493)</f>
        <v>0.41655821922031494</v>
      </c>
      <c r="FS493" s="15">
        <f t="shared" si="483"/>
        <v>1.0688888888888888</v>
      </c>
      <c r="FT493" s="15">
        <f t="shared" si="484"/>
        <v>0.30999999999999961</v>
      </c>
      <c r="FU493" s="15">
        <f t="shared" si="485"/>
        <v>6.6619687341395561E-2</v>
      </c>
      <c r="FV493" s="15">
        <f>((FR493*FR493)/(AR493*FP493*FP493)+(FO493*FO493)/(AR493*FM493*FM493))</f>
        <v>4.9999999999999992E-3</v>
      </c>
      <c r="HE493" s="15">
        <v>5161.2</v>
      </c>
      <c r="HF493" s="15">
        <v>258.06</v>
      </c>
      <c r="HG493" s="15">
        <f>HF493*SQRT(AR183)</f>
        <v>446.97303140122443</v>
      </c>
      <c r="HH493" s="15">
        <v>6099.5999999999995</v>
      </c>
      <c r="HI493" s="15">
        <v>304.98</v>
      </c>
      <c r="HJ493" s="15">
        <f>HI493*SQRT(AR183)</f>
        <v>528.24085529235617</v>
      </c>
      <c r="HK493" s="15">
        <f t="shared" si="470"/>
        <v>1.1818181818181817</v>
      </c>
      <c r="HL493" s="15">
        <f t="shared" si="471"/>
        <v>938.39999999999964</v>
      </c>
      <c r="HM493" s="15">
        <f t="shared" si="472"/>
        <v>0.1670540846631674</v>
      </c>
      <c r="HN493" s="15">
        <f>((HJ493*HJ493)/(AR183*HH493*HH493)+(HG493*HG493)/(AR183*HE493*HE493))</f>
        <v>4.9999999999999992E-3</v>
      </c>
      <c r="HP493" s="15" t="s">
        <v>766</v>
      </c>
      <c r="HV493" s="15">
        <f t="shared" si="473"/>
        <v>47.948543228683285</v>
      </c>
      <c r="HW493" s="15">
        <f t="shared" si="474"/>
        <v>0.1670540846631674</v>
      </c>
      <c r="HX493" s="15">
        <f>BB493</f>
        <v>801</v>
      </c>
      <c r="HY493" s="15">
        <f>AZ493</f>
        <v>1335</v>
      </c>
      <c r="HZ493" s="15">
        <f>BA493</f>
        <v>0.45563139931740615</v>
      </c>
      <c r="IA493" s="15">
        <f>BB493</f>
        <v>801</v>
      </c>
    </row>
    <row r="494" spans="1:235" s="15" customFormat="1" x14ac:dyDescent="0.25">
      <c r="A494" s="31">
        <v>492</v>
      </c>
      <c r="B494" s="1">
        <v>87</v>
      </c>
      <c r="C494" s="1">
        <v>100</v>
      </c>
      <c r="D494" s="15" t="s">
        <v>452</v>
      </c>
      <c r="E494" s="1">
        <v>1</v>
      </c>
      <c r="F494" s="15" t="s">
        <v>761</v>
      </c>
      <c r="G494" s="15" t="s">
        <v>1327</v>
      </c>
      <c r="H494" s="15" t="s">
        <v>839</v>
      </c>
      <c r="I494" s="1">
        <v>2014</v>
      </c>
      <c r="J494" s="15" t="s">
        <v>1080</v>
      </c>
      <c r="K494" s="1">
        <v>2014</v>
      </c>
      <c r="L494" s="15" t="s">
        <v>1328</v>
      </c>
      <c r="M494" s="15" t="s">
        <v>480</v>
      </c>
      <c r="N494" s="15" t="s">
        <v>520</v>
      </c>
      <c r="O494" s="31">
        <v>2</v>
      </c>
      <c r="P494" s="15">
        <v>28.91</v>
      </c>
      <c r="Q494" s="15">
        <v>111.97</v>
      </c>
      <c r="U494" s="15" t="s">
        <v>549</v>
      </c>
      <c r="V494" s="31">
        <v>1</v>
      </c>
      <c r="W494" s="15" t="s">
        <v>1158</v>
      </c>
      <c r="X494" s="15" t="s">
        <v>689</v>
      </c>
      <c r="Y494" s="1">
        <v>1</v>
      </c>
      <c r="Z494" s="15">
        <v>4.5</v>
      </c>
      <c r="AA494" s="15" t="s">
        <v>574</v>
      </c>
      <c r="AB494" s="15">
        <f t="shared" si="436"/>
        <v>4.5</v>
      </c>
      <c r="AC494" s="1">
        <v>1</v>
      </c>
      <c r="AM494" s="1"/>
      <c r="AP494" s="15" t="s">
        <v>1334</v>
      </c>
      <c r="AQ494" s="61">
        <v>3</v>
      </c>
      <c r="AR494" s="1">
        <v>3</v>
      </c>
      <c r="AT494" s="15" t="s">
        <v>545</v>
      </c>
      <c r="AU494" s="15">
        <v>80</v>
      </c>
      <c r="AW494" s="15">
        <v>1125</v>
      </c>
      <c r="AX494" s="15">
        <f t="shared" si="488"/>
        <v>2002.5</v>
      </c>
      <c r="AY494" s="15" t="s">
        <v>766</v>
      </c>
      <c r="AZ494" s="15">
        <f t="shared" si="476"/>
        <v>2002.5</v>
      </c>
      <c r="BA494" s="15">
        <f t="shared" si="477"/>
        <v>0.68344709897610911</v>
      </c>
      <c r="BB494" s="15">
        <f t="shared" si="478"/>
        <v>1201.5</v>
      </c>
      <c r="FK494" s="16">
        <f t="shared" si="479"/>
        <v>4.5</v>
      </c>
      <c r="FL494" s="16">
        <f t="shared" si="480"/>
        <v>4.8600000000000003</v>
      </c>
      <c r="FM494" s="15">
        <v>4.5</v>
      </c>
      <c r="FN494" s="15">
        <f t="shared" si="481"/>
        <v>0.22500000000000001</v>
      </c>
      <c r="FO494" s="15">
        <f>FN494*SQRT(AR494)</f>
        <v>0.38971143170299738</v>
      </c>
      <c r="FP494" s="15">
        <v>4.8600000000000003</v>
      </c>
      <c r="FQ494" s="15">
        <f t="shared" si="482"/>
        <v>0.24300000000000002</v>
      </c>
      <c r="FR494" s="15">
        <f>FQ494*SQRT(AR494)</f>
        <v>0.42088834623923721</v>
      </c>
      <c r="FS494" s="15">
        <f t="shared" si="483"/>
        <v>1.08</v>
      </c>
      <c r="FT494" s="15">
        <f t="shared" si="484"/>
        <v>0.36000000000000032</v>
      </c>
      <c r="FU494" s="15">
        <f t="shared" si="485"/>
        <v>7.6961041136128339E-2</v>
      </c>
      <c r="FV494" s="15">
        <f>((FR494*FR494)/(AR494*FP494*FP494)+(FO494*FO494)/(AR494*FM494*FM494))</f>
        <v>4.9999999999999992E-3</v>
      </c>
      <c r="HE494" s="15">
        <v>5161.2</v>
      </c>
      <c r="HF494" s="15">
        <v>258.06</v>
      </c>
      <c r="HG494" s="15">
        <f>HF494*SQRT(AR184)</f>
        <v>446.97303140122443</v>
      </c>
      <c r="HH494" s="15">
        <v>6355.5</v>
      </c>
      <c r="HI494" s="15">
        <v>317.77500000000003</v>
      </c>
      <c r="HJ494" s="15">
        <f>HI494*SQRT(AR184)</f>
        <v>550.40244537520005</v>
      </c>
      <c r="HK494" s="15">
        <f t="shared" si="470"/>
        <v>1.2313996744943037</v>
      </c>
      <c r="HL494" s="15">
        <f t="shared" si="471"/>
        <v>1194.3000000000002</v>
      </c>
      <c r="HM494" s="15">
        <f t="shared" si="472"/>
        <v>0.20815146915703231</v>
      </c>
      <c r="HN494" s="15">
        <f>((HJ494*HJ494)/(AR184*HH494*HH494)+(HG494*HG494)/(AR184*HE494*HE494))</f>
        <v>5.0000000000000001E-3</v>
      </c>
      <c r="HP494" s="15" t="s">
        <v>766</v>
      </c>
      <c r="HV494" s="15">
        <f t="shared" si="473"/>
        <v>57.722388646393455</v>
      </c>
      <c r="HW494" s="15">
        <f t="shared" si="474"/>
        <v>0.20815146915703231</v>
      </c>
      <c r="HX494" s="15">
        <f>BB494</f>
        <v>1201.5</v>
      </c>
      <c r="HY494" s="15">
        <f>AZ494</f>
        <v>2002.5</v>
      </c>
      <c r="HZ494" s="15">
        <f>BA494</f>
        <v>0.68344709897610911</v>
      </c>
      <c r="IA494" s="15">
        <f>BB494</f>
        <v>1201.5</v>
      </c>
    </row>
    <row r="495" spans="1:235" s="15" customFormat="1" x14ac:dyDescent="0.25">
      <c r="A495" s="31">
        <v>493</v>
      </c>
      <c r="B495" s="1">
        <v>87</v>
      </c>
      <c r="C495" s="1">
        <v>100</v>
      </c>
      <c r="D495" s="15" t="s">
        <v>453</v>
      </c>
      <c r="E495" s="1">
        <v>1</v>
      </c>
      <c r="F495" s="15" t="s">
        <v>761</v>
      </c>
      <c r="G495" s="15" t="s">
        <v>1327</v>
      </c>
      <c r="H495" s="15" t="s">
        <v>839</v>
      </c>
      <c r="I495" s="1">
        <v>2014</v>
      </c>
      <c r="J495" s="15" t="s">
        <v>1080</v>
      </c>
      <c r="K495" s="1">
        <v>2014</v>
      </c>
      <c r="L495" s="15" t="s">
        <v>1328</v>
      </c>
      <c r="M495" s="15" t="s">
        <v>480</v>
      </c>
      <c r="N495" s="15" t="s">
        <v>520</v>
      </c>
      <c r="O495" s="31">
        <v>2</v>
      </c>
      <c r="P495" s="15">
        <v>28.91</v>
      </c>
      <c r="Q495" s="15">
        <v>111.97</v>
      </c>
      <c r="U495" s="15" t="s">
        <v>549</v>
      </c>
      <c r="V495" s="31">
        <v>1</v>
      </c>
      <c r="W495" s="15" t="s">
        <v>1158</v>
      </c>
      <c r="X495" s="15" t="s">
        <v>689</v>
      </c>
      <c r="Y495" s="1">
        <v>1</v>
      </c>
      <c r="Z495" s="15">
        <v>4.5</v>
      </c>
      <c r="AA495" s="15" t="s">
        <v>574</v>
      </c>
      <c r="AB495" s="15">
        <f t="shared" si="436"/>
        <v>4.5</v>
      </c>
      <c r="AC495" s="1">
        <v>1</v>
      </c>
      <c r="AM495" s="1"/>
      <c r="AP495" s="15" t="s">
        <v>1334</v>
      </c>
      <c r="AQ495" s="61">
        <v>3</v>
      </c>
      <c r="AR495" s="1">
        <v>3</v>
      </c>
      <c r="AT495" s="15" t="s">
        <v>545</v>
      </c>
      <c r="AU495" s="15">
        <v>80</v>
      </c>
      <c r="AW495" s="15">
        <v>1500</v>
      </c>
      <c r="AX495" s="15">
        <f t="shared" si="488"/>
        <v>2670</v>
      </c>
      <c r="AY495" s="15" t="s">
        <v>766</v>
      </c>
      <c r="AZ495" s="15">
        <f t="shared" si="476"/>
        <v>2670</v>
      </c>
      <c r="BA495" s="15">
        <f t="shared" si="477"/>
        <v>0.9112627986348123</v>
      </c>
      <c r="BB495" s="15">
        <f t="shared" si="478"/>
        <v>1602</v>
      </c>
      <c r="FK495" s="16">
        <f t="shared" si="479"/>
        <v>4.5</v>
      </c>
      <c r="FL495" s="16">
        <f t="shared" si="480"/>
        <v>4.99</v>
      </c>
      <c r="FM495" s="15">
        <v>4.5</v>
      </c>
      <c r="FN495" s="15">
        <f t="shared" si="481"/>
        <v>0.22500000000000001</v>
      </c>
      <c r="FO495" s="15">
        <f>FN495*SQRT(AR495)</f>
        <v>0.38971143170299738</v>
      </c>
      <c r="FP495" s="15">
        <v>4.99</v>
      </c>
      <c r="FQ495" s="15">
        <f t="shared" si="482"/>
        <v>0.24950000000000003</v>
      </c>
      <c r="FR495" s="15">
        <f>FQ495*SQRT(AR495)</f>
        <v>0.43214667648843491</v>
      </c>
      <c r="FS495" s="15">
        <f t="shared" si="483"/>
        <v>1.108888888888889</v>
      </c>
      <c r="FT495" s="15">
        <f t="shared" si="484"/>
        <v>0.49000000000000021</v>
      </c>
      <c r="FU495" s="15">
        <f t="shared" si="485"/>
        <v>0.10335851298715326</v>
      </c>
      <c r="FV495" s="15">
        <f>((FR495*FR495)/(AR495*FP495*FP495)+(FO495*FO495)/(AR495*FM495*FM495))</f>
        <v>4.9999999999999992E-3</v>
      </c>
      <c r="HE495" s="15">
        <v>5161.2</v>
      </c>
      <c r="HF495" s="15">
        <v>258.06</v>
      </c>
      <c r="HG495" s="15">
        <f>HF495*SQRT(AR185)</f>
        <v>446.97303140122443</v>
      </c>
      <c r="HH495" s="15">
        <v>6184.8</v>
      </c>
      <c r="HI495" s="15">
        <v>309.24</v>
      </c>
      <c r="HJ495" s="15">
        <f>HI495*SQRT(AR185)</f>
        <v>535.61939173259964</v>
      </c>
      <c r="HK495" s="15">
        <f t="shared" si="470"/>
        <v>1.1983259707044873</v>
      </c>
      <c r="HL495" s="15">
        <f t="shared" si="471"/>
        <v>1023.6000000000004</v>
      </c>
      <c r="HM495" s="15">
        <f t="shared" si="472"/>
        <v>0.18092555842857472</v>
      </c>
      <c r="HN495" s="15">
        <f>((HJ495*HJ495)/(AR185*HH495*HH495)+(HG495*HG495)/(AR185*HE495*HE495))</f>
        <v>4.9999999999999992E-3</v>
      </c>
      <c r="HP495" s="15" t="s">
        <v>766</v>
      </c>
      <c r="HV495" s="15">
        <f t="shared" si="473"/>
        <v>88.544703905525495</v>
      </c>
      <c r="HW495" s="15">
        <f t="shared" si="474"/>
        <v>0.18092555842857472</v>
      </c>
      <c r="HX495" s="15">
        <f>BB495</f>
        <v>1602</v>
      </c>
      <c r="HY495" s="15">
        <f>AZ495</f>
        <v>2670</v>
      </c>
      <c r="HZ495" s="15">
        <f>BA495</f>
        <v>0.9112627986348123</v>
      </c>
      <c r="IA495" s="15">
        <f>BB495</f>
        <v>1602</v>
      </c>
    </row>
    <row r="496" spans="1:235" s="15" customFormat="1" x14ac:dyDescent="0.25">
      <c r="A496" s="31">
        <v>494</v>
      </c>
      <c r="B496" s="1">
        <v>87</v>
      </c>
      <c r="C496" s="1">
        <v>101</v>
      </c>
      <c r="D496" s="15" t="s">
        <v>454</v>
      </c>
      <c r="E496" s="1">
        <v>1</v>
      </c>
      <c r="F496" s="15" t="s">
        <v>761</v>
      </c>
      <c r="G496" s="15" t="s">
        <v>1327</v>
      </c>
      <c r="H496" s="15" t="s">
        <v>839</v>
      </c>
      <c r="I496" s="1">
        <v>2014</v>
      </c>
      <c r="J496" s="15" t="s">
        <v>1080</v>
      </c>
      <c r="K496" s="1">
        <v>2014</v>
      </c>
      <c r="L496" s="15" t="s">
        <v>1329</v>
      </c>
      <c r="M496" s="15" t="s">
        <v>480</v>
      </c>
      <c r="N496" s="15" t="s">
        <v>520</v>
      </c>
      <c r="O496" s="31">
        <v>2</v>
      </c>
      <c r="P496" s="15">
        <v>28.16</v>
      </c>
      <c r="Q496" s="15">
        <v>113.64</v>
      </c>
      <c r="U496" s="15" t="s">
        <v>549</v>
      </c>
      <c r="V496" s="31">
        <v>1</v>
      </c>
      <c r="W496" s="15" t="s">
        <v>1158</v>
      </c>
      <c r="X496" s="15" t="s">
        <v>689</v>
      </c>
      <c r="Y496" s="1">
        <v>1</v>
      </c>
      <c r="Z496" s="15">
        <v>5.4</v>
      </c>
      <c r="AA496" s="15" t="s">
        <v>574</v>
      </c>
      <c r="AB496" s="15">
        <f t="shared" si="436"/>
        <v>5.4</v>
      </c>
      <c r="AC496" s="1">
        <v>3</v>
      </c>
      <c r="AM496" s="1"/>
      <c r="AP496" s="15" t="s">
        <v>1334</v>
      </c>
      <c r="AQ496" s="61">
        <v>3</v>
      </c>
      <c r="AR496" s="1">
        <v>3</v>
      </c>
      <c r="AT496" s="15" t="s">
        <v>545</v>
      </c>
      <c r="AU496" s="15">
        <v>80</v>
      </c>
      <c r="AW496" s="15">
        <v>375</v>
      </c>
      <c r="AX496" s="15">
        <f t="shared" si="488"/>
        <v>667.5</v>
      </c>
      <c r="AY496" s="15" t="s">
        <v>766</v>
      </c>
      <c r="AZ496" s="15">
        <f t="shared" si="476"/>
        <v>667.5</v>
      </c>
      <c r="BA496" s="15">
        <f t="shared" si="477"/>
        <v>0.22781569965870307</v>
      </c>
      <c r="BB496" s="15">
        <f t="shared" si="478"/>
        <v>400.5</v>
      </c>
      <c r="FK496" s="16">
        <f t="shared" si="479"/>
        <v>5.3</v>
      </c>
      <c r="FL496" s="16">
        <f t="shared" si="480"/>
        <v>5.3</v>
      </c>
      <c r="FM496" s="15">
        <v>5.3</v>
      </c>
      <c r="FN496" s="15">
        <f t="shared" si="481"/>
        <v>0.26500000000000001</v>
      </c>
      <c r="FO496" s="15">
        <f>FN496*SQRT(AR496)</f>
        <v>0.45899346400575247</v>
      </c>
      <c r="FP496" s="15">
        <v>5.3</v>
      </c>
      <c r="FQ496" s="15">
        <f t="shared" si="482"/>
        <v>0.26500000000000001</v>
      </c>
      <c r="FR496" s="15">
        <f>FQ496*SQRT(AR496)</f>
        <v>0.45899346400575247</v>
      </c>
      <c r="FS496" s="15">
        <f t="shared" si="483"/>
        <v>1</v>
      </c>
      <c r="FT496" s="15">
        <f t="shared" si="484"/>
        <v>0</v>
      </c>
      <c r="FU496" s="15">
        <f t="shared" si="485"/>
        <v>0</v>
      </c>
      <c r="FV496" s="15">
        <f>((FR496*FR496)/(AR496*FP496*FP496)+(FO496*FO496)/(AR496*FM496*FM496))</f>
        <v>5.0000000000000001E-3</v>
      </c>
      <c r="HE496" s="15">
        <v>7891.0500000000011</v>
      </c>
      <c r="HF496" s="15">
        <f>HE496*0.05</f>
        <v>394.55250000000007</v>
      </c>
      <c r="HG496" s="15">
        <f>HF496*SQRT(AR186)</f>
        <v>683.38497625331956</v>
      </c>
      <c r="HH496" s="15">
        <v>8061.6</v>
      </c>
      <c r="HI496" s="15">
        <f>HH496*0.05</f>
        <v>403.08000000000004</v>
      </c>
      <c r="HJ496" s="15">
        <f>HI496*SQRT(AR186)</f>
        <v>698.15503951486312</v>
      </c>
      <c r="HK496" s="15">
        <f t="shared" si="470"/>
        <v>1.0216130933145777</v>
      </c>
      <c r="HL496" s="15">
        <f t="shared" si="471"/>
        <v>170.54999999999927</v>
      </c>
      <c r="HM496" s="15">
        <f t="shared" si="472"/>
        <v>2.1382842132700475E-2</v>
      </c>
      <c r="HN496" s="15">
        <f>((HJ496*HJ496)/(AR186*HH496*HH496)+(HG496*HG496)/(AR186*HE496*HE496))</f>
        <v>5.000000000000001E-3</v>
      </c>
      <c r="HP496" s="15" t="s">
        <v>766</v>
      </c>
      <c r="HV496" s="15">
        <f t="shared" si="473"/>
        <v>187.29970390022245</v>
      </c>
      <c r="HW496" s="15">
        <f t="shared" si="474"/>
        <v>2.1382842132700475E-2</v>
      </c>
      <c r="HX496" s="15">
        <f>BB496</f>
        <v>400.5</v>
      </c>
      <c r="HY496" s="15">
        <f>AZ496</f>
        <v>667.5</v>
      </c>
      <c r="HZ496" s="15">
        <f>BA496</f>
        <v>0.22781569965870307</v>
      </c>
      <c r="IA496" s="15">
        <f>BB496</f>
        <v>400.5</v>
      </c>
    </row>
    <row r="497" spans="1:235" s="15" customFormat="1" x14ac:dyDescent="0.25">
      <c r="A497" s="31">
        <v>495</v>
      </c>
      <c r="B497" s="1">
        <v>87</v>
      </c>
      <c r="C497" s="1">
        <v>101</v>
      </c>
      <c r="D497" s="15" t="s">
        <v>455</v>
      </c>
      <c r="E497" s="1">
        <v>1</v>
      </c>
      <c r="F497" s="15" t="s">
        <v>761</v>
      </c>
      <c r="G497" s="15" t="s">
        <v>1327</v>
      </c>
      <c r="H497" s="15" t="s">
        <v>839</v>
      </c>
      <c r="I497" s="1">
        <v>2014</v>
      </c>
      <c r="J497" s="15" t="s">
        <v>1080</v>
      </c>
      <c r="K497" s="1">
        <v>2014</v>
      </c>
      <c r="L497" s="15" t="s">
        <v>1329</v>
      </c>
      <c r="M497" s="15" t="s">
        <v>480</v>
      </c>
      <c r="N497" s="15" t="s">
        <v>520</v>
      </c>
      <c r="O497" s="31">
        <v>2</v>
      </c>
      <c r="P497" s="15">
        <v>28.16</v>
      </c>
      <c r="Q497" s="15">
        <v>113.64</v>
      </c>
      <c r="U497" s="15" t="s">
        <v>549</v>
      </c>
      <c r="V497" s="31">
        <v>1</v>
      </c>
      <c r="W497" s="15" t="s">
        <v>1158</v>
      </c>
      <c r="X497" s="15" t="s">
        <v>689</v>
      </c>
      <c r="Y497" s="1">
        <v>1</v>
      </c>
      <c r="Z497" s="15">
        <v>5.4</v>
      </c>
      <c r="AA497" s="15" t="s">
        <v>574</v>
      </c>
      <c r="AB497" s="15">
        <f t="shared" si="436"/>
        <v>5.4</v>
      </c>
      <c r="AC497" s="1">
        <v>3</v>
      </c>
      <c r="AM497" s="1"/>
      <c r="AP497" s="15" t="s">
        <v>1334</v>
      </c>
      <c r="AQ497" s="61">
        <v>3</v>
      </c>
      <c r="AR497" s="1">
        <v>3</v>
      </c>
      <c r="AT497" s="15" t="s">
        <v>545</v>
      </c>
      <c r="AU497" s="15">
        <v>80</v>
      </c>
      <c r="AW497" s="15">
        <v>750</v>
      </c>
      <c r="AX497" s="15">
        <f t="shared" si="488"/>
        <v>1335</v>
      </c>
      <c r="AY497" s="15" t="s">
        <v>766</v>
      </c>
      <c r="AZ497" s="15">
        <f t="shared" si="476"/>
        <v>1335</v>
      </c>
      <c r="BA497" s="15">
        <f t="shared" si="477"/>
        <v>0.45563139931740615</v>
      </c>
      <c r="BB497" s="15">
        <f t="shared" si="478"/>
        <v>801</v>
      </c>
      <c r="FK497" s="16">
        <f t="shared" si="479"/>
        <v>5.3</v>
      </c>
      <c r="FL497" s="16">
        <f t="shared" si="480"/>
        <v>5.82</v>
      </c>
      <c r="FM497" s="15">
        <v>5.3</v>
      </c>
      <c r="FN497" s="15">
        <f t="shared" si="481"/>
        <v>0.26500000000000001</v>
      </c>
      <c r="FO497" s="15">
        <f>FN497*SQRT(AR497)</f>
        <v>0.45899346400575247</v>
      </c>
      <c r="FP497" s="15">
        <v>5.82</v>
      </c>
      <c r="FQ497" s="15">
        <f t="shared" si="482"/>
        <v>0.29100000000000004</v>
      </c>
      <c r="FR497" s="15">
        <f>FQ497*SQRT(AR497)</f>
        <v>0.50402678500254328</v>
      </c>
      <c r="FS497" s="15">
        <f t="shared" si="483"/>
        <v>1.09811320754717</v>
      </c>
      <c r="FT497" s="15">
        <f t="shared" si="484"/>
        <v>0.52000000000000046</v>
      </c>
      <c r="FU497" s="15">
        <f t="shared" si="485"/>
        <v>9.3593441185270354E-2</v>
      </c>
      <c r="FV497" s="15">
        <f>((FR497*FR497)/(AR497*FP497*FP497)+(FO497*FO497)/(AR497*FM497*FM497))</f>
        <v>4.9999999999999992E-3</v>
      </c>
      <c r="HE497" s="15">
        <v>7891.0500000000011</v>
      </c>
      <c r="HF497" s="15">
        <f>HE497*0.05</f>
        <v>394.55250000000007</v>
      </c>
      <c r="HG497" s="15">
        <f>HF497*SQRT(AR187)</f>
        <v>683.38497625331956</v>
      </c>
      <c r="HH497" s="15">
        <v>8744.1</v>
      </c>
      <c r="HI497" s="15">
        <f>HH497*0.05</f>
        <v>437.20500000000004</v>
      </c>
      <c r="HJ497" s="15">
        <f>HI497*SQRT(AR187)</f>
        <v>757.26127332315104</v>
      </c>
      <c r="HK497" s="15">
        <f t="shared" si="470"/>
        <v>1.1081034843271806</v>
      </c>
      <c r="HL497" s="15">
        <f t="shared" si="471"/>
        <v>853.04999999999927</v>
      </c>
      <c r="HM497" s="15">
        <f t="shared" si="472"/>
        <v>0.10264998137102843</v>
      </c>
      <c r="HN497" s="15">
        <f>((HJ497*HJ497)/(AR187*HH497*HH497)+(HG497*HG497)/(AR187*HE497*HE497))</f>
        <v>5.0000000000000001E-3</v>
      </c>
      <c r="HP497" s="15" t="s">
        <v>766</v>
      </c>
      <c r="HV497" s="15">
        <f t="shared" si="473"/>
        <v>78.032162237300838</v>
      </c>
      <c r="HW497" s="15">
        <f t="shared" si="474"/>
        <v>0.10264998137102843</v>
      </c>
      <c r="HX497" s="15">
        <f>BB497</f>
        <v>801</v>
      </c>
      <c r="HY497" s="15">
        <f>AZ497</f>
        <v>1335</v>
      </c>
      <c r="HZ497" s="15">
        <f>BA497</f>
        <v>0.45563139931740615</v>
      </c>
      <c r="IA497" s="15">
        <f>BB497</f>
        <v>801</v>
      </c>
    </row>
    <row r="498" spans="1:235" s="15" customFormat="1" x14ac:dyDescent="0.25">
      <c r="A498" s="31">
        <v>496</v>
      </c>
      <c r="B498" s="1">
        <v>87</v>
      </c>
      <c r="C498" s="1">
        <v>101</v>
      </c>
      <c r="D498" s="15" t="s">
        <v>456</v>
      </c>
      <c r="E498" s="1">
        <v>1</v>
      </c>
      <c r="F498" s="15" t="s">
        <v>761</v>
      </c>
      <c r="G498" s="15" t="s">
        <v>1327</v>
      </c>
      <c r="H498" s="15" t="s">
        <v>839</v>
      </c>
      <c r="I498" s="1">
        <v>2014</v>
      </c>
      <c r="J498" s="15" t="s">
        <v>1080</v>
      </c>
      <c r="K498" s="1">
        <v>2014</v>
      </c>
      <c r="L498" s="15" t="s">
        <v>1329</v>
      </c>
      <c r="M498" s="15" t="s">
        <v>480</v>
      </c>
      <c r="N498" s="15" t="s">
        <v>520</v>
      </c>
      <c r="O498" s="31">
        <v>2</v>
      </c>
      <c r="P498" s="15">
        <v>28.16</v>
      </c>
      <c r="Q498" s="15">
        <v>113.64</v>
      </c>
      <c r="U498" s="15" t="s">
        <v>549</v>
      </c>
      <c r="V498" s="31">
        <v>1</v>
      </c>
      <c r="W498" s="15" t="s">
        <v>1158</v>
      </c>
      <c r="X498" s="15" t="s">
        <v>689</v>
      </c>
      <c r="Y498" s="1">
        <v>1</v>
      </c>
      <c r="Z498" s="15">
        <v>5.4</v>
      </c>
      <c r="AA498" s="15" t="s">
        <v>574</v>
      </c>
      <c r="AB498" s="15">
        <f t="shared" si="436"/>
        <v>5.4</v>
      </c>
      <c r="AC498" s="1">
        <v>3</v>
      </c>
      <c r="AM498" s="1"/>
      <c r="AP498" s="15" t="s">
        <v>1334</v>
      </c>
      <c r="AQ498" s="61">
        <v>3</v>
      </c>
      <c r="AR498" s="1">
        <v>3</v>
      </c>
      <c r="AT498" s="15" t="s">
        <v>545</v>
      </c>
      <c r="AU498" s="15">
        <v>80</v>
      </c>
      <c r="AW498" s="15">
        <v>1125</v>
      </c>
      <c r="AX498" s="15">
        <f t="shared" si="488"/>
        <v>2002.5</v>
      </c>
      <c r="AY498" s="15" t="s">
        <v>766</v>
      </c>
      <c r="AZ498" s="15">
        <f t="shared" si="476"/>
        <v>2002.5</v>
      </c>
      <c r="BA498" s="15">
        <f t="shared" si="477"/>
        <v>0.68344709897610911</v>
      </c>
      <c r="BB498" s="15">
        <f t="shared" si="478"/>
        <v>1201.5</v>
      </c>
      <c r="FK498" s="16">
        <f t="shared" si="479"/>
        <v>5.3</v>
      </c>
      <c r="FL498" s="16">
        <f t="shared" si="480"/>
        <v>5.92</v>
      </c>
      <c r="FM498" s="15">
        <v>5.3</v>
      </c>
      <c r="FN498" s="15">
        <f t="shared" si="481"/>
        <v>0.26500000000000001</v>
      </c>
      <c r="FO498" s="15">
        <f>FN498*SQRT(AR498)</f>
        <v>0.45899346400575247</v>
      </c>
      <c r="FP498" s="15">
        <v>5.92</v>
      </c>
      <c r="FQ498" s="15">
        <f t="shared" si="482"/>
        <v>0.29599999999999999</v>
      </c>
      <c r="FR498" s="15">
        <f>FQ498*SQRT(AR498)</f>
        <v>0.51268703904038759</v>
      </c>
      <c r="FS498" s="15">
        <f t="shared" si="483"/>
        <v>1.1169811320754717</v>
      </c>
      <c r="FT498" s="15">
        <f t="shared" si="484"/>
        <v>0.62000000000000011</v>
      </c>
      <c r="FU498" s="15">
        <f t="shared" si="485"/>
        <v>0.11062962833783829</v>
      </c>
      <c r="FV498" s="15">
        <f>((FR498*FR498)/(AR498*FP498*FP498)+(FO498*FO498)/(AR498*FM498*FM498))</f>
        <v>4.9999999999999992E-3</v>
      </c>
      <c r="HE498" s="15">
        <v>7891.0500000000011</v>
      </c>
      <c r="HF498" s="15">
        <f>HE498*0.05</f>
        <v>394.55250000000007</v>
      </c>
      <c r="HG498" s="15">
        <f>HF498*SQRT(AR188)</f>
        <v>683.38497625331956</v>
      </c>
      <c r="HH498" s="15">
        <v>8573.4</v>
      </c>
      <c r="HI498" s="15">
        <f>HH498*0.05</f>
        <v>428.67</v>
      </c>
      <c r="HJ498" s="15">
        <f>HI498*SQRT(AR188)</f>
        <v>742.47821968055064</v>
      </c>
      <c r="HK498" s="15">
        <f t="shared" si="470"/>
        <v>1.086471382135457</v>
      </c>
      <c r="HL498" s="15">
        <f t="shared" si="471"/>
        <v>682.34999999999854</v>
      </c>
      <c r="HM498" s="15">
        <f t="shared" si="472"/>
        <v>8.2935180869487368E-2</v>
      </c>
      <c r="HN498" s="15">
        <f>((HJ498*HJ498)/(AR188*HH498*HH498)+(HG498*HG498)/(AR188*HE498*HE498))</f>
        <v>5.000000000000001E-3</v>
      </c>
      <c r="HP498" s="15" t="s">
        <v>766</v>
      </c>
      <c r="HV498" s="15">
        <f t="shared" si="473"/>
        <v>144.87217455892028</v>
      </c>
      <c r="HW498" s="15">
        <f t="shared" si="474"/>
        <v>8.2935180869487368E-2</v>
      </c>
      <c r="HX498" s="15">
        <f>BB498</f>
        <v>1201.5</v>
      </c>
      <c r="HY498" s="15">
        <f>AZ498</f>
        <v>2002.5</v>
      </c>
      <c r="HZ498" s="15">
        <f>BA498</f>
        <v>0.68344709897610911</v>
      </c>
      <c r="IA498" s="15">
        <f>BB498</f>
        <v>1201.5</v>
      </c>
    </row>
    <row r="499" spans="1:235" s="15" customFormat="1" x14ac:dyDescent="0.25">
      <c r="A499" s="31">
        <v>497</v>
      </c>
      <c r="B499" s="1">
        <v>87</v>
      </c>
      <c r="C499" s="1">
        <v>101</v>
      </c>
      <c r="D499" s="15" t="s">
        <v>457</v>
      </c>
      <c r="E499" s="1">
        <v>1</v>
      </c>
      <c r="F499" s="15" t="s">
        <v>761</v>
      </c>
      <c r="G499" s="15" t="s">
        <v>1327</v>
      </c>
      <c r="H499" s="15" t="s">
        <v>839</v>
      </c>
      <c r="I499" s="1">
        <v>2014</v>
      </c>
      <c r="J499" s="15" t="s">
        <v>1080</v>
      </c>
      <c r="K499" s="1">
        <v>2014</v>
      </c>
      <c r="L499" s="15" t="s">
        <v>1329</v>
      </c>
      <c r="M499" s="15" t="s">
        <v>480</v>
      </c>
      <c r="N499" s="15" t="s">
        <v>520</v>
      </c>
      <c r="O499" s="31">
        <v>2</v>
      </c>
      <c r="P499" s="15">
        <v>28.16</v>
      </c>
      <c r="Q499" s="15">
        <v>113.64</v>
      </c>
      <c r="U499" s="15" t="s">
        <v>549</v>
      </c>
      <c r="V499" s="31">
        <v>1</v>
      </c>
      <c r="W499" s="15" t="s">
        <v>1158</v>
      </c>
      <c r="X499" s="15" t="s">
        <v>689</v>
      </c>
      <c r="Y499" s="1">
        <v>1</v>
      </c>
      <c r="Z499" s="15">
        <v>5.4</v>
      </c>
      <c r="AA499" s="15" t="s">
        <v>574</v>
      </c>
      <c r="AB499" s="15">
        <f t="shared" si="436"/>
        <v>5.4</v>
      </c>
      <c r="AC499" s="1">
        <v>3</v>
      </c>
      <c r="AM499" s="1"/>
      <c r="AP499" s="15" t="s">
        <v>1334</v>
      </c>
      <c r="AQ499" s="61">
        <v>3</v>
      </c>
      <c r="AR499" s="1">
        <v>3</v>
      </c>
      <c r="AT499" s="15" t="s">
        <v>545</v>
      </c>
      <c r="AU499" s="15">
        <v>80</v>
      </c>
      <c r="AW499" s="15">
        <v>1500</v>
      </c>
      <c r="AX499" s="15">
        <f t="shared" si="488"/>
        <v>2670</v>
      </c>
      <c r="AY499" s="15" t="s">
        <v>766</v>
      </c>
      <c r="AZ499" s="15">
        <f t="shared" si="476"/>
        <v>2670</v>
      </c>
      <c r="BA499" s="15">
        <f t="shared" si="477"/>
        <v>0.9112627986348123</v>
      </c>
      <c r="BB499" s="15">
        <f t="shared" si="478"/>
        <v>1602</v>
      </c>
      <c r="FK499" s="16">
        <f t="shared" si="479"/>
        <v>5.3</v>
      </c>
      <c r="FL499" s="16">
        <f t="shared" si="480"/>
        <v>6.2</v>
      </c>
      <c r="FM499" s="15">
        <v>5.3</v>
      </c>
      <c r="FN499" s="15">
        <f t="shared" si="481"/>
        <v>0.26500000000000001</v>
      </c>
      <c r="FO499" s="15">
        <f>FN499*SQRT(AR499)</f>
        <v>0.45899346400575247</v>
      </c>
      <c r="FP499" s="15">
        <v>6.2</v>
      </c>
      <c r="FQ499" s="15">
        <f t="shared" si="482"/>
        <v>0.31000000000000005</v>
      </c>
      <c r="FR499" s="15">
        <f>FQ499*SQRT(AR499)</f>
        <v>0.53693575034635199</v>
      </c>
      <c r="FS499" s="15">
        <f t="shared" si="483"/>
        <v>1.1698113207547169</v>
      </c>
      <c r="FT499" s="15">
        <f t="shared" si="484"/>
        <v>0.90000000000000036</v>
      </c>
      <c r="FU499" s="15">
        <f t="shared" si="485"/>
        <v>0.15684247149296993</v>
      </c>
      <c r="FV499" s="15">
        <f>((FR499*FR499)/(AR499*FP499*FP499)+(FO499*FO499)/(AR499*FM499*FM499))</f>
        <v>5.000000000000001E-3</v>
      </c>
      <c r="HE499" s="15">
        <v>7891.0500000000011</v>
      </c>
      <c r="HF499" s="15">
        <f>HE499*0.05</f>
        <v>394.55250000000007</v>
      </c>
      <c r="HG499" s="15">
        <f>HF499*SQRT(AR189)</f>
        <v>683.38497625331956</v>
      </c>
      <c r="HH499" s="15">
        <v>8488.2000000000007</v>
      </c>
      <c r="HI499" s="15">
        <f>HH499*0.05</f>
        <v>424.41000000000008</v>
      </c>
      <c r="HJ499" s="15">
        <f>HI499*SQRT(AR189)</f>
        <v>735.09968324030729</v>
      </c>
      <c r="HK499" s="15">
        <f t="shared" si="470"/>
        <v>1.075674339916741</v>
      </c>
      <c r="HL499" s="15">
        <f t="shared" si="471"/>
        <v>597.14999999999964</v>
      </c>
      <c r="HM499" s="15">
        <f t="shared" si="472"/>
        <v>7.2947757859452622E-2</v>
      </c>
      <c r="HN499" s="15">
        <f>((HJ499*HJ499)/(AR189*HH499*HH499)+(HG499*HG499)/(AR189*HE499*HE499))</f>
        <v>5.000000000000001E-3</v>
      </c>
      <c r="HP499" s="15" t="s">
        <v>766</v>
      </c>
      <c r="HV499" s="15">
        <f t="shared" si="473"/>
        <v>219.60921719986925</v>
      </c>
      <c r="HW499" s="15">
        <f t="shared" si="474"/>
        <v>7.2947757859452622E-2</v>
      </c>
      <c r="HX499" s="15">
        <f>BB499</f>
        <v>1602</v>
      </c>
      <c r="HY499" s="15">
        <f>AZ499</f>
        <v>2670</v>
      </c>
      <c r="HZ499" s="15">
        <f>BA499</f>
        <v>0.9112627986348123</v>
      </c>
      <c r="IA499" s="15">
        <f>BB499</f>
        <v>1602</v>
      </c>
    </row>
    <row r="500" spans="1:235" s="15" customFormat="1" x14ac:dyDescent="0.25">
      <c r="A500" s="31">
        <v>498</v>
      </c>
      <c r="B500" s="1">
        <v>87</v>
      </c>
      <c r="C500" s="1">
        <v>102</v>
      </c>
      <c r="D500" s="15" t="s">
        <v>458</v>
      </c>
      <c r="E500" s="1">
        <v>1</v>
      </c>
      <c r="F500" s="15" t="s">
        <v>761</v>
      </c>
      <c r="G500" s="15" t="s">
        <v>1327</v>
      </c>
      <c r="H500" s="15" t="s">
        <v>839</v>
      </c>
      <c r="I500" s="1">
        <v>2014</v>
      </c>
      <c r="J500" s="15" t="s">
        <v>1080</v>
      </c>
      <c r="K500" s="1">
        <v>2014</v>
      </c>
      <c r="L500" s="15" t="s">
        <v>1330</v>
      </c>
      <c r="M500" s="15" t="s">
        <v>480</v>
      </c>
      <c r="N500" s="15" t="s">
        <v>520</v>
      </c>
      <c r="O500" s="31">
        <v>2</v>
      </c>
      <c r="P500" s="15">
        <v>26.97</v>
      </c>
      <c r="Q500" s="15">
        <v>112.37</v>
      </c>
      <c r="U500" s="15" t="s">
        <v>549</v>
      </c>
      <c r="V500" s="31">
        <v>1</v>
      </c>
      <c r="W500" s="15" t="s">
        <v>1158</v>
      </c>
      <c r="X500" s="15" t="s">
        <v>689</v>
      </c>
      <c r="Y500" s="1">
        <v>1</v>
      </c>
      <c r="Z500" s="15">
        <v>5.2</v>
      </c>
      <c r="AA500" s="15" t="s">
        <v>574</v>
      </c>
      <c r="AB500" s="15">
        <f t="shared" si="436"/>
        <v>5.2</v>
      </c>
      <c r="AC500" s="1">
        <v>3</v>
      </c>
      <c r="AM500" s="1"/>
      <c r="AP500" s="15" t="s">
        <v>1334</v>
      </c>
      <c r="AQ500" s="61">
        <v>3</v>
      </c>
      <c r="AR500" s="1">
        <v>3</v>
      </c>
      <c r="AT500" s="15" t="s">
        <v>545</v>
      </c>
      <c r="AU500" s="15">
        <v>80</v>
      </c>
      <c r="AW500" s="15">
        <v>375</v>
      </c>
      <c r="AX500" s="15">
        <f t="shared" si="488"/>
        <v>667.5</v>
      </c>
      <c r="AY500" s="15" t="s">
        <v>766</v>
      </c>
      <c r="AZ500" s="15">
        <f t="shared" si="476"/>
        <v>667.5</v>
      </c>
      <c r="BA500" s="15">
        <f t="shared" si="477"/>
        <v>0.22781569965870307</v>
      </c>
      <c r="BB500" s="15">
        <f t="shared" si="478"/>
        <v>400.5</v>
      </c>
      <c r="FK500" s="16">
        <f t="shared" si="479"/>
        <v>5.3</v>
      </c>
      <c r="FL500" s="16">
        <f t="shared" si="480"/>
        <v>5.48</v>
      </c>
      <c r="FM500" s="15">
        <v>5.3</v>
      </c>
      <c r="FN500" s="15">
        <f t="shared" si="481"/>
        <v>0.26500000000000001</v>
      </c>
      <c r="FO500" s="15">
        <f>FN500*SQRT(AR500)</f>
        <v>0.45899346400575247</v>
      </c>
      <c r="FP500" s="15">
        <v>5.48</v>
      </c>
      <c r="FQ500" s="15">
        <f t="shared" si="482"/>
        <v>0.27400000000000002</v>
      </c>
      <c r="FR500" s="15">
        <f>FQ500*SQRT(AR500)</f>
        <v>0.47458192127387239</v>
      </c>
      <c r="FS500" s="15">
        <f t="shared" si="483"/>
        <v>1.0339622641509436</v>
      </c>
      <c r="FT500" s="15">
        <f t="shared" si="484"/>
        <v>0.1800000000000006</v>
      </c>
      <c r="FU500" s="15">
        <f t="shared" si="485"/>
        <v>3.3398280401848224E-2</v>
      </c>
      <c r="FV500" s="15">
        <f>((FR500*FR500)/(AR500*FP500*FP500)+(FO500*FO500)/(AR500*FM500*FM500))</f>
        <v>4.9999999999999992E-3</v>
      </c>
      <c r="HE500" s="15">
        <v>6180</v>
      </c>
      <c r="HF500" s="15">
        <v>309</v>
      </c>
      <c r="HG500" s="15">
        <f>HF500*SQRT(AR190)</f>
        <v>535.2036995387831</v>
      </c>
      <c r="HH500" s="15">
        <v>6568.5</v>
      </c>
      <c r="HI500" s="15">
        <v>328.42500000000001</v>
      </c>
      <c r="HJ500" s="15">
        <f>HI500*SQRT(AR190)</f>
        <v>568.84878647580854</v>
      </c>
      <c r="HK500" s="15">
        <f t="shared" si="470"/>
        <v>1.062864077669903</v>
      </c>
      <c r="HL500" s="15">
        <f t="shared" si="471"/>
        <v>388.5</v>
      </c>
      <c r="HM500" s="15">
        <f t="shared" si="472"/>
        <v>6.0967224457826319E-2</v>
      </c>
      <c r="HN500" s="15">
        <f>((HJ500*HJ500)/(AR190*HH500*HH500)+(HG500*HG500)/(AR190*HE500*HE500))</f>
        <v>5.0000000000000001E-3</v>
      </c>
      <c r="HP500" s="15" t="s">
        <v>766</v>
      </c>
      <c r="HV500" s="15">
        <f t="shared" si="473"/>
        <v>65.691033758153651</v>
      </c>
      <c r="HW500" s="15">
        <f t="shared" si="474"/>
        <v>6.0967224457826319E-2</v>
      </c>
      <c r="HX500" s="15">
        <f>BB500</f>
        <v>400.5</v>
      </c>
      <c r="HY500" s="15">
        <f>AZ500</f>
        <v>667.5</v>
      </c>
      <c r="HZ500" s="15">
        <f>BA500</f>
        <v>0.22781569965870307</v>
      </c>
      <c r="IA500" s="15">
        <f>BB500</f>
        <v>400.5</v>
      </c>
    </row>
    <row r="501" spans="1:235" s="15" customFormat="1" x14ac:dyDescent="0.25">
      <c r="A501" s="31">
        <v>499</v>
      </c>
      <c r="B501" s="1">
        <v>87</v>
      </c>
      <c r="C501" s="1">
        <v>102</v>
      </c>
      <c r="D501" s="15" t="s">
        <v>459</v>
      </c>
      <c r="E501" s="1">
        <v>1</v>
      </c>
      <c r="F501" s="15" t="s">
        <v>761</v>
      </c>
      <c r="G501" s="15" t="s">
        <v>1327</v>
      </c>
      <c r="H501" s="15" t="s">
        <v>839</v>
      </c>
      <c r="I501" s="1">
        <v>2014</v>
      </c>
      <c r="J501" s="15" t="s">
        <v>1080</v>
      </c>
      <c r="K501" s="1">
        <v>2014</v>
      </c>
      <c r="L501" s="15" t="s">
        <v>1330</v>
      </c>
      <c r="M501" s="15" t="s">
        <v>480</v>
      </c>
      <c r="N501" s="15" t="s">
        <v>520</v>
      </c>
      <c r="O501" s="31">
        <v>2</v>
      </c>
      <c r="P501" s="15">
        <v>26.97</v>
      </c>
      <c r="Q501" s="15">
        <v>112.37</v>
      </c>
      <c r="U501" s="15" t="s">
        <v>549</v>
      </c>
      <c r="V501" s="31">
        <v>1</v>
      </c>
      <c r="W501" s="15" t="s">
        <v>1158</v>
      </c>
      <c r="X501" s="15" t="s">
        <v>689</v>
      </c>
      <c r="Y501" s="1">
        <v>1</v>
      </c>
      <c r="Z501" s="15">
        <v>5.2</v>
      </c>
      <c r="AA501" s="15" t="s">
        <v>574</v>
      </c>
      <c r="AB501" s="15">
        <f t="shared" si="436"/>
        <v>5.2</v>
      </c>
      <c r="AC501" s="1">
        <v>3</v>
      </c>
      <c r="AM501" s="1"/>
      <c r="AP501" s="15" t="s">
        <v>1334</v>
      </c>
      <c r="AQ501" s="61">
        <v>3</v>
      </c>
      <c r="AR501" s="1">
        <v>3</v>
      </c>
      <c r="AT501" s="15" t="s">
        <v>545</v>
      </c>
      <c r="AU501" s="15">
        <v>80</v>
      </c>
      <c r="AW501" s="15">
        <v>750</v>
      </c>
      <c r="AX501" s="15">
        <f t="shared" si="488"/>
        <v>1335</v>
      </c>
      <c r="AY501" s="15" t="s">
        <v>766</v>
      </c>
      <c r="AZ501" s="15">
        <f t="shared" si="476"/>
        <v>1335</v>
      </c>
      <c r="BA501" s="15">
        <f t="shared" si="477"/>
        <v>0.45563139931740615</v>
      </c>
      <c r="BB501" s="15">
        <f t="shared" si="478"/>
        <v>801</v>
      </c>
      <c r="FK501" s="16">
        <f t="shared" si="479"/>
        <v>5.3</v>
      </c>
      <c r="FL501" s="16">
        <f t="shared" si="480"/>
        <v>5.69</v>
      </c>
      <c r="FM501" s="15">
        <v>5.3</v>
      </c>
      <c r="FN501" s="15">
        <f t="shared" si="481"/>
        <v>0.26500000000000001</v>
      </c>
      <c r="FO501" s="15">
        <f>FN501*SQRT(AR501)</f>
        <v>0.45899346400575247</v>
      </c>
      <c r="FP501" s="15">
        <v>5.69</v>
      </c>
      <c r="FQ501" s="15">
        <f t="shared" si="482"/>
        <v>0.28450000000000003</v>
      </c>
      <c r="FR501" s="15">
        <f>FQ501*SQRT(AR501)</f>
        <v>0.49276845475334563</v>
      </c>
      <c r="FS501" s="15">
        <f t="shared" si="483"/>
        <v>1.0735849056603775</v>
      </c>
      <c r="FT501" s="15">
        <f t="shared" si="484"/>
        <v>0.39000000000000057</v>
      </c>
      <c r="FU501" s="15">
        <f t="shared" si="485"/>
        <v>7.1003427580163647E-2</v>
      </c>
      <c r="FV501" s="15">
        <f>((FR501*FR501)/(AR501*FP501*FP501)+(FO501*FO501)/(AR501*FM501*FM501))</f>
        <v>5.0000000000000001E-3</v>
      </c>
      <c r="HE501" s="15">
        <v>6180</v>
      </c>
      <c r="HF501" s="15">
        <v>309</v>
      </c>
      <c r="HG501" s="15">
        <f>HF501*SQRT(AR191)</f>
        <v>535.2036995387831</v>
      </c>
      <c r="HH501" s="15">
        <v>6781.95</v>
      </c>
      <c r="HI501" s="15">
        <v>339.09750000000003</v>
      </c>
      <c r="HJ501" s="15">
        <f>HI501*SQRT(AR191)</f>
        <v>587.33409871958736</v>
      </c>
      <c r="HK501" s="15">
        <f t="shared" si="470"/>
        <v>1.0974029126213591</v>
      </c>
      <c r="HL501" s="15">
        <f t="shared" si="471"/>
        <v>601.94999999999982</v>
      </c>
      <c r="HM501" s="15">
        <f t="shared" si="472"/>
        <v>9.2946399750166719E-2</v>
      </c>
      <c r="HN501" s="15">
        <f>((HJ501*HJ501)/(AR191*HH501*HH501)+(HG501*HG501)/(AR191*HE501*HE501))</f>
        <v>5.0000000000000001E-3</v>
      </c>
      <c r="HP501" s="15" t="s">
        <v>766</v>
      </c>
      <c r="HV501" s="15">
        <f t="shared" si="473"/>
        <v>86.178701074278379</v>
      </c>
      <c r="HW501" s="15">
        <f t="shared" si="474"/>
        <v>9.2946399750166719E-2</v>
      </c>
      <c r="HX501" s="15">
        <f>BB501</f>
        <v>801</v>
      </c>
      <c r="HY501" s="15">
        <f>AZ501</f>
        <v>1335</v>
      </c>
      <c r="HZ501" s="15">
        <f>BA501</f>
        <v>0.45563139931740615</v>
      </c>
      <c r="IA501" s="15">
        <f>BB501</f>
        <v>801</v>
      </c>
    </row>
    <row r="502" spans="1:235" s="15" customFormat="1" x14ac:dyDescent="0.25">
      <c r="A502" s="31">
        <v>500</v>
      </c>
      <c r="B502" s="1">
        <v>87</v>
      </c>
      <c r="C502" s="1">
        <v>102</v>
      </c>
      <c r="D502" s="15" t="s">
        <v>460</v>
      </c>
      <c r="E502" s="1">
        <v>1</v>
      </c>
      <c r="F502" s="15" t="s">
        <v>761</v>
      </c>
      <c r="G502" s="15" t="s">
        <v>1327</v>
      </c>
      <c r="H502" s="15" t="s">
        <v>839</v>
      </c>
      <c r="I502" s="1">
        <v>2014</v>
      </c>
      <c r="J502" s="15" t="s">
        <v>1080</v>
      </c>
      <c r="K502" s="1">
        <v>2014</v>
      </c>
      <c r="L502" s="15" t="s">
        <v>1330</v>
      </c>
      <c r="M502" s="15" t="s">
        <v>480</v>
      </c>
      <c r="N502" s="15" t="s">
        <v>520</v>
      </c>
      <c r="O502" s="31">
        <v>2</v>
      </c>
      <c r="P502" s="15">
        <v>26.97</v>
      </c>
      <c r="Q502" s="15">
        <v>112.37</v>
      </c>
      <c r="U502" s="15" t="s">
        <v>549</v>
      </c>
      <c r="V502" s="31">
        <v>1</v>
      </c>
      <c r="W502" s="15" t="s">
        <v>1158</v>
      </c>
      <c r="X502" s="15" t="s">
        <v>689</v>
      </c>
      <c r="Y502" s="1">
        <v>1</v>
      </c>
      <c r="Z502" s="15">
        <v>5.2</v>
      </c>
      <c r="AA502" s="15" t="s">
        <v>574</v>
      </c>
      <c r="AB502" s="15">
        <f t="shared" si="436"/>
        <v>5.2</v>
      </c>
      <c r="AC502" s="1">
        <v>3</v>
      </c>
      <c r="AM502" s="1"/>
      <c r="AP502" s="15" t="s">
        <v>1334</v>
      </c>
      <c r="AQ502" s="61">
        <v>3</v>
      </c>
      <c r="AR502" s="1">
        <v>3</v>
      </c>
      <c r="AT502" s="15" t="s">
        <v>545</v>
      </c>
      <c r="AU502" s="15">
        <v>80</v>
      </c>
      <c r="AW502" s="15">
        <v>1125</v>
      </c>
      <c r="AX502" s="15">
        <f t="shared" si="488"/>
        <v>2002.5</v>
      </c>
      <c r="AY502" s="15" t="s">
        <v>766</v>
      </c>
      <c r="AZ502" s="15">
        <f t="shared" si="476"/>
        <v>2002.5</v>
      </c>
      <c r="BA502" s="15">
        <f t="shared" si="477"/>
        <v>0.68344709897610911</v>
      </c>
      <c r="BB502" s="15">
        <f t="shared" si="478"/>
        <v>1201.5</v>
      </c>
      <c r="FK502" s="16">
        <f t="shared" si="479"/>
        <v>5.3</v>
      </c>
      <c r="FL502" s="16">
        <f t="shared" si="480"/>
        <v>5.87</v>
      </c>
      <c r="FM502" s="15">
        <v>5.3</v>
      </c>
      <c r="FN502" s="15">
        <f t="shared" si="481"/>
        <v>0.26500000000000001</v>
      </c>
      <c r="FO502" s="15">
        <f>FN502*SQRT(AR502)</f>
        <v>0.45899346400575247</v>
      </c>
      <c r="FP502" s="15">
        <v>5.87</v>
      </c>
      <c r="FQ502" s="15">
        <f t="shared" si="482"/>
        <v>0.29350000000000004</v>
      </c>
      <c r="FR502" s="15">
        <f>FQ502*SQRT(AR502)</f>
        <v>0.50835691202146549</v>
      </c>
      <c r="FS502" s="15">
        <f t="shared" si="483"/>
        <v>1.1075471698113208</v>
      </c>
      <c r="FT502" s="15">
        <f t="shared" si="484"/>
        <v>0.57000000000000028</v>
      </c>
      <c r="FU502" s="15">
        <f t="shared" si="485"/>
        <v>0.10214781328192912</v>
      </c>
      <c r="FV502" s="15">
        <f>((FR502*FR502)/(AR502*FP502*FP502)+(FO502*FO502)/(AR502*FM502*FM502))</f>
        <v>5.0000000000000001E-3</v>
      </c>
      <c r="HE502" s="15">
        <v>6180</v>
      </c>
      <c r="HF502" s="15">
        <v>309</v>
      </c>
      <c r="HG502" s="15">
        <f>HF502*SQRT(AR192)</f>
        <v>535.2036995387831</v>
      </c>
      <c r="HH502" s="15">
        <v>6995.25</v>
      </c>
      <c r="HI502" s="15">
        <v>349.76250000000005</v>
      </c>
      <c r="HJ502" s="15">
        <f>HI502*SQRT(AR192)</f>
        <v>605.80642058230944</v>
      </c>
      <c r="HK502" s="15">
        <f t="shared" si="470"/>
        <v>1.1319174757281554</v>
      </c>
      <c r="HL502" s="15">
        <f t="shared" si="471"/>
        <v>815.25</v>
      </c>
      <c r="HM502" s="15">
        <f t="shared" si="472"/>
        <v>0.12391307582334576</v>
      </c>
      <c r="HN502" s="15">
        <f>((HJ502*HJ502)/(AR192*HH502*HH502)+(HG502*HG502)/(AR192*HE502*HE502))</f>
        <v>4.9999999999999992E-3</v>
      </c>
      <c r="HP502" s="15" t="s">
        <v>766</v>
      </c>
      <c r="HV502" s="15">
        <f t="shared" si="473"/>
        <v>96.963132584400924</v>
      </c>
      <c r="HW502" s="15">
        <f t="shared" si="474"/>
        <v>0.12391307582334576</v>
      </c>
      <c r="HX502" s="15">
        <f>BB502</f>
        <v>1201.5</v>
      </c>
      <c r="HY502" s="15">
        <f>AZ502</f>
        <v>2002.5</v>
      </c>
      <c r="HZ502" s="15">
        <f>BA502</f>
        <v>0.68344709897610911</v>
      </c>
      <c r="IA502" s="15">
        <f>BB502</f>
        <v>1201.5</v>
      </c>
    </row>
    <row r="503" spans="1:235" s="15" customFormat="1" x14ac:dyDescent="0.25">
      <c r="A503" s="31">
        <v>501</v>
      </c>
      <c r="B503" s="1">
        <v>87</v>
      </c>
      <c r="C503" s="1">
        <v>102</v>
      </c>
      <c r="D503" s="15" t="s">
        <v>461</v>
      </c>
      <c r="E503" s="1">
        <v>1</v>
      </c>
      <c r="F503" s="15" t="s">
        <v>761</v>
      </c>
      <c r="G503" s="15" t="s">
        <v>1327</v>
      </c>
      <c r="H503" s="15" t="s">
        <v>839</v>
      </c>
      <c r="I503" s="1">
        <v>2014</v>
      </c>
      <c r="J503" s="15" t="s">
        <v>1080</v>
      </c>
      <c r="K503" s="1">
        <v>2014</v>
      </c>
      <c r="L503" s="15" t="s">
        <v>1330</v>
      </c>
      <c r="M503" s="15" t="s">
        <v>480</v>
      </c>
      <c r="N503" s="15" t="s">
        <v>520</v>
      </c>
      <c r="O503" s="31">
        <v>2</v>
      </c>
      <c r="P503" s="15">
        <v>26.97</v>
      </c>
      <c r="Q503" s="15">
        <v>112.37</v>
      </c>
      <c r="U503" s="15" t="s">
        <v>549</v>
      </c>
      <c r="V503" s="31">
        <v>1</v>
      </c>
      <c r="W503" s="15" t="s">
        <v>1158</v>
      </c>
      <c r="X503" s="15" t="s">
        <v>689</v>
      </c>
      <c r="Y503" s="1">
        <v>1</v>
      </c>
      <c r="Z503" s="15">
        <v>5.2</v>
      </c>
      <c r="AA503" s="15" t="s">
        <v>574</v>
      </c>
      <c r="AB503" s="15">
        <f t="shared" si="436"/>
        <v>5.2</v>
      </c>
      <c r="AC503" s="1">
        <v>3</v>
      </c>
      <c r="AM503" s="1"/>
      <c r="AP503" s="15" t="s">
        <v>1334</v>
      </c>
      <c r="AQ503" s="61">
        <v>3</v>
      </c>
      <c r="AR503" s="1">
        <v>3</v>
      </c>
      <c r="AT503" s="15" t="s">
        <v>545</v>
      </c>
      <c r="AU503" s="15">
        <v>80</v>
      </c>
      <c r="AW503" s="15">
        <v>1500</v>
      </c>
      <c r="AX503" s="15">
        <f t="shared" si="488"/>
        <v>2670</v>
      </c>
      <c r="AY503" s="15" t="s">
        <v>766</v>
      </c>
      <c r="AZ503" s="15">
        <f t="shared" si="476"/>
        <v>2670</v>
      </c>
      <c r="BA503" s="15">
        <f t="shared" si="477"/>
        <v>0.9112627986348123</v>
      </c>
      <c r="BB503" s="15">
        <f t="shared" si="478"/>
        <v>1602</v>
      </c>
      <c r="FK503" s="16">
        <f t="shared" si="479"/>
        <v>5.3</v>
      </c>
      <c r="FL503" s="16">
        <f t="shared" si="480"/>
        <v>5.9</v>
      </c>
      <c r="FM503" s="15">
        <v>5.3</v>
      </c>
      <c r="FN503" s="15">
        <f t="shared" si="481"/>
        <v>0.26500000000000001</v>
      </c>
      <c r="FO503" s="15">
        <f>FN503*SQRT(AR503)</f>
        <v>0.45899346400575247</v>
      </c>
      <c r="FP503" s="15">
        <v>5.9</v>
      </c>
      <c r="FQ503" s="15">
        <f t="shared" si="482"/>
        <v>0.29500000000000004</v>
      </c>
      <c r="FR503" s="15">
        <f>FQ503*SQRT(AR503)</f>
        <v>0.51095498823281882</v>
      </c>
      <c r="FS503" s="15">
        <f t="shared" si="483"/>
        <v>1.1132075471698115</v>
      </c>
      <c r="FT503" s="15">
        <f t="shared" si="484"/>
        <v>0.60000000000000053</v>
      </c>
      <c r="FU503" s="15">
        <f t="shared" si="485"/>
        <v>0.10724553035359774</v>
      </c>
      <c r="FV503" s="15">
        <f>((FR503*FR503)/(AR503*FP503*FP503)+(FO503*FO503)/(AR503*FM503*FM503))</f>
        <v>4.9999999999999992E-3</v>
      </c>
      <c r="HE503" s="15">
        <v>6180</v>
      </c>
      <c r="HF503" s="15">
        <v>309</v>
      </c>
      <c r="HG503" s="15">
        <f>HF503*SQRT(AR193)</f>
        <v>535.2036995387831</v>
      </c>
      <c r="HH503" s="15">
        <v>6781.95</v>
      </c>
      <c r="HI503" s="15">
        <v>339.09750000000003</v>
      </c>
      <c r="HJ503" s="15">
        <f>HI503*SQRT(AR193)</f>
        <v>587.33409871958736</v>
      </c>
      <c r="HK503" s="15">
        <f t="shared" si="470"/>
        <v>1.0974029126213591</v>
      </c>
      <c r="HL503" s="15">
        <f t="shared" si="471"/>
        <v>601.94999999999982</v>
      </c>
      <c r="HM503" s="15">
        <f t="shared" si="472"/>
        <v>9.2946399750166719E-2</v>
      </c>
      <c r="HN503" s="15">
        <f>((HJ503*HJ503)/(AR193*HH503*HH503)+(HG503*HG503)/(AR193*HE503*HE503))</f>
        <v>5.0000000000000001E-3</v>
      </c>
      <c r="HP503" s="15" t="s">
        <v>766</v>
      </c>
      <c r="HV503" s="15">
        <f t="shared" si="473"/>
        <v>172.35740214855676</v>
      </c>
      <c r="HW503" s="15">
        <f t="shared" si="474"/>
        <v>9.2946399750166719E-2</v>
      </c>
      <c r="HX503" s="15">
        <f>BB503</f>
        <v>1602</v>
      </c>
      <c r="HY503" s="15">
        <f>AZ503</f>
        <v>2670</v>
      </c>
      <c r="HZ503" s="15">
        <f>BA503</f>
        <v>0.9112627986348123</v>
      </c>
      <c r="IA503" s="15">
        <f>BB503</f>
        <v>1602</v>
      </c>
    </row>
    <row r="504" spans="1:235" s="15" customFormat="1" x14ac:dyDescent="0.25">
      <c r="A504" s="31">
        <v>502</v>
      </c>
      <c r="B504" s="1">
        <v>87</v>
      </c>
      <c r="C504" s="1">
        <v>103</v>
      </c>
      <c r="D504" s="15" t="s">
        <v>462</v>
      </c>
      <c r="E504" s="1">
        <v>1</v>
      </c>
      <c r="F504" s="15" t="s">
        <v>761</v>
      </c>
      <c r="G504" s="15" t="s">
        <v>1327</v>
      </c>
      <c r="H504" s="15" t="s">
        <v>839</v>
      </c>
      <c r="I504" s="1">
        <v>2014</v>
      </c>
      <c r="J504" s="15" t="s">
        <v>1080</v>
      </c>
      <c r="K504" s="1">
        <v>2014</v>
      </c>
      <c r="L504" s="15" t="s">
        <v>1331</v>
      </c>
      <c r="M504" s="15" t="s">
        <v>480</v>
      </c>
      <c r="N504" s="15" t="s">
        <v>520</v>
      </c>
      <c r="O504" s="31">
        <v>2</v>
      </c>
      <c r="P504" s="15">
        <v>27.06</v>
      </c>
      <c r="Q504" s="15">
        <v>110.58</v>
      </c>
      <c r="U504" s="15" t="s">
        <v>549</v>
      </c>
      <c r="V504" s="31">
        <v>1</v>
      </c>
      <c r="W504" s="15" t="s">
        <v>1158</v>
      </c>
      <c r="X504" s="15" t="s">
        <v>689</v>
      </c>
      <c r="Y504" s="1">
        <v>1</v>
      </c>
      <c r="Z504" s="15">
        <v>5.3</v>
      </c>
      <c r="AA504" s="15" t="s">
        <v>574</v>
      </c>
      <c r="AB504" s="15">
        <f t="shared" si="436"/>
        <v>5.3</v>
      </c>
      <c r="AC504" s="1">
        <v>3</v>
      </c>
      <c r="AM504" s="1"/>
      <c r="AP504" s="15" t="s">
        <v>1334</v>
      </c>
      <c r="AQ504" s="61">
        <v>3</v>
      </c>
      <c r="AR504" s="1">
        <v>3</v>
      </c>
      <c r="AT504" s="15" t="s">
        <v>545</v>
      </c>
      <c r="AU504" s="15">
        <v>80</v>
      </c>
      <c r="AW504" s="15">
        <v>375</v>
      </c>
      <c r="AX504" s="15">
        <f t="shared" si="488"/>
        <v>667.5</v>
      </c>
      <c r="AY504" s="15" t="s">
        <v>766</v>
      </c>
      <c r="AZ504" s="15">
        <f t="shared" si="476"/>
        <v>667.5</v>
      </c>
      <c r="BA504" s="15">
        <f t="shared" si="477"/>
        <v>0.22781569965870307</v>
      </c>
      <c r="BB504" s="15">
        <f t="shared" si="478"/>
        <v>400.5</v>
      </c>
      <c r="FK504" s="16">
        <f t="shared" si="479"/>
        <v>5.31</v>
      </c>
      <c r="FL504" s="16">
        <f t="shared" si="480"/>
        <v>5.44</v>
      </c>
      <c r="FM504" s="15">
        <v>5.31</v>
      </c>
      <c r="FN504" s="15">
        <f t="shared" si="481"/>
        <v>0.26550000000000001</v>
      </c>
      <c r="FO504" s="15">
        <f>FN504*SQRT(AR504)</f>
        <v>0.45985948940953691</v>
      </c>
      <c r="FP504" s="15">
        <v>5.44</v>
      </c>
      <c r="FQ504" s="15">
        <f t="shared" si="482"/>
        <v>0.27200000000000002</v>
      </c>
      <c r="FR504" s="15">
        <f>FQ504*SQRT(AR504)</f>
        <v>0.47111781965873462</v>
      </c>
      <c r="FS504" s="15">
        <f t="shared" si="483"/>
        <v>1.0244821092278722</v>
      </c>
      <c r="FT504" s="15">
        <f t="shared" si="484"/>
        <v>0.13000000000000078</v>
      </c>
      <c r="FU504" s="15">
        <f t="shared" si="485"/>
        <v>2.4187225614003882E-2</v>
      </c>
      <c r="FV504" s="15">
        <f>((FR504*FR504)/(AR504*FP504*FP504)+(FO504*FO504)/(AR504*FM504*FM504))</f>
        <v>4.9999999999999992E-3</v>
      </c>
      <c r="GI504" s="15">
        <v>6.64</v>
      </c>
      <c r="GJ504" s="15">
        <f>GI504*0.05</f>
        <v>0.33200000000000002</v>
      </c>
      <c r="GK504" s="15">
        <f>GJ504*SQRT(AR151)</f>
        <v>0.57504086811286725</v>
      </c>
      <c r="GL504" s="15">
        <v>7.58</v>
      </c>
      <c r="GM504" s="15">
        <f>GL504*0.05</f>
        <v>0.379</v>
      </c>
      <c r="GN504" s="15">
        <f>GM504*SQRT(AR151)</f>
        <v>0.65644725606860443</v>
      </c>
      <c r="GO504" s="15">
        <f>GL504/GI504</f>
        <v>1.1415662650602409</v>
      </c>
      <c r="GP504" s="15">
        <f>GL504-GI504</f>
        <v>0.94000000000000039</v>
      </c>
      <c r="GQ504" s="15">
        <f>LN(GL504)-LN(GI504)</f>
        <v>0.13240123616593791</v>
      </c>
      <c r="GR504" s="15">
        <f>((GN504*GN504)/(AR151*GL504*GL504)+(GK504*GK504)/(AR151*GI504*GI504))</f>
        <v>5.0000000000000001E-3</v>
      </c>
      <c r="HE504" s="15">
        <v>6611.4</v>
      </c>
      <c r="HF504" s="15">
        <v>330.57</v>
      </c>
      <c r="HG504" s="15">
        <f>HF504*SQRT(AR194)</f>
        <v>572.56403545804369</v>
      </c>
      <c r="HH504" s="15">
        <v>6781.95</v>
      </c>
      <c r="HI504" s="15">
        <v>339.09750000000003</v>
      </c>
      <c r="HJ504" s="15">
        <f>HI504*SQRT(AR194)</f>
        <v>587.33409871958736</v>
      </c>
      <c r="HK504" s="15">
        <f t="shared" si="470"/>
        <v>1.0257963517560578</v>
      </c>
      <c r="HL504" s="15">
        <f t="shared" si="471"/>
        <v>170.55000000000018</v>
      </c>
      <c r="HM504" s="15">
        <f t="shared" si="472"/>
        <v>2.5469239480116812E-2</v>
      </c>
      <c r="HN504" s="15">
        <f>((HJ504*HJ504)/(AR194*HH504*HH504)+(HG504*HG504)/(AR194*HE504*HE504))</f>
        <v>5.0000000000000001E-3</v>
      </c>
      <c r="HP504" s="15" t="s">
        <v>766</v>
      </c>
      <c r="HV504" s="15">
        <f t="shared" si="473"/>
        <v>157.24851160658338</v>
      </c>
      <c r="HW504" s="15">
        <f t="shared" si="474"/>
        <v>2.5469239480116812E-2</v>
      </c>
      <c r="HX504" s="15">
        <f>BB504</f>
        <v>400.5</v>
      </c>
      <c r="HY504" s="15">
        <f>AZ504</f>
        <v>667.5</v>
      </c>
      <c r="HZ504" s="15">
        <f>BA504</f>
        <v>0.22781569965870307</v>
      </c>
      <c r="IA504" s="15">
        <f>BB504</f>
        <v>400.5</v>
      </c>
    </row>
    <row r="505" spans="1:235" s="15" customFormat="1" x14ac:dyDescent="0.25">
      <c r="A505" s="31">
        <v>503</v>
      </c>
      <c r="B505" s="1">
        <v>87</v>
      </c>
      <c r="C505" s="1">
        <v>103</v>
      </c>
      <c r="D505" s="15" t="s">
        <v>463</v>
      </c>
      <c r="E505" s="1">
        <v>1</v>
      </c>
      <c r="F505" s="15" t="s">
        <v>761</v>
      </c>
      <c r="G505" s="15" t="s">
        <v>1327</v>
      </c>
      <c r="H505" s="15" t="s">
        <v>839</v>
      </c>
      <c r="I505" s="1">
        <v>2014</v>
      </c>
      <c r="J505" s="15" t="s">
        <v>1080</v>
      </c>
      <c r="K505" s="1">
        <v>2014</v>
      </c>
      <c r="L505" s="15" t="s">
        <v>1331</v>
      </c>
      <c r="M505" s="15" t="s">
        <v>480</v>
      </c>
      <c r="N505" s="15" t="s">
        <v>520</v>
      </c>
      <c r="O505" s="31">
        <v>2</v>
      </c>
      <c r="P505" s="15">
        <v>27.06</v>
      </c>
      <c r="Q505" s="15">
        <v>110.58</v>
      </c>
      <c r="U505" s="15" t="s">
        <v>549</v>
      </c>
      <c r="V505" s="31">
        <v>1</v>
      </c>
      <c r="W505" s="15" t="s">
        <v>1158</v>
      </c>
      <c r="X505" s="15" t="s">
        <v>689</v>
      </c>
      <c r="Y505" s="1">
        <v>1</v>
      </c>
      <c r="Z505" s="15">
        <v>5.3</v>
      </c>
      <c r="AA505" s="15" t="s">
        <v>574</v>
      </c>
      <c r="AB505" s="15">
        <f t="shared" si="436"/>
        <v>5.3</v>
      </c>
      <c r="AC505" s="1">
        <v>3</v>
      </c>
      <c r="AM505" s="1"/>
      <c r="AP505" s="15" t="s">
        <v>1334</v>
      </c>
      <c r="AQ505" s="61">
        <v>3</v>
      </c>
      <c r="AR505" s="1">
        <v>3</v>
      </c>
      <c r="AT505" s="15" t="s">
        <v>545</v>
      </c>
      <c r="AU505" s="15">
        <v>80</v>
      </c>
      <c r="AW505" s="15">
        <v>750</v>
      </c>
      <c r="AX505" s="15">
        <f t="shared" si="488"/>
        <v>1335</v>
      </c>
      <c r="AY505" s="15" t="s">
        <v>766</v>
      </c>
      <c r="AZ505" s="15">
        <f t="shared" si="476"/>
        <v>1335</v>
      </c>
      <c r="BA505" s="15">
        <f t="shared" si="477"/>
        <v>0.45563139931740615</v>
      </c>
      <c r="BB505" s="15">
        <f t="shared" si="478"/>
        <v>801</v>
      </c>
      <c r="FK505" s="16">
        <f t="shared" si="479"/>
        <v>5.31</v>
      </c>
      <c r="FL505" s="16">
        <f t="shared" si="480"/>
        <v>5.46</v>
      </c>
      <c r="FM505" s="15">
        <v>5.31</v>
      </c>
      <c r="FN505" s="15">
        <f t="shared" si="481"/>
        <v>0.26550000000000001</v>
      </c>
      <c r="FO505" s="15">
        <f>FN505*SQRT(AR505)</f>
        <v>0.45985948940953691</v>
      </c>
      <c r="FP505" s="15">
        <v>5.46</v>
      </c>
      <c r="FQ505" s="15">
        <f t="shared" si="482"/>
        <v>0.27300000000000002</v>
      </c>
      <c r="FR505" s="15">
        <f>FQ505*SQRT(AR505)</f>
        <v>0.4728498704663035</v>
      </c>
      <c r="FS505" s="15">
        <f t="shared" si="483"/>
        <v>1.0282485875706215</v>
      </c>
      <c r="FT505" s="15">
        <f t="shared" si="484"/>
        <v>0.15000000000000036</v>
      </c>
      <c r="FU505" s="15">
        <f t="shared" si="485"/>
        <v>2.7856954502966103E-2</v>
      </c>
      <c r="FV505" s="15">
        <f>((FR505*FR505)/(AR505*FP505*FP505)+(FO505*FO505)/(AR505*FM505*FM505))</f>
        <v>5.0000000000000001E-3</v>
      </c>
      <c r="GI505" s="15">
        <v>6.64</v>
      </c>
      <c r="GJ505" s="15">
        <f>GI505*0.05</f>
        <v>0.33200000000000002</v>
      </c>
      <c r="GK505" s="15">
        <f>GJ505*SQRT(AR152)</f>
        <v>0.57504086811286725</v>
      </c>
      <c r="GL505" s="15">
        <v>7.91</v>
      </c>
      <c r="GM505" s="15">
        <f>GL505*0.05</f>
        <v>0.39550000000000002</v>
      </c>
      <c r="GN505" s="15">
        <f>GM505*SQRT(AR152)</f>
        <v>0.68502609439349094</v>
      </c>
      <c r="GO505" s="15">
        <f>GL505/GI505</f>
        <v>1.191265060240964</v>
      </c>
      <c r="GP505" s="15">
        <f>GL505-GI505</f>
        <v>1.2700000000000005</v>
      </c>
      <c r="GQ505" s="15">
        <f>LN(GL505)-LN(GI505)</f>
        <v>0.17501581829122004</v>
      </c>
      <c r="GR505" s="15">
        <f>((GN505*GN505)/(AR152*GL505*GL505)+(GK505*GK505)/(AR152*GI505*GI505))</f>
        <v>5.0000000000000001E-3</v>
      </c>
      <c r="HE505" s="15">
        <v>6611.4</v>
      </c>
      <c r="HF505" s="15">
        <v>330.57</v>
      </c>
      <c r="HG505" s="15">
        <f>HF505*SQRT(AR195)</f>
        <v>572.56403545804369</v>
      </c>
      <c r="HH505" s="15">
        <v>7037.85</v>
      </c>
      <c r="HI505" s="15">
        <v>351.89250000000004</v>
      </c>
      <c r="HJ505" s="15">
        <f>HI505*SQRT(AR195)</f>
        <v>609.49568880243123</v>
      </c>
      <c r="HK505" s="15">
        <f t="shared" si="470"/>
        <v>1.0645022234322534</v>
      </c>
      <c r="HL505" s="15">
        <f t="shared" si="471"/>
        <v>426.45000000000073</v>
      </c>
      <c r="HM505" s="15">
        <f t="shared" si="472"/>
        <v>6.2507294059646057E-2</v>
      </c>
      <c r="HN505" s="15">
        <f>((HJ505*HJ505)/(AR195*HH505*HH505)+(HG505*HG505)/(AR195*HE505*HE505))</f>
        <v>5.0000000000000001E-3</v>
      </c>
      <c r="HP505" s="15" t="s">
        <v>766</v>
      </c>
      <c r="HV505" s="15">
        <f t="shared" si="473"/>
        <v>128.14504483839363</v>
      </c>
      <c r="HW505" s="15">
        <f t="shared" si="474"/>
        <v>6.2507294059646057E-2</v>
      </c>
      <c r="HX505" s="15">
        <f>BB505</f>
        <v>801</v>
      </c>
      <c r="HY505" s="15">
        <f>AZ505</f>
        <v>1335</v>
      </c>
      <c r="HZ505" s="15">
        <f>BA505</f>
        <v>0.45563139931740615</v>
      </c>
      <c r="IA505" s="15">
        <f>BB505</f>
        <v>801</v>
      </c>
    </row>
    <row r="506" spans="1:235" s="15" customFormat="1" x14ac:dyDescent="0.25">
      <c r="A506" s="31">
        <v>504</v>
      </c>
      <c r="B506" s="1">
        <v>87</v>
      </c>
      <c r="C506" s="1">
        <v>103</v>
      </c>
      <c r="D506" s="15" t="s">
        <v>464</v>
      </c>
      <c r="E506" s="1">
        <v>1</v>
      </c>
      <c r="F506" s="15" t="s">
        <v>761</v>
      </c>
      <c r="G506" s="15" t="s">
        <v>1327</v>
      </c>
      <c r="H506" s="15" t="s">
        <v>839</v>
      </c>
      <c r="I506" s="1">
        <v>2014</v>
      </c>
      <c r="J506" s="15" t="s">
        <v>1080</v>
      </c>
      <c r="K506" s="1">
        <v>2014</v>
      </c>
      <c r="L506" s="15" t="s">
        <v>1331</v>
      </c>
      <c r="M506" s="15" t="s">
        <v>480</v>
      </c>
      <c r="N506" s="15" t="s">
        <v>520</v>
      </c>
      <c r="O506" s="31">
        <v>2</v>
      </c>
      <c r="P506" s="15">
        <v>27.06</v>
      </c>
      <c r="Q506" s="15">
        <v>110.58</v>
      </c>
      <c r="U506" s="15" t="s">
        <v>549</v>
      </c>
      <c r="V506" s="31">
        <v>1</v>
      </c>
      <c r="W506" s="15" t="s">
        <v>1158</v>
      </c>
      <c r="X506" s="15" t="s">
        <v>689</v>
      </c>
      <c r="Y506" s="1">
        <v>1</v>
      </c>
      <c r="Z506" s="15">
        <v>5.3</v>
      </c>
      <c r="AA506" s="15" t="s">
        <v>574</v>
      </c>
      <c r="AB506" s="15">
        <f t="shared" si="436"/>
        <v>5.3</v>
      </c>
      <c r="AC506" s="1">
        <v>3</v>
      </c>
      <c r="AM506" s="1"/>
      <c r="AP506" s="15" t="s">
        <v>1334</v>
      </c>
      <c r="AQ506" s="61">
        <v>3</v>
      </c>
      <c r="AR506" s="1">
        <v>3</v>
      </c>
      <c r="AT506" s="15" t="s">
        <v>545</v>
      </c>
      <c r="AU506" s="15">
        <v>80</v>
      </c>
      <c r="AW506" s="15">
        <v>1125</v>
      </c>
      <c r="AX506" s="15">
        <f t="shared" si="488"/>
        <v>2002.5</v>
      </c>
      <c r="AY506" s="15" t="s">
        <v>766</v>
      </c>
      <c r="AZ506" s="15">
        <f t="shared" si="476"/>
        <v>2002.5</v>
      </c>
      <c r="BA506" s="15">
        <f t="shared" si="477"/>
        <v>0.68344709897610911</v>
      </c>
      <c r="BB506" s="15">
        <f t="shared" si="478"/>
        <v>1201.5</v>
      </c>
      <c r="FK506" s="16">
        <f t="shared" si="479"/>
        <v>5.31</v>
      </c>
      <c r="FL506" s="16">
        <f t="shared" si="480"/>
        <v>5.47</v>
      </c>
      <c r="FM506" s="15">
        <v>5.31</v>
      </c>
      <c r="FN506" s="15">
        <f t="shared" si="481"/>
        <v>0.26550000000000001</v>
      </c>
      <c r="FO506" s="15">
        <f>FN506*SQRT(AR506)</f>
        <v>0.45985948940953691</v>
      </c>
      <c r="FP506" s="15">
        <v>5.47</v>
      </c>
      <c r="FQ506" s="15">
        <f t="shared" si="482"/>
        <v>0.27350000000000002</v>
      </c>
      <c r="FR506" s="15">
        <f>FQ506*SQRT(AR506)</f>
        <v>0.47371589587008794</v>
      </c>
      <c r="FS506" s="15">
        <f t="shared" si="483"/>
        <v>1.0301318267419963</v>
      </c>
      <c r="FT506" s="15">
        <f t="shared" si="484"/>
        <v>0.16000000000000014</v>
      </c>
      <c r="FU506" s="15">
        <f t="shared" si="485"/>
        <v>2.968678118004231E-2</v>
      </c>
      <c r="FV506" s="15">
        <f>((FR506*FR506)/(AR506*FP506*FP506)+(FO506*FO506)/(AR506*FM506*FM506))</f>
        <v>5.000000000000001E-3</v>
      </c>
      <c r="GI506" s="15">
        <v>6.64</v>
      </c>
      <c r="GJ506" s="15">
        <f>GI506*0.05</f>
        <v>0.33200000000000002</v>
      </c>
      <c r="GK506" s="15">
        <f>GJ506*SQRT(AR153)</f>
        <v>0.57504086811286725</v>
      </c>
      <c r="GL506" s="15">
        <v>7.68</v>
      </c>
      <c r="GM506" s="15">
        <f>GL506*0.05</f>
        <v>0.38400000000000001</v>
      </c>
      <c r="GN506" s="15">
        <f>GM506*SQRT(AR153)</f>
        <v>0.66510751010644886</v>
      </c>
      <c r="GO506" s="15">
        <f>GL506/GI506</f>
        <v>1.1566265060240963</v>
      </c>
      <c r="GP506" s="15">
        <f>GL506-GI506</f>
        <v>1.04</v>
      </c>
      <c r="GQ506" s="15">
        <f>LN(GL506)-LN(GI506)</f>
        <v>0.14550758367123851</v>
      </c>
      <c r="GR506" s="15">
        <f>((GN506*GN506)/(AR153*GL506*GL506)+(GK506*GK506)/(AR153*GI506*GI506))</f>
        <v>5.000000000000001E-3</v>
      </c>
      <c r="HE506" s="15">
        <v>6611.4</v>
      </c>
      <c r="HF506" s="15">
        <v>330.57</v>
      </c>
      <c r="HG506" s="15">
        <f>HF506*SQRT(AR196)</f>
        <v>572.56403545804369</v>
      </c>
      <c r="HH506" s="15">
        <v>7165.9500000000007</v>
      </c>
      <c r="HI506" s="15">
        <v>358.29750000000001</v>
      </c>
      <c r="HJ506" s="15">
        <f>HI506*SQRT(AR196)</f>
        <v>620.58947422490985</v>
      </c>
      <c r="HK506" s="15">
        <f t="shared" si="470"/>
        <v>1.0838778473545696</v>
      </c>
      <c r="HL506" s="15">
        <f t="shared" si="471"/>
        <v>554.55000000000109</v>
      </c>
      <c r="HM506" s="15">
        <f t="shared" si="472"/>
        <v>8.0545209725524813E-2</v>
      </c>
      <c r="HN506" s="15">
        <f>((HJ506*HJ506)/(AR196*HH506*HH506)+(HG506*HG506)/(AR196*HE506*HE506))</f>
        <v>4.9999999999999992E-3</v>
      </c>
      <c r="HP506" s="15" t="s">
        <v>766</v>
      </c>
      <c r="HV506" s="15">
        <f t="shared" si="473"/>
        <v>149.17088230254419</v>
      </c>
      <c r="HW506" s="15">
        <f t="shared" si="474"/>
        <v>8.0545209725524813E-2</v>
      </c>
      <c r="HX506" s="15">
        <f>BB506</f>
        <v>1201.5</v>
      </c>
      <c r="HY506" s="15">
        <f>AZ506</f>
        <v>2002.5</v>
      </c>
      <c r="HZ506" s="15">
        <f>BA506</f>
        <v>0.68344709897610911</v>
      </c>
      <c r="IA506" s="15">
        <f>BB506</f>
        <v>1201.5</v>
      </c>
    </row>
    <row r="507" spans="1:235" s="15" customFormat="1" x14ac:dyDescent="0.25">
      <c r="A507" s="31">
        <v>505</v>
      </c>
      <c r="B507" s="1">
        <v>87</v>
      </c>
      <c r="C507" s="1">
        <v>103</v>
      </c>
      <c r="D507" s="15" t="s">
        <v>465</v>
      </c>
      <c r="E507" s="1">
        <v>1</v>
      </c>
      <c r="F507" s="15" t="s">
        <v>761</v>
      </c>
      <c r="G507" s="15" t="s">
        <v>1327</v>
      </c>
      <c r="H507" s="15" t="s">
        <v>839</v>
      </c>
      <c r="I507" s="1">
        <v>2014</v>
      </c>
      <c r="J507" s="15" t="s">
        <v>1080</v>
      </c>
      <c r="K507" s="1">
        <v>2014</v>
      </c>
      <c r="L507" s="15" t="s">
        <v>1331</v>
      </c>
      <c r="M507" s="15" t="s">
        <v>480</v>
      </c>
      <c r="N507" s="15" t="s">
        <v>520</v>
      </c>
      <c r="O507" s="31">
        <v>2</v>
      </c>
      <c r="P507" s="15">
        <v>27.06</v>
      </c>
      <c r="Q507" s="15">
        <v>110.58</v>
      </c>
      <c r="U507" s="15" t="s">
        <v>549</v>
      </c>
      <c r="V507" s="31">
        <v>1</v>
      </c>
      <c r="W507" s="15" t="s">
        <v>1158</v>
      </c>
      <c r="X507" s="15" t="s">
        <v>689</v>
      </c>
      <c r="Y507" s="1">
        <v>1</v>
      </c>
      <c r="Z507" s="15">
        <v>5.3</v>
      </c>
      <c r="AA507" s="15" t="s">
        <v>574</v>
      </c>
      <c r="AB507" s="15">
        <f t="shared" si="436"/>
        <v>5.3</v>
      </c>
      <c r="AC507" s="1">
        <v>3</v>
      </c>
      <c r="AM507" s="1"/>
      <c r="AP507" s="15" t="s">
        <v>1334</v>
      </c>
      <c r="AQ507" s="61">
        <v>3</v>
      </c>
      <c r="AR507" s="1">
        <v>3</v>
      </c>
      <c r="AT507" s="15" t="s">
        <v>545</v>
      </c>
      <c r="AU507" s="15">
        <v>80</v>
      </c>
      <c r="AW507" s="15">
        <v>1500</v>
      </c>
      <c r="AX507" s="15">
        <f t="shared" si="488"/>
        <v>2670</v>
      </c>
      <c r="AY507" s="15" t="s">
        <v>766</v>
      </c>
      <c r="AZ507" s="15">
        <f t="shared" si="476"/>
        <v>2670</v>
      </c>
      <c r="BA507" s="15">
        <f t="shared" si="477"/>
        <v>0.9112627986348123</v>
      </c>
      <c r="BB507" s="15">
        <f t="shared" si="478"/>
        <v>1602</v>
      </c>
      <c r="FK507" s="16">
        <f t="shared" si="479"/>
        <v>5.31</v>
      </c>
      <c r="FL507" s="16">
        <f t="shared" si="480"/>
        <v>5.51</v>
      </c>
      <c r="FM507" s="15">
        <v>5.31</v>
      </c>
      <c r="FN507" s="15">
        <f t="shared" si="481"/>
        <v>0.26550000000000001</v>
      </c>
      <c r="FO507" s="15">
        <f>FN507*SQRT(AR507)</f>
        <v>0.45985948940953691</v>
      </c>
      <c r="FP507" s="15">
        <v>5.51</v>
      </c>
      <c r="FQ507" s="15">
        <f t="shared" si="482"/>
        <v>0.27550000000000002</v>
      </c>
      <c r="FR507" s="15">
        <f>FQ507*SQRT(AR507)</f>
        <v>0.47717999748522572</v>
      </c>
      <c r="FS507" s="15">
        <f t="shared" si="483"/>
        <v>1.0376647834274952</v>
      </c>
      <c r="FT507" s="15">
        <f t="shared" si="484"/>
        <v>0.20000000000000018</v>
      </c>
      <c r="FU507" s="15">
        <f t="shared" si="485"/>
        <v>3.697278791097558E-2</v>
      </c>
      <c r="FV507" s="15">
        <f>((FR507*FR507)/(AR507*FP507*FP507)+(FO507*FO507)/(AR507*FM507*FM507))</f>
        <v>5.0000000000000001E-3</v>
      </c>
      <c r="GI507" s="15">
        <v>6.64</v>
      </c>
      <c r="GJ507" s="15">
        <f>GI507*0.05</f>
        <v>0.33200000000000002</v>
      </c>
      <c r="GK507" s="15">
        <f>GJ507*SQRT(AR154)</f>
        <v>0.57504086811286725</v>
      </c>
      <c r="GL507" s="15">
        <v>7.73</v>
      </c>
      <c r="GM507" s="15">
        <f>GL507*0.05</f>
        <v>0.38650000000000007</v>
      </c>
      <c r="GN507" s="15">
        <f>GM507*SQRT(AR154)</f>
        <v>0.66943763712537119</v>
      </c>
      <c r="GO507" s="15">
        <f>GL507/GI507</f>
        <v>1.1641566265060241</v>
      </c>
      <c r="GP507" s="15">
        <f>GL507-GI507</f>
        <v>1.0900000000000007</v>
      </c>
      <c r="GQ507" s="15">
        <f>LN(GL507)-LN(GI507)</f>
        <v>0.15199689911098813</v>
      </c>
      <c r="GR507" s="15">
        <f>((GN507*GN507)/(AR154*GL507*GL507)+(GK507*GK507)/(AR154*GI507*GI507))</f>
        <v>5.000000000000001E-3</v>
      </c>
      <c r="HE507" s="15">
        <v>6611.4</v>
      </c>
      <c r="HF507" s="15">
        <v>330.57</v>
      </c>
      <c r="HG507" s="15">
        <f>HF507*SQRT(AR197)</f>
        <v>572.56403545804369</v>
      </c>
      <c r="HH507" s="15">
        <v>6824.7000000000007</v>
      </c>
      <c r="HI507" s="15">
        <v>341.23500000000001</v>
      </c>
      <c r="HJ507" s="15">
        <f>HI507*SQRT(AR197)</f>
        <v>591.03635732076589</v>
      </c>
      <c r="HK507" s="15">
        <f t="shared" si="470"/>
        <v>1.0322624557582358</v>
      </c>
      <c r="HL507" s="15">
        <f t="shared" si="471"/>
        <v>213.30000000000109</v>
      </c>
      <c r="HM507" s="15">
        <f t="shared" si="472"/>
        <v>3.1752952321323136E-2</v>
      </c>
      <c r="HN507" s="15">
        <f>((HJ507*HJ507)/(AR197*HH507*HH507)+(HG507*HG507)/(AR197*HE507*HE507))</f>
        <v>4.9999999999999992E-3</v>
      </c>
      <c r="HP507" s="15" t="s">
        <v>766</v>
      </c>
      <c r="HV507" s="15">
        <f t="shared" si="473"/>
        <v>504.52001558425326</v>
      </c>
      <c r="HW507" s="15">
        <f t="shared" si="474"/>
        <v>3.1752952321323136E-2</v>
      </c>
      <c r="HX507" s="15">
        <f>BB507</f>
        <v>1602</v>
      </c>
      <c r="HY507" s="15">
        <f>AZ507</f>
        <v>2670</v>
      </c>
      <c r="HZ507" s="15">
        <f>BA507</f>
        <v>0.9112627986348123</v>
      </c>
      <c r="IA507" s="15">
        <f>BB507</f>
        <v>1602</v>
      </c>
    </row>
    <row r="508" spans="1:235" s="15" customFormat="1" x14ac:dyDescent="0.25">
      <c r="A508" s="31">
        <v>506</v>
      </c>
      <c r="B508" s="1">
        <v>87</v>
      </c>
      <c r="C508" s="1">
        <v>104</v>
      </c>
      <c r="D508" s="15" t="s">
        <v>466</v>
      </c>
      <c r="E508" s="1">
        <v>1</v>
      </c>
      <c r="F508" s="15" t="s">
        <v>761</v>
      </c>
      <c r="G508" s="15" t="s">
        <v>1327</v>
      </c>
      <c r="H508" s="15" t="s">
        <v>839</v>
      </c>
      <c r="I508" s="1">
        <v>2014</v>
      </c>
      <c r="J508" s="15" t="s">
        <v>1080</v>
      </c>
      <c r="K508" s="1">
        <v>2014</v>
      </c>
      <c r="L508" s="15" t="s">
        <v>1332</v>
      </c>
      <c r="M508" s="15" t="s">
        <v>480</v>
      </c>
      <c r="N508" s="15" t="s">
        <v>520</v>
      </c>
      <c r="O508" s="31">
        <v>2</v>
      </c>
      <c r="P508" s="15">
        <v>25.37</v>
      </c>
      <c r="Q508" s="15">
        <v>112.2</v>
      </c>
      <c r="U508" s="15" t="s">
        <v>549</v>
      </c>
      <c r="V508" s="31">
        <v>1</v>
      </c>
      <c r="W508" s="15" t="s">
        <v>1158</v>
      </c>
      <c r="X508" s="15" t="s">
        <v>689</v>
      </c>
      <c r="Y508" s="1">
        <v>1</v>
      </c>
      <c r="Z508" s="15">
        <v>5.0999999999999996</v>
      </c>
      <c r="AA508" s="15" t="s">
        <v>574</v>
      </c>
      <c r="AB508" s="15">
        <f t="shared" si="436"/>
        <v>5.0999999999999996</v>
      </c>
      <c r="AC508" s="1">
        <v>3</v>
      </c>
      <c r="AM508" s="1"/>
      <c r="AP508" s="15" t="s">
        <v>1334</v>
      </c>
      <c r="AQ508" s="61">
        <v>3</v>
      </c>
      <c r="AR508" s="1">
        <v>3</v>
      </c>
      <c r="AT508" s="15" t="s">
        <v>545</v>
      </c>
      <c r="AU508" s="15">
        <v>80</v>
      </c>
      <c r="AW508" s="15">
        <v>375</v>
      </c>
      <c r="AX508" s="15">
        <f t="shared" si="488"/>
        <v>667.5</v>
      </c>
      <c r="AY508" s="15" t="s">
        <v>766</v>
      </c>
      <c r="AZ508" s="15">
        <f t="shared" si="476"/>
        <v>667.5</v>
      </c>
      <c r="BA508" s="15">
        <f t="shared" si="477"/>
        <v>0.22781569965870307</v>
      </c>
      <c r="BB508" s="15">
        <f t="shared" si="478"/>
        <v>400.5</v>
      </c>
      <c r="FK508" s="16">
        <f t="shared" si="479"/>
        <v>5.0999999999999996</v>
      </c>
      <c r="FL508" s="16">
        <f t="shared" si="480"/>
        <v>5.21</v>
      </c>
      <c r="FM508" s="15">
        <v>5.0999999999999996</v>
      </c>
      <c r="FN508" s="15">
        <f t="shared" si="481"/>
        <v>0.255</v>
      </c>
      <c r="FO508" s="15">
        <f>FN508*SQRT(AR508)</f>
        <v>0.44167295593006367</v>
      </c>
      <c r="FP508" s="15">
        <v>5.21</v>
      </c>
      <c r="FQ508" s="15">
        <f t="shared" si="482"/>
        <v>0.26050000000000001</v>
      </c>
      <c r="FR508" s="15">
        <f>FQ508*SQRT(AR508)</f>
        <v>0.45119923537169254</v>
      </c>
      <c r="FS508" s="15">
        <f t="shared" si="483"/>
        <v>1.0215686274509805</v>
      </c>
      <c r="FT508" s="15">
        <f t="shared" si="484"/>
        <v>0.11000000000000032</v>
      </c>
      <c r="FU508" s="15">
        <f t="shared" si="485"/>
        <v>2.1339316034995504E-2</v>
      </c>
      <c r="FV508" s="15">
        <f>((FR508*FR508)/(AR508*FP508*FP508)+(FO508*FO508)/(AR508*FM508*FM508))</f>
        <v>5.0000000000000001E-3</v>
      </c>
      <c r="HE508" s="15">
        <v>6099.5999999999995</v>
      </c>
      <c r="HF508" s="15">
        <v>304.98</v>
      </c>
      <c r="HG508" s="15">
        <f>HF508*SQRT(AR198)</f>
        <v>528.24085529235617</v>
      </c>
      <c r="HH508" s="15">
        <v>6355.5</v>
      </c>
      <c r="HI508" s="15">
        <v>317.77500000000003</v>
      </c>
      <c r="HJ508" s="15">
        <f>HI508*SQRT(AR198)</f>
        <v>550.40244537520005</v>
      </c>
      <c r="HK508" s="15">
        <f t="shared" si="470"/>
        <v>1.0419535707259493</v>
      </c>
      <c r="HL508" s="15">
        <f t="shared" si="471"/>
        <v>255.90000000000055</v>
      </c>
      <c r="HM508" s="15">
        <f t="shared" si="472"/>
        <v>4.1097384493864908E-2</v>
      </c>
      <c r="HN508" s="15">
        <f>((HJ508*HJ508)/(AR198*HH508*HH508)+(HG508*HG508)/(AR198*HE508*HE508))</f>
        <v>5.000000000000001E-3</v>
      </c>
      <c r="HP508" s="15" t="s">
        <v>766</v>
      </c>
      <c r="HV508" s="15">
        <f t="shared" si="473"/>
        <v>97.451457053133723</v>
      </c>
      <c r="HW508" s="15">
        <f t="shared" si="474"/>
        <v>4.1097384493864908E-2</v>
      </c>
      <c r="HX508" s="15">
        <f>BB508</f>
        <v>400.5</v>
      </c>
      <c r="HY508" s="15">
        <f>AZ508</f>
        <v>667.5</v>
      </c>
      <c r="HZ508" s="15">
        <f>BA508</f>
        <v>0.22781569965870307</v>
      </c>
      <c r="IA508" s="15">
        <f>BB508</f>
        <v>400.5</v>
      </c>
    </row>
    <row r="509" spans="1:235" s="15" customFormat="1" x14ac:dyDescent="0.25">
      <c r="A509" s="31">
        <v>507</v>
      </c>
      <c r="B509" s="1">
        <v>87</v>
      </c>
      <c r="C509" s="1">
        <v>104</v>
      </c>
      <c r="D509" s="15" t="s">
        <v>467</v>
      </c>
      <c r="E509" s="1">
        <v>1</v>
      </c>
      <c r="F509" s="15" t="s">
        <v>761</v>
      </c>
      <c r="G509" s="15" t="s">
        <v>1327</v>
      </c>
      <c r="H509" s="15" t="s">
        <v>839</v>
      </c>
      <c r="I509" s="1">
        <v>2014</v>
      </c>
      <c r="J509" s="15" t="s">
        <v>1080</v>
      </c>
      <c r="K509" s="1">
        <v>2014</v>
      </c>
      <c r="L509" s="15" t="s">
        <v>1332</v>
      </c>
      <c r="M509" s="15" t="s">
        <v>480</v>
      </c>
      <c r="N509" s="15" t="s">
        <v>520</v>
      </c>
      <c r="O509" s="31">
        <v>2</v>
      </c>
      <c r="P509" s="15">
        <v>25.37</v>
      </c>
      <c r="Q509" s="15">
        <v>112.2</v>
      </c>
      <c r="U509" s="15" t="s">
        <v>549</v>
      </c>
      <c r="V509" s="31">
        <v>1</v>
      </c>
      <c r="W509" s="15" t="s">
        <v>1158</v>
      </c>
      <c r="X509" s="15" t="s">
        <v>689</v>
      </c>
      <c r="Y509" s="1">
        <v>1</v>
      </c>
      <c r="Z509" s="15">
        <v>5.0999999999999996</v>
      </c>
      <c r="AA509" s="15" t="s">
        <v>574</v>
      </c>
      <c r="AB509" s="15">
        <f t="shared" si="436"/>
        <v>5.0999999999999996</v>
      </c>
      <c r="AC509" s="1">
        <v>3</v>
      </c>
      <c r="AM509" s="1"/>
      <c r="AP509" s="15" t="s">
        <v>1334</v>
      </c>
      <c r="AQ509" s="61">
        <v>3</v>
      </c>
      <c r="AR509" s="1">
        <v>3</v>
      </c>
      <c r="AT509" s="15" t="s">
        <v>545</v>
      </c>
      <c r="AU509" s="15">
        <v>80</v>
      </c>
      <c r="AW509" s="15">
        <v>750</v>
      </c>
      <c r="AX509" s="15">
        <f t="shared" si="488"/>
        <v>1335</v>
      </c>
      <c r="AY509" s="15" t="s">
        <v>766</v>
      </c>
      <c r="AZ509" s="15">
        <f t="shared" si="476"/>
        <v>1335</v>
      </c>
      <c r="BA509" s="15">
        <f t="shared" si="477"/>
        <v>0.45563139931740615</v>
      </c>
      <c r="BB509" s="15">
        <f t="shared" si="478"/>
        <v>801</v>
      </c>
      <c r="FK509" s="16">
        <f t="shared" si="479"/>
        <v>5.0999999999999996</v>
      </c>
      <c r="FL509" s="16">
        <f t="shared" si="480"/>
        <v>5.21</v>
      </c>
      <c r="FM509" s="15">
        <v>5.0999999999999996</v>
      </c>
      <c r="FN509" s="15">
        <f t="shared" si="481"/>
        <v>0.255</v>
      </c>
      <c r="FO509" s="15">
        <f>FN509*SQRT(AR509)</f>
        <v>0.44167295593006367</v>
      </c>
      <c r="FP509" s="15">
        <v>5.21</v>
      </c>
      <c r="FQ509" s="15">
        <f t="shared" si="482"/>
        <v>0.26050000000000001</v>
      </c>
      <c r="FR509" s="15">
        <f>FQ509*SQRT(AR509)</f>
        <v>0.45119923537169254</v>
      </c>
      <c r="FS509" s="15">
        <f t="shared" si="483"/>
        <v>1.0215686274509805</v>
      </c>
      <c r="FT509" s="15">
        <f t="shared" si="484"/>
        <v>0.11000000000000032</v>
      </c>
      <c r="FU509" s="15">
        <f t="shared" si="485"/>
        <v>2.1339316034995504E-2</v>
      </c>
      <c r="FV509" s="15">
        <f>((FR509*FR509)/(AR509*FP509*FP509)+(FO509*FO509)/(AR509*FM509*FM509))</f>
        <v>5.0000000000000001E-3</v>
      </c>
      <c r="HE509" s="15">
        <v>6099.5999999999995</v>
      </c>
      <c r="HF509" s="15">
        <v>304.98</v>
      </c>
      <c r="HG509" s="15">
        <f>HF509*SQRT(AR199)</f>
        <v>528.24085529235617</v>
      </c>
      <c r="HH509" s="15">
        <v>7507.05</v>
      </c>
      <c r="HI509" s="15">
        <v>375.35250000000002</v>
      </c>
      <c r="HJ509" s="15">
        <f>HI509*SQRT(AR199)</f>
        <v>650.12960074799696</v>
      </c>
      <c r="HK509" s="15">
        <f t="shared" si="470"/>
        <v>1.230744638992721</v>
      </c>
      <c r="HL509" s="15">
        <f t="shared" si="471"/>
        <v>1407.4500000000007</v>
      </c>
      <c r="HM509" s="15">
        <f t="shared" si="472"/>
        <v>0.2076193837602105</v>
      </c>
      <c r="HN509" s="15">
        <f>((HJ509*HJ509)/(AR199*HH509*HH509)+(HG509*HG509)/(AR199*HE509*HE509))</f>
        <v>4.9999999999999992E-3</v>
      </c>
      <c r="HP509" s="15" t="s">
        <v>766</v>
      </c>
      <c r="HV509" s="15">
        <f t="shared" si="473"/>
        <v>38.580212766892373</v>
      </c>
      <c r="HW509" s="15">
        <f t="shared" si="474"/>
        <v>0.2076193837602105</v>
      </c>
      <c r="HX509" s="15">
        <f>BB509</f>
        <v>801</v>
      </c>
      <c r="HY509" s="15">
        <f>AZ509</f>
        <v>1335</v>
      </c>
      <c r="HZ509" s="15">
        <f>BA509</f>
        <v>0.45563139931740615</v>
      </c>
      <c r="IA509" s="15">
        <f>BB509</f>
        <v>801</v>
      </c>
    </row>
    <row r="510" spans="1:235" s="15" customFormat="1" x14ac:dyDescent="0.25">
      <c r="A510" s="31">
        <v>508</v>
      </c>
      <c r="B510" s="1">
        <v>87</v>
      </c>
      <c r="C510" s="1">
        <v>104</v>
      </c>
      <c r="D510" s="15" t="s">
        <v>468</v>
      </c>
      <c r="E510" s="1">
        <v>1</v>
      </c>
      <c r="F510" s="15" t="s">
        <v>761</v>
      </c>
      <c r="G510" s="15" t="s">
        <v>1327</v>
      </c>
      <c r="H510" s="15" t="s">
        <v>839</v>
      </c>
      <c r="I510" s="1">
        <v>2014</v>
      </c>
      <c r="J510" s="15" t="s">
        <v>1080</v>
      </c>
      <c r="K510" s="1">
        <v>2014</v>
      </c>
      <c r="L510" s="15" t="s">
        <v>1332</v>
      </c>
      <c r="M510" s="15" t="s">
        <v>480</v>
      </c>
      <c r="N510" s="15" t="s">
        <v>520</v>
      </c>
      <c r="O510" s="31">
        <v>2</v>
      </c>
      <c r="P510" s="15">
        <v>25.37</v>
      </c>
      <c r="Q510" s="15">
        <v>112.2</v>
      </c>
      <c r="U510" s="15" t="s">
        <v>549</v>
      </c>
      <c r="V510" s="31">
        <v>1</v>
      </c>
      <c r="W510" s="15" t="s">
        <v>1158</v>
      </c>
      <c r="X510" s="15" t="s">
        <v>689</v>
      </c>
      <c r="Y510" s="1">
        <v>1</v>
      </c>
      <c r="Z510" s="15">
        <v>5.0999999999999996</v>
      </c>
      <c r="AA510" s="15" t="s">
        <v>574</v>
      </c>
      <c r="AB510" s="15">
        <f t="shared" si="436"/>
        <v>5.0999999999999996</v>
      </c>
      <c r="AC510" s="1">
        <v>3</v>
      </c>
      <c r="AM510" s="1"/>
      <c r="AP510" s="15" t="s">
        <v>1334</v>
      </c>
      <c r="AQ510" s="61">
        <v>3</v>
      </c>
      <c r="AR510" s="1">
        <v>3</v>
      </c>
      <c r="AT510" s="15" t="s">
        <v>545</v>
      </c>
      <c r="AU510" s="15">
        <v>80</v>
      </c>
      <c r="AW510" s="15">
        <v>1125</v>
      </c>
      <c r="AX510" s="15">
        <f t="shared" si="488"/>
        <v>2002.5</v>
      </c>
      <c r="AY510" s="15" t="s">
        <v>766</v>
      </c>
      <c r="AZ510" s="15">
        <f t="shared" si="476"/>
        <v>2002.5</v>
      </c>
      <c r="BA510" s="15">
        <f t="shared" si="477"/>
        <v>0.68344709897610911</v>
      </c>
      <c r="BB510" s="15">
        <f t="shared" si="478"/>
        <v>1201.5</v>
      </c>
      <c r="FK510" s="16">
        <f t="shared" si="479"/>
        <v>5.0999999999999996</v>
      </c>
      <c r="FL510" s="16">
        <f t="shared" si="480"/>
        <v>5.29</v>
      </c>
      <c r="FM510" s="15">
        <v>5.0999999999999996</v>
      </c>
      <c r="FN510" s="15">
        <f t="shared" si="481"/>
        <v>0.255</v>
      </c>
      <c r="FO510" s="15">
        <f>FN510*SQRT(AR510)</f>
        <v>0.44167295593006367</v>
      </c>
      <c r="FP510" s="15">
        <v>5.29</v>
      </c>
      <c r="FQ510" s="15">
        <f t="shared" si="482"/>
        <v>0.26450000000000001</v>
      </c>
      <c r="FR510" s="15">
        <f>FQ510*SQRT(AR510)</f>
        <v>0.45812743860196803</v>
      </c>
      <c r="FS510" s="15">
        <f t="shared" si="483"/>
        <v>1.0372549019607844</v>
      </c>
      <c r="FT510" s="15">
        <f t="shared" si="484"/>
        <v>0.19000000000000039</v>
      </c>
      <c r="FU510" s="15">
        <f t="shared" si="485"/>
        <v>3.6577706139927946E-2</v>
      </c>
      <c r="FV510" s="15">
        <f>((FR510*FR510)/(AR510*FP510*FP510)+(FO510*FO510)/(AR510*FM510*FM510))</f>
        <v>4.9999999999999992E-3</v>
      </c>
      <c r="HE510" s="15">
        <v>6099.5999999999995</v>
      </c>
      <c r="HF510" s="15">
        <v>304.98</v>
      </c>
      <c r="HG510" s="15">
        <f>HF510*SQRT(AR200)</f>
        <v>528.24085529235617</v>
      </c>
      <c r="HH510" s="15">
        <v>7720.35</v>
      </c>
      <c r="HI510" s="15">
        <v>386.01750000000004</v>
      </c>
      <c r="HJ510" s="15">
        <f>HI510*SQRT(AR200)</f>
        <v>668.60192261071916</v>
      </c>
      <c r="HK510" s="15">
        <f t="shared" si="470"/>
        <v>1.2657141451898486</v>
      </c>
      <c r="HL510" s="15">
        <f t="shared" si="471"/>
        <v>1620.7500000000009</v>
      </c>
      <c r="HM510" s="15">
        <f t="shared" si="472"/>
        <v>0.23563650453784746</v>
      </c>
      <c r="HN510" s="15">
        <f>((HJ510*HJ510)/(AR200*HH510*HH510)+(HG510*HG510)/(AR200*HE510*HE510))</f>
        <v>5.0000000000000001E-3</v>
      </c>
      <c r="HP510" s="15" t="s">
        <v>766</v>
      </c>
      <c r="HV510" s="15">
        <f t="shared" si="473"/>
        <v>50.989552843541588</v>
      </c>
      <c r="HW510" s="15">
        <f t="shared" si="474"/>
        <v>0.23563650453784746</v>
      </c>
      <c r="HX510" s="15">
        <f>BB510</f>
        <v>1201.5</v>
      </c>
      <c r="HY510" s="15">
        <f>AZ510</f>
        <v>2002.5</v>
      </c>
      <c r="HZ510" s="15">
        <f>BA510</f>
        <v>0.68344709897610911</v>
      </c>
      <c r="IA510" s="15">
        <f>BB510</f>
        <v>1201.5</v>
      </c>
    </row>
    <row r="511" spans="1:235" s="15" customFormat="1" x14ac:dyDescent="0.25">
      <c r="A511" s="31">
        <v>509</v>
      </c>
      <c r="B511" s="1">
        <v>87</v>
      </c>
      <c r="C511" s="1">
        <v>104</v>
      </c>
      <c r="D511" s="15" t="s">
        <v>469</v>
      </c>
      <c r="E511" s="1">
        <v>1</v>
      </c>
      <c r="F511" s="15" t="s">
        <v>761</v>
      </c>
      <c r="G511" s="15" t="s">
        <v>1327</v>
      </c>
      <c r="H511" s="15" t="s">
        <v>839</v>
      </c>
      <c r="I511" s="1">
        <v>2014</v>
      </c>
      <c r="J511" s="15" t="s">
        <v>1080</v>
      </c>
      <c r="K511" s="1">
        <v>2014</v>
      </c>
      <c r="L511" s="15" t="s">
        <v>1332</v>
      </c>
      <c r="M511" s="15" t="s">
        <v>480</v>
      </c>
      <c r="N511" s="15" t="s">
        <v>520</v>
      </c>
      <c r="O511" s="31">
        <v>2</v>
      </c>
      <c r="P511" s="15">
        <v>25.37</v>
      </c>
      <c r="Q511" s="15">
        <v>112.2</v>
      </c>
      <c r="U511" s="15" t="s">
        <v>549</v>
      </c>
      <c r="V511" s="31">
        <v>1</v>
      </c>
      <c r="W511" s="15" t="s">
        <v>1158</v>
      </c>
      <c r="X511" s="15" t="s">
        <v>689</v>
      </c>
      <c r="Y511" s="1">
        <v>1</v>
      </c>
      <c r="Z511" s="15">
        <v>5.0999999999999996</v>
      </c>
      <c r="AA511" s="15" t="s">
        <v>574</v>
      </c>
      <c r="AB511" s="15">
        <f t="shared" si="436"/>
        <v>5.0999999999999996</v>
      </c>
      <c r="AC511" s="1">
        <v>3</v>
      </c>
      <c r="AM511" s="1"/>
      <c r="AP511" s="15" t="s">
        <v>1334</v>
      </c>
      <c r="AQ511" s="61">
        <v>3</v>
      </c>
      <c r="AR511" s="1">
        <v>3</v>
      </c>
      <c r="AT511" s="15" t="s">
        <v>545</v>
      </c>
      <c r="AU511" s="15">
        <v>80</v>
      </c>
      <c r="AW511" s="15">
        <v>1500</v>
      </c>
      <c r="AX511" s="15">
        <f t="shared" si="488"/>
        <v>2670</v>
      </c>
      <c r="AY511" s="15" t="s">
        <v>766</v>
      </c>
      <c r="AZ511" s="15">
        <f t="shared" si="476"/>
        <v>2670</v>
      </c>
      <c r="BA511" s="15">
        <f t="shared" si="477"/>
        <v>0.9112627986348123</v>
      </c>
      <c r="BB511" s="15">
        <f t="shared" si="478"/>
        <v>1602</v>
      </c>
      <c r="FK511" s="16">
        <f t="shared" si="479"/>
        <v>5.0999999999999996</v>
      </c>
      <c r="FL511" s="16">
        <f t="shared" si="480"/>
        <v>5.31</v>
      </c>
      <c r="FM511" s="15">
        <v>5.0999999999999996</v>
      </c>
      <c r="FN511" s="15">
        <f t="shared" si="481"/>
        <v>0.255</v>
      </c>
      <c r="FO511" s="15">
        <f>FN511*SQRT(AR511)</f>
        <v>0.44167295593006367</v>
      </c>
      <c r="FP511" s="15">
        <v>5.31</v>
      </c>
      <c r="FQ511" s="15">
        <f t="shared" si="482"/>
        <v>0.26550000000000001</v>
      </c>
      <c r="FR511" s="15">
        <f>FQ511*SQRT(AR511)</f>
        <v>0.45985948940953691</v>
      </c>
      <c r="FS511" s="15">
        <f t="shared" si="483"/>
        <v>1.0411764705882354</v>
      </c>
      <c r="FT511" s="15">
        <f t="shared" si="484"/>
        <v>0.20999999999999996</v>
      </c>
      <c r="FU511" s="15">
        <f t="shared" si="485"/>
        <v>4.0351295523567421E-2</v>
      </c>
      <c r="FV511" s="15">
        <f>((FR511*FR511)/(AR511*FP511*FP511)+(FO511*FO511)/(AR511*FM511*FM511))</f>
        <v>5.0000000000000001E-3</v>
      </c>
      <c r="HE511" s="15">
        <v>6099.5999999999995</v>
      </c>
      <c r="HF511" s="15">
        <v>304.98</v>
      </c>
      <c r="HG511" s="15">
        <f>HF511*SQRT(AR201)</f>
        <v>528.24085529235617</v>
      </c>
      <c r="HH511" s="15">
        <v>8232.3000000000011</v>
      </c>
      <c r="HI511" s="15">
        <v>411.61500000000001</v>
      </c>
      <c r="HJ511" s="15">
        <f>HI511*SQRT(AR201)</f>
        <v>712.93809315746341</v>
      </c>
      <c r="HK511" s="15">
        <f t="shared" si="470"/>
        <v>1.3496458784182572</v>
      </c>
      <c r="HL511" s="15">
        <f t="shared" si="471"/>
        <v>2132.7000000000016</v>
      </c>
      <c r="HM511" s="15">
        <f t="shared" si="472"/>
        <v>0.29984224575768081</v>
      </c>
      <c r="HN511" s="15">
        <f>((HJ511*HJ511)/(AR201*HH511*HH511)+(HG511*HG511)/(AR201*HE511*HE511))</f>
        <v>4.9999999999999992E-3</v>
      </c>
      <c r="HP511" s="15" t="s">
        <v>766</v>
      </c>
      <c r="HV511" s="15">
        <f t="shared" si="473"/>
        <v>53.428095028832765</v>
      </c>
      <c r="HW511" s="15">
        <f t="shared" si="474"/>
        <v>0.29984224575768081</v>
      </c>
      <c r="HX511" s="15">
        <f>BB511</f>
        <v>1602</v>
      </c>
      <c r="HY511" s="15">
        <f>AZ511</f>
        <v>2670</v>
      </c>
      <c r="HZ511" s="15">
        <f>BA511</f>
        <v>0.9112627986348123</v>
      </c>
      <c r="IA511" s="15">
        <f>BB511</f>
        <v>1602</v>
      </c>
    </row>
    <row r="512" spans="1:235" s="15" customFormat="1" x14ac:dyDescent="0.25">
      <c r="A512" s="31">
        <v>510</v>
      </c>
      <c r="B512" s="1">
        <v>87</v>
      </c>
      <c r="C512" s="1">
        <v>105</v>
      </c>
      <c r="D512" s="15" t="s">
        <v>470</v>
      </c>
      <c r="E512" s="1">
        <v>1</v>
      </c>
      <c r="F512" s="15" t="s">
        <v>761</v>
      </c>
      <c r="G512" s="15" t="s">
        <v>1327</v>
      </c>
      <c r="H512" s="15" t="s">
        <v>839</v>
      </c>
      <c r="I512" s="1">
        <v>2014</v>
      </c>
      <c r="J512" s="15" t="s">
        <v>1080</v>
      </c>
      <c r="K512" s="1">
        <v>2014</v>
      </c>
      <c r="L512" s="15" t="s">
        <v>1333</v>
      </c>
      <c r="M512" s="15" t="s">
        <v>480</v>
      </c>
      <c r="N512" s="15" t="s">
        <v>520</v>
      </c>
      <c r="O512" s="31">
        <v>2</v>
      </c>
      <c r="P512" s="15">
        <v>25.78</v>
      </c>
      <c r="Q512" s="15">
        <v>113.01</v>
      </c>
      <c r="U512" s="15" t="s">
        <v>549</v>
      </c>
      <c r="V512" s="31">
        <v>1</v>
      </c>
      <c r="W512" s="15" t="s">
        <v>1158</v>
      </c>
      <c r="X512" s="15" t="s">
        <v>689</v>
      </c>
      <c r="Y512" s="1">
        <v>1</v>
      </c>
      <c r="Z512" s="15">
        <v>4.5</v>
      </c>
      <c r="AA512" s="15" t="s">
        <v>574</v>
      </c>
      <c r="AB512" s="15">
        <f t="shared" si="436"/>
        <v>4.5</v>
      </c>
      <c r="AC512" s="1">
        <v>1</v>
      </c>
      <c r="AM512" s="1"/>
      <c r="AP512" s="15" t="s">
        <v>1334</v>
      </c>
      <c r="AQ512" s="61">
        <v>3</v>
      </c>
      <c r="AR512" s="1">
        <v>3</v>
      </c>
      <c r="AT512" s="15" t="s">
        <v>545</v>
      </c>
      <c r="AU512" s="15">
        <v>80</v>
      </c>
      <c r="AW512" s="15">
        <v>375</v>
      </c>
      <c r="AX512" s="15">
        <f t="shared" si="488"/>
        <v>667.5</v>
      </c>
      <c r="AY512" s="15" t="s">
        <v>766</v>
      </c>
      <c r="AZ512" s="15">
        <f t="shared" si="476"/>
        <v>667.5</v>
      </c>
      <c r="BA512" s="15">
        <f t="shared" si="477"/>
        <v>0.22781569965870307</v>
      </c>
      <c r="BB512" s="15">
        <f t="shared" si="478"/>
        <v>400.5</v>
      </c>
      <c r="FK512" s="16">
        <f t="shared" si="479"/>
        <v>4.5</v>
      </c>
      <c r="FL512" s="16">
        <f t="shared" si="480"/>
        <v>4.79</v>
      </c>
      <c r="FM512" s="15">
        <v>4.5</v>
      </c>
      <c r="FN512" s="15">
        <f t="shared" si="481"/>
        <v>0.22500000000000001</v>
      </c>
      <c r="FO512" s="15">
        <f>FN512*SQRT(AR512)</f>
        <v>0.38971143170299738</v>
      </c>
      <c r="FP512" s="15">
        <v>4.79</v>
      </c>
      <c r="FQ512" s="15">
        <f t="shared" si="482"/>
        <v>0.23950000000000002</v>
      </c>
      <c r="FR512" s="15">
        <f>FQ512*SQRT(AR512)</f>
        <v>0.41482616841274611</v>
      </c>
      <c r="FS512" s="15">
        <f t="shared" si="483"/>
        <v>1.0644444444444445</v>
      </c>
      <c r="FT512" s="15">
        <f t="shared" si="484"/>
        <v>0.29000000000000004</v>
      </c>
      <c r="FU512" s="15">
        <f t="shared" si="485"/>
        <v>6.2453014646549621E-2</v>
      </c>
      <c r="FV512" s="15">
        <f>((FR512*FR512)/(AR512*FP512*FP512)+(FO512*FO512)/(AR512*FM512*FM512))</f>
        <v>4.9999999999999992E-3</v>
      </c>
      <c r="HE512" s="15">
        <v>6611.4</v>
      </c>
      <c r="HF512" s="15">
        <v>330.57</v>
      </c>
      <c r="HG512" s="15">
        <f>HF512*SQRT(AR202)</f>
        <v>572.56403545804369</v>
      </c>
      <c r="HH512" s="15">
        <v>6739.35</v>
      </c>
      <c r="HI512" s="15">
        <v>336.96750000000003</v>
      </c>
      <c r="HJ512" s="15">
        <f>HI512*SQRT(AR202)</f>
        <v>583.64483049946568</v>
      </c>
      <c r="HK512" s="15">
        <f t="shared" si="470"/>
        <v>1.0193529358380979</v>
      </c>
      <c r="HL512" s="15">
        <f t="shared" si="471"/>
        <v>127.95000000000073</v>
      </c>
      <c r="HM512" s="15">
        <f t="shared" si="472"/>
        <v>1.9168049364870043E-2</v>
      </c>
      <c r="HN512" s="15">
        <f>((HJ512*HJ512)/(AR202*HH512*HH512)+(HG512*HG512)/(AR202*HE512*HE512))</f>
        <v>4.9999999999999992E-3</v>
      </c>
      <c r="HP512" s="15" t="s">
        <v>766</v>
      </c>
      <c r="HV512" s="15">
        <f t="shared" si="473"/>
        <v>208.94144854093</v>
      </c>
      <c r="HW512" s="15">
        <f t="shared" si="474"/>
        <v>1.9168049364870043E-2</v>
      </c>
      <c r="HX512" s="15">
        <f>BB512</f>
        <v>400.5</v>
      </c>
      <c r="HY512" s="15">
        <f>AZ512</f>
        <v>667.5</v>
      </c>
      <c r="HZ512" s="15">
        <f>BA512</f>
        <v>0.22781569965870307</v>
      </c>
      <c r="IA512" s="15">
        <f>BB512</f>
        <v>400.5</v>
      </c>
    </row>
    <row r="513" spans="1:235" s="15" customFormat="1" x14ac:dyDescent="0.25">
      <c r="A513" s="31">
        <v>511</v>
      </c>
      <c r="B513" s="1">
        <v>87</v>
      </c>
      <c r="C513" s="1">
        <v>105</v>
      </c>
      <c r="D513" s="15" t="s">
        <v>471</v>
      </c>
      <c r="E513" s="1">
        <v>1</v>
      </c>
      <c r="F513" s="15" t="s">
        <v>761</v>
      </c>
      <c r="G513" s="15" t="s">
        <v>1327</v>
      </c>
      <c r="H513" s="15" t="s">
        <v>839</v>
      </c>
      <c r="I513" s="1">
        <v>2014</v>
      </c>
      <c r="J513" s="15" t="s">
        <v>1080</v>
      </c>
      <c r="K513" s="1">
        <v>2014</v>
      </c>
      <c r="L513" s="15" t="s">
        <v>1333</v>
      </c>
      <c r="M513" s="15" t="s">
        <v>480</v>
      </c>
      <c r="N513" s="15" t="s">
        <v>520</v>
      </c>
      <c r="O513" s="31">
        <v>2</v>
      </c>
      <c r="P513" s="15">
        <v>25.78</v>
      </c>
      <c r="Q513" s="15">
        <v>113.01</v>
      </c>
      <c r="U513" s="15" t="s">
        <v>549</v>
      </c>
      <c r="V513" s="31">
        <v>1</v>
      </c>
      <c r="W513" s="15" t="s">
        <v>1158</v>
      </c>
      <c r="X513" s="15" t="s">
        <v>689</v>
      </c>
      <c r="Y513" s="1">
        <v>1</v>
      </c>
      <c r="Z513" s="15">
        <v>4.5</v>
      </c>
      <c r="AA513" s="15" t="s">
        <v>574</v>
      </c>
      <c r="AB513" s="15">
        <f t="shared" si="436"/>
        <v>4.5</v>
      </c>
      <c r="AC513" s="1">
        <v>1</v>
      </c>
      <c r="AM513" s="1"/>
      <c r="AP513" s="15" t="s">
        <v>1334</v>
      </c>
      <c r="AQ513" s="61">
        <v>3</v>
      </c>
      <c r="AR513" s="1">
        <v>3</v>
      </c>
      <c r="AT513" s="15" t="s">
        <v>545</v>
      </c>
      <c r="AU513" s="15">
        <v>80</v>
      </c>
      <c r="AW513" s="15">
        <v>750</v>
      </c>
      <c r="AX513" s="15">
        <f t="shared" si="488"/>
        <v>1335</v>
      </c>
      <c r="AY513" s="15" t="s">
        <v>766</v>
      </c>
      <c r="AZ513" s="15">
        <f t="shared" si="476"/>
        <v>1335</v>
      </c>
      <c r="BA513" s="15">
        <f t="shared" si="477"/>
        <v>0.45563139931740615</v>
      </c>
      <c r="BB513" s="15">
        <f t="shared" si="478"/>
        <v>801</v>
      </c>
      <c r="FK513" s="16">
        <f t="shared" si="479"/>
        <v>4.5</v>
      </c>
      <c r="FL513" s="16">
        <f t="shared" si="480"/>
        <v>4.8</v>
      </c>
      <c r="FM513" s="15">
        <v>4.5</v>
      </c>
      <c r="FN513" s="15">
        <f t="shared" si="481"/>
        <v>0.22500000000000001</v>
      </c>
      <c r="FO513" s="15">
        <f>FN513*SQRT(AR513)</f>
        <v>0.38971143170299738</v>
      </c>
      <c r="FP513" s="15">
        <v>4.8</v>
      </c>
      <c r="FQ513" s="15">
        <f t="shared" si="482"/>
        <v>0.24</v>
      </c>
      <c r="FR513" s="15">
        <f>FQ513*SQRT(AR513)</f>
        <v>0.4156921938165305</v>
      </c>
      <c r="FS513" s="15">
        <f t="shared" si="483"/>
        <v>1.0666666666666667</v>
      </c>
      <c r="FT513" s="15">
        <f t="shared" si="484"/>
        <v>0.29999999999999982</v>
      </c>
      <c r="FU513" s="15">
        <f t="shared" si="485"/>
        <v>6.4538521137571081E-2</v>
      </c>
      <c r="FV513" s="15">
        <f>((FR513*FR513)/(AR513*FP513*FP513)+(FO513*FO513)/(AR513*FM513*FM513))</f>
        <v>4.9999999999999992E-3</v>
      </c>
      <c r="HE513" s="15">
        <v>6611.4</v>
      </c>
      <c r="HF513" s="15">
        <v>330.57</v>
      </c>
      <c r="HG513" s="15">
        <f>HF513*SQRT(AR203)</f>
        <v>572.56403545804369</v>
      </c>
      <c r="HH513" s="15">
        <v>7037.85</v>
      </c>
      <c r="HI513" s="15">
        <v>351.89250000000004</v>
      </c>
      <c r="HJ513" s="15">
        <f>HI513*SQRT(AR203)</f>
        <v>609.49568880243123</v>
      </c>
      <c r="HK513" s="15">
        <f t="shared" si="470"/>
        <v>1.0645022234322534</v>
      </c>
      <c r="HL513" s="15">
        <f t="shared" si="471"/>
        <v>426.45000000000073</v>
      </c>
      <c r="HM513" s="15">
        <f t="shared" si="472"/>
        <v>6.2507294059646057E-2</v>
      </c>
      <c r="HN513" s="15">
        <f>((HJ513*HJ513)/(AR203*HH513*HH513)+(HG513*HG513)/(AR203*HE513*HE513))</f>
        <v>5.0000000000000001E-3</v>
      </c>
      <c r="HP513" s="15" t="s">
        <v>766</v>
      </c>
      <c r="HV513" s="15">
        <f t="shared" si="473"/>
        <v>128.14504483839363</v>
      </c>
      <c r="HW513" s="15">
        <f t="shared" si="474"/>
        <v>6.2507294059646057E-2</v>
      </c>
      <c r="HX513" s="15">
        <f>BB513</f>
        <v>801</v>
      </c>
      <c r="HY513" s="15">
        <f>AZ513</f>
        <v>1335</v>
      </c>
      <c r="HZ513" s="15">
        <f>BA513</f>
        <v>0.45563139931740615</v>
      </c>
      <c r="IA513" s="15">
        <f>BB513</f>
        <v>801</v>
      </c>
    </row>
    <row r="514" spans="1:235" s="15" customFormat="1" x14ac:dyDescent="0.25">
      <c r="A514" s="31">
        <v>512</v>
      </c>
      <c r="B514" s="1">
        <v>87</v>
      </c>
      <c r="C514" s="1">
        <v>105</v>
      </c>
      <c r="D514" s="15" t="s">
        <v>472</v>
      </c>
      <c r="E514" s="1">
        <v>1</v>
      </c>
      <c r="F514" s="15" t="s">
        <v>761</v>
      </c>
      <c r="G514" s="15" t="s">
        <v>1327</v>
      </c>
      <c r="H514" s="15" t="s">
        <v>839</v>
      </c>
      <c r="I514" s="1">
        <v>2014</v>
      </c>
      <c r="J514" s="15" t="s">
        <v>1080</v>
      </c>
      <c r="K514" s="1">
        <v>2014</v>
      </c>
      <c r="L514" s="15" t="s">
        <v>1333</v>
      </c>
      <c r="M514" s="15" t="s">
        <v>480</v>
      </c>
      <c r="N514" s="15" t="s">
        <v>520</v>
      </c>
      <c r="O514" s="31">
        <v>2</v>
      </c>
      <c r="P514" s="15">
        <v>25.78</v>
      </c>
      <c r="Q514" s="15">
        <v>113.01</v>
      </c>
      <c r="U514" s="15" t="s">
        <v>549</v>
      </c>
      <c r="V514" s="31">
        <v>1</v>
      </c>
      <c r="W514" s="15" t="s">
        <v>1158</v>
      </c>
      <c r="X514" s="15" t="s">
        <v>689</v>
      </c>
      <c r="Y514" s="1">
        <v>1</v>
      </c>
      <c r="Z514" s="15">
        <v>4.5</v>
      </c>
      <c r="AA514" s="15" t="s">
        <v>574</v>
      </c>
      <c r="AB514" s="15">
        <f t="shared" si="436"/>
        <v>4.5</v>
      </c>
      <c r="AC514" s="1">
        <v>1</v>
      </c>
      <c r="AM514" s="1"/>
      <c r="AP514" s="15" t="s">
        <v>1334</v>
      </c>
      <c r="AQ514" s="61">
        <v>3</v>
      </c>
      <c r="AR514" s="1">
        <v>3</v>
      </c>
      <c r="AT514" s="15" t="s">
        <v>545</v>
      </c>
      <c r="AU514" s="15">
        <v>80</v>
      </c>
      <c r="AW514" s="15">
        <v>1125</v>
      </c>
      <c r="AX514" s="15">
        <f t="shared" si="488"/>
        <v>2002.5</v>
      </c>
      <c r="AY514" s="15" t="s">
        <v>766</v>
      </c>
      <c r="AZ514" s="15">
        <f t="shared" si="476"/>
        <v>2002.5</v>
      </c>
      <c r="BA514" s="15">
        <f t="shared" si="477"/>
        <v>0.68344709897610911</v>
      </c>
      <c r="BB514" s="15">
        <f t="shared" si="478"/>
        <v>1201.5</v>
      </c>
      <c r="FK514" s="16">
        <f t="shared" si="479"/>
        <v>4.5</v>
      </c>
      <c r="FL514" s="16">
        <f t="shared" si="480"/>
        <v>5.0999999999999996</v>
      </c>
      <c r="FM514" s="15">
        <v>4.5</v>
      </c>
      <c r="FN514" s="15">
        <f t="shared" si="481"/>
        <v>0.22500000000000001</v>
      </c>
      <c r="FO514" s="15">
        <f>FN514*SQRT(AR514)</f>
        <v>0.38971143170299738</v>
      </c>
      <c r="FP514" s="15">
        <v>5.0999999999999996</v>
      </c>
      <c r="FQ514" s="15">
        <f t="shared" si="482"/>
        <v>0.255</v>
      </c>
      <c r="FR514" s="15">
        <f>FQ514*SQRT(AR514)</f>
        <v>0.44167295593006367</v>
      </c>
      <c r="FS514" s="15">
        <f t="shared" si="483"/>
        <v>1.1333333333333333</v>
      </c>
      <c r="FT514" s="15">
        <f t="shared" si="484"/>
        <v>0.59999999999999964</v>
      </c>
      <c r="FU514" s="15">
        <f t="shared" si="485"/>
        <v>0.12516314295400588</v>
      </c>
      <c r="FV514" s="15">
        <f>((FR514*FR514)/(AR514*FP514*FP514)+(FO514*FO514)/(AR514*FM514*FM514))</f>
        <v>4.9999999999999992E-3</v>
      </c>
      <c r="HE514" s="15">
        <v>6611.4</v>
      </c>
      <c r="HF514" s="15">
        <v>330.57</v>
      </c>
      <c r="HG514" s="15">
        <f>HF514*SQRT(AR204)</f>
        <v>809.72782427183506</v>
      </c>
      <c r="HH514" s="15">
        <v>7293.9</v>
      </c>
      <c r="HI514" s="15">
        <v>364.69500000000005</v>
      </c>
      <c r="HJ514" s="15">
        <f>HI514*SQRT(AR204)</f>
        <v>893.3166617443112</v>
      </c>
      <c r="HK514" s="15">
        <f t="shared" si="470"/>
        <v>1.1032307831926673</v>
      </c>
      <c r="HL514" s="15">
        <f t="shared" si="471"/>
        <v>682.5</v>
      </c>
      <c r="HM514" s="15">
        <f t="shared" si="472"/>
        <v>9.824295065430988E-2</v>
      </c>
      <c r="HN514" s="15">
        <f>((HJ514*HJ514)/(AR204*HH514*HH514)+(HG514*HG514)/(AR204*HE514*HE514))</f>
        <v>5.000000000000001E-3</v>
      </c>
      <c r="HP514" s="15" t="s">
        <v>766</v>
      </c>
      <c r="HV514" s="15">
        <f t="shared" si="473"/>
        <v>122.29885116416652</v>
      </c>
      <c r="HW514" s="15">
        <f t="shared" si="474"/>
        <v>9.824295065430988E-2</v>
      </c>
      <c r="HX514" s="15">
        <f>BB514</f>
        <v>1201.5</v>
      </c>
      <c r="HY514" s="15">
        <f>AZ514</f>
        <v>2002.5</v>
      </c>
      <c r="HZ514" s="15">
        <f>BA514</f>
        <v>0.68344709897610911</v>
      </c>
      <c r="IA514" s="15">
        <f>BB514</f>
        <v>1201.5</v>
      </c>
    </row>
    <row r="515" spans="1:235" s="15" customFormat="1" x14ac:dyDescent="0.25">
      <c r="A515" s="31">
        <v>513</v>
      </c>
      <c r="B515" s="1">
        <v>87</v>
      </c>
      <c r="C515" s="1">
        <v>105</v>
      </c>
      <c r="D515" s="15" t="s">
        <v>472</v>
      </c>
      <c r="E515" s="1">
        <v>1</v>
      </c>
      <c r="F515" s="15" t="s">
        <v>761</v>
      </c>
      <c r="G515" s="15" t="s">
        <v>1327</v>
      </c>
      <c r="H515" s="15" t="s">
        <v>839</v>
      </c>
      <c r="I515" s="1">
        <v>2014</v>
      </c>
      <c r="J515" s="15" t="s">
        <v>1080</v>
      </c>
      <c r="K515" s="1">
        <v>2014</v>
      </c>
      <c r="L515" s="15" t="s">
        <v>1333</v>
      </c>
      <c r="M515" s="15" t="s">
        <v>480</v>
      </c>
      <c r="N515" s="15" t="s">
        <v>520</v>
      </c>
      <c r="O515" s="31">
        <v>2</v>
      </c>
      <c r="P515" s="15">
        <v>25.78</v>
      </c>
      <c r="Q515" s="15">
        <v>113.01</v>
      </c>
      <c r="U515" s="15" t="s">
        <v>549</v>
      </c>
      <c r="V515" s="31">
        <v>1</v>
      </c>
      <c r="W515" s="15" t="s">
        <v>1158</v>
      </c>
      <c r="X515" s="15" t="s">
        <v>689</v>
      </c>
      <c r="Y515" s="1">
        <v>1</v>
      </c>
      <c r="Z515" s="15">
        <v>4.5</v>
      </c>
      <c r="AA515" s="15" t="s">
        <v>574</v>
      </c>
      <c r="AB515" s="15">
        <f t="shared" ref="AB515:AB578" si="489">Z515</f>
        <v>4.5</v>
      </c>
      <c r="AC515" s="1">
        <v>1</v>
      </c>
      <c r="AM515" s="1"/>
      <c r="AP515" s="15" t="s">
        <v>1334</v>
      </c>
      <c r="AQ515" s="61">
        <v>3</v>
      </c>
      <c r="AR515" s="1">
        <v>3</v>
      </c>
      <c r="AT515" s="15" t="s">
        <v>545</v>
      </c>
      <c r="AU515" s="15">
        <v>80</v>
      </c>
      <c r="AW515" s="15">
        <v>1500</v>
      </c>
      <c r="AX515" s="15">
        <f t="shared" si="488"/>
        <v>2670</v>
      </c>
      <c r="AY515" s="15" t="s">
        <v>766</v>
      </c>
      <c r="AZ515" s="15">
        <f t="shared" si="476"/>
        <v>2670</v>
      </c>
      <c r="BA515" s="15">
        <f t="shared" si="477"/>
        <v>0.9112627986348123</v>
      </c>
      <c r="BB515" s="15">
        <f t="shared" si="478"/>
        <v>1602</v>
      </c>
      <c r="FK515" s="16">
        <f t="shared" si="479"/>
        <v>4.5</v>
      </c>
      <c r="FL515" s="16">
        <f t="shared" si="480"/>
        <v>5.19</v>
      </c>
      <c r="FM515" s="15">
        <v>4.5</v>
      </c>
      <c r="FN515" s="15">
        <f t="shared" si="481"/>
        <v>0.22500000000000001</v>
      </c>
      <c r="FO515" s="15">
        <f>FN515*SQRT(AR515)</f>
        <v>0.38971143170299738</v>
      </c>
      <c r="FP515" s="15">
        <v>5.19</v>
      </c>
      <c r="FQ515" s="15">
        <f t="shared" si="482"/>
        <v>0.25950000000000001</v>
      </c>
      <c r="FR515" s="15">
        <f>FQ515*SQRT(AR515)</f>
        <v>0.44946718456412366</v>
      </c>
      <c r="FS515" s="15">
        <f t="shared" si="483"/>
        <v>1.1533333333333333</v>
      </c>
      <c r="FT515" s="15">
        <f t="shared" si="484"/>
        <v>0.69000000000000039</v>
      </c>
      <c r="FU515" s="15">
        <f t="shared" si="485"/>
        <v>0.14265630040152311</v>
      </c>
      <c r="FV515" s="15">
        <f>((FR515*FR515)/(AR515*FP515*FP515)+(FO515*FO515)/(AR515*FM515*FM515))</f>
        <v>4.9999999999999992E-3</v>
      </c>
      <c r="HE515" s="15">
        <v>6611.4</v>
      </c>
      <c r="HF515" s="15">
        <v>330.57</v>
      </c>
      <c r="HG515" s="15">
        <f>HF515*SQRT(AR205)</f>
        <v>809.72782427183506</v>
      </c>
      <c r="HH515" s="15">
        <v>6781.95</v>
      </c>
      <c r="HI515" s="15">
        <v>339.09750000000003</v>
      </c>
      <c r="HJ515" s="15">
        <f>HI515*SQRT(AR205)</f>
        <v>830.61584805341874</v>
      </c>
      <c r="HK515" s="15">
        <f t="shared" si="470"/>
        <v>1.0257963517560578</v>
      </c>
      <c r="HL515" s="15">
        <f t="shared" si="471"/>
        <v>170.55000000000018</v>
      </c>
      <c r="HM515" s="15">
        <f t="shared" si="472"/>
        <v>2.5469239480116812E-2</v>
      </c>
      <c r="HN515" s="15">
        <f>((HJ515*HJ515)/(AR205*HH515*HH515)+(HG515*HG515)/(AR205*HE515*HE515))</f>
        <v>4.9999999999999992E-3</v>
      </c>
      <c r="HP515" s="15" t="s">
        <v>766</v>
      </c>
      <c r="HV515" s="15">
        <f t="shared" si="473"/>
        <v>628.99404642633351</v>
      </c>
      <c r="HW515" s="15">
        <f t="shared" si="474"/>
        <v>2.5469239480116812E-2</v>
      </c>
      <c r="HX515" s="15">
        <f>BB515</f>
        <v>1602</v>
      </c>
      <c r="HY515" s="15">
        <f>AZ515</f>
        <v>2670</v>
      </c>
      <c r="HZ515" s="15">
        <f>BA515</f>
        <v>0.9112627986348123</v>
      </c>
      <c r="IA515" s="15">
        <f>BB515</f>
        <v>1602</v>
      </c>
    </row>
    <row r="516" spans="1:235" s="15" customFormat="1" ht="15.6" x14ac:dyDescent="0.25">
      <c r="A516" s="31">
        <v>514</v>
      </c>
      <c r="B516" s="1">
        <v>88</v>
      </c>
      <c r="C516" s="1">
        <v>106</v>
      </c>
      <c r="D516" s="15" t="s">
        <v>473</v>
      </c>
      <c r="E516" s="1">
        <v>1</v>
      </c>
      <c r="F516" s="15" t="s">
        <v>761</v>
      </c>
      <c r="G516" s="15" t="s">
        <v>1335</v>
      </c>
      <c r="H516" s="15" t="s">
        <v>1336</v>
      </c>
      <c r="I516" s="1">
        <v>2015</v>
      </c>
      <c r="J516" s="15" t="s">
        <v>1337</v>
      </c>
      <c r="K516" s="1">
        <v>2014</v>
      </c>
      <c r="L516" s="15" t="s">
        <v>1338</v>
      </c>
      <c r="M516" s="15" t="s">
        <v>480</v>
      </c>
      <c r="N516" s="15" t="s">
        <v>520</v>
      </c>
      <c r="O516" s="31">
        <v>2</v>
      </c>
      <c r="P516" s="15">
        <v>30.27</v>
      </c>
      <c r="Q516" s="15">
        <v>108.78</v>
      </c>
      <c r="R516" s="15">
        <v>1090</v>
      </c>
      <c r="S516" s="15">
        <v>1378</v>
      </c>
      <c r="T516" s="15">
        <v>11.1</v>
      </c>
      <c r="U516" s="15" t="s">
        <v>549</v>
      </c>
      <c r="V516" s="31">
        <v>1</v>
      </c>
      <c r="W516" s="15" t="s">
        <v>1158</v>
      </c>
      <c r="X516" s="15" t="s">
        <v>1339</v>
      </c>
      <c r="Y516" s="1">
        <v>4</v>
      </c>
      <c r="Z516" s="15">
        <v>4.1500000000000004</v>
      </c>
      <c r="AA516" s="15" t="s">
        <v>574</v>
      </c>
      <c r="AB516" s="15">
        <f t="shared" si="489"/>
        <v>4.1500000000000004</v>
      </c>
      <c r="AC516" s="1">
        <v>1</v>
      </c>
      <c r="AM516" s="1"/>
      <c r="AP516" s="15" t="s">
        <v>1180</v>
      </c>
      <c r="AQ516" s="1">
        <v>2</v>
      </c>
      <c r="AR516" s="1">
        <v>3</v>
      </c>
      <c r="AS516" s="15">
        <v>13.4</v>
      </c>
      <c r="AT516" s="15" t="s">
        <v>1340</v>
      </c>
      <c r="AW516" s="15">
        <v>750</v>
      </c>
      <c r="AX516" s="15">
        <f>AW516*1.35</f>
        <v>1012.5000000000001</v>
      </c>
      <c r="AY516" s="15" t="s">
        <v>766</v>
      </c>
      <c r="AZ516" s="15">
        <f t="shared" si="476"/>
        <v>1012.5000000000001</v>
      </c>
      <c r="BA516" s="15">
        <f t="shared" si="477"/>
        <v>0.34556313993174065</v>
      </c>
      <c r="BB516" s="15">
        <f t="shared" si="478"/>
        <v>607.5</v>
      </c>
      <c r="BP516" s="16"/>
      <c r="BQ516" s="16"/>
      <c r="BR516" s="16"/>
      <c r="BU516" s="16"/>
      <c r="EZ516" s="16"/>
      <c r="FA516" s="16"/>
      <c r="FB516" s="16"/>
      <c r="FC516" s="16"/>
      <c r="FD516" s="16"/>
      <c r="FE516" s="16"/>
      <c r="FF516" s="16"/>
      <c r="FG516" s="16"/>
      <c r="FH516" s="16"/>
      <c r="FI516" s="16"/>
      <c r="FJ516" s="16"/>
      <c r="FK516" s="16">
        <f t="shared" si="479"/>
        <v>3.9</v>
      </c>
      <c r="FL516" s="16">
        <f t="shared" si="480"/>
        <v>4.2300000000000004</v>
      </c>
      <c r="FM516" s="15">
        <v>3.9</v>
      </c>
      <c r="FN516" s="15">
        <f t="shared" si="481"/>
        <v>0.19500000000000001</v>
      </c>
      <c r="FO516" s="15">
        <f>FN516*SQRT(AR516)</f>
        <v>0.33774990747593109</v>
      </c>
      <c r="FP516" s="15">
        <v>4.2300000000000004</v>
      </c>
      <c r="FQ516" s="15">
        <f t="shared" si="482"/>
        <v>0.21150000000000002</v>
      </c>
      <c r="FR516" s="15">
        <f>FQ516*SQRT(AR516)</f>
        <v>0.36632874580081759</v>
      </c>
      <c r="FS516" s="15">
        <f t="shared" si="483"/>
        <v>1.0846153846153848</v>
      </c>
      <c r="FT516" s="15">
        <f t="shared" si="484"/>
        <v>0.33000000000000052</v>
      </c>
      <c r="FU516" s="15">
        <f t="shared" si="485"/>
        <v>8.1225439922586018E-2</v>
      </c>
      <c r="FV516" s="15">
        <f>((FR516*FR516)/(AR516*FP516*FP516)+(FO516*FO516)/(AR516*FM516*FM516))</f>
        <v>5.000000000000001E-3</v>
      </c>
      <c r="HE516" s="15">
        <v>14970</v>
      </c>
      <c r="HF516" s="15">
        <v>748.50000000000011</v>
      </c>
      <c r="HG516" s="15">
        <f>HF516*SQRT(AR206)</f>
        <v>1296.4400294653049</v>
      </c>
      <c r="HH516" s="15">
        <v>15810</v>
      </c>
      <c r="HI516" s="15">
        <v>790.5</v>
      </c>
      <c r="HJ516" s="15">
        <f>HI516*SQRT(AR206)</f>
        <v>1369.1861633831975</v>
      </c>
      <c r="HK516" s="15">
        <f t="shared" si="470"/>
        <v>1.0561122244488979</v>
      </c>
      <c r="HL516" s="15">
        <f t="shared" si="471"/>
        <v>840</v>
      </c>
      <c r="HM516" s="15">
        <f t="shared" si="472"/>
        <v>5.4594452789844539E-2</v>
      </c>
      <c r="HN516" s="15">
        <f>((HJ516*HJ516)/(AR206*HH516*HH516)+(HG516*HG516)/(AR206*HE516*HE516))</f>
        <v>5.000000000000001E-3</v>
      </c>
      <c r="HP516" s="15" t="s">
        <v>766</v>
      </c>
      <c r="HV516" s="15">
        <f t="shared" si="473"/>
        <v>111.2750415025691</v>
      </c>
      <c r="HW516" s="15">
        <f t="shared" si="474"/>
        <v>5.4594452789844539E-2</v>
      </c>
      <c r="HX516" s="15">
        <f>BB516</f>
        <v>607.5</v>
      </c>
      <c r="HY516" s="15">
        <f>AZ516</f>
        <v>1012.5000000000001</v>
      </c>
      <c r="HZ516" s="15">
        <f>BA516</f>
        <v>0.34556313993174065</v>
      </c>
      <c r="IA516" s="15">
        <f>BB516</f>
        <v>607.5</v>
      </c>
    </row>
    <row r="517" spans="1:235" s="15" customFormat="1" ht="15.6" x14ac:dyDescent="0.25">
      <c r="A517" s="31">
        <v>515</v>
      </c>
      <c r="B517" s="1">
        <v>88</v>
      </c>
      <c r="C517" s="1">
        <v>106</v>
      </c>
      <c r="D517" s="15" t="s">
        <v>474</v>
      </c>
      <c r="E517" s="1">
        <v>1</v>
      </c>
      <c r="F517" s="15" t="s">
        <v>761</v>
      </c>
      <c r="G517" s="15" t="s">
        <v>1335</v>
      </c>
      <c r="H517" s="15" t="s">
        <v>1336</v>
      </c>
      <c r="I517" s="1">
        <v>2015</v>
      </c>
      <c r="J517" s="15" t="s">
        <v>1337</v>
      </c>
      <c r="K517" s="1">
        <v>2014</v>
      </c>
      <c r="L517" s="15" t="s">
        <v>1338</v>
      </c>
      <c r="M517" s="15" t="s">
        <v>480</v>
      </c>
      <c r="N517" s="15" t="s">
        <v>520</v>
      </c>
      <c r="O517" s="31">
        <v>2</v>
      </c>
      <c r="P517" s="15">
        <v>30.27</v>
      </c>
      <c r="Q517" s="15">
        <v>108.78</v>
      </c>
      <c r="R517" s="15">
        <v>1090</v>
      </c>
      <c r="S517" s="15">
        <v>1378</v>
      </c>
      <c r="T517" s="15">
        <v>11.1</v>
      </c>
      <c r="U517" s="15" t="s">
        <v>549</v>
      </c>
      <c r="V517" s="31">
        <v>1</v>
      </c>
      <c r="W517" s="15" t="s">
        <v>1158</v>
      </c>
      <c r="X517" s="15" t="s">
        <v>1339</v>
      </c>
      <c r="Y517" s="1">
        <v>4</v>
      </c>
      <c r="Z517" s="15">
        <v>4.1500000000000004</v>
      </c>
      <c r="AA517" s="15" t="s">
        <v>574</v>
      </c>
      <c r="AB517" s="15">
        <f t="shared" si="489"/>
        <v>4.1500000000000004</v>
      </c>
      <c r="AC517" s="1">
        <v>1</v>
      </c>
      <c r="AM517" s="1"/>
      <c r="AP517" s="15" t="s">
        <v>1180</v>
      </c>
      <c r="AQ517" s="1">
        <v>2</v>
      </c>
      <c r="AR517" s="1">
        <v>3</v>
      </c>
      <c r="AS517" s="15">
        <v>13.4</v>
      </c>
      <c r="AT517" s="15" t="s">
        <v>1340</v>
      </c>
      <c r="AW517" s="15">
        <v>1500</v>
      </c>
      <c r="AX517" s="15">
        <f>AW517*1.35</f>
        <v>2025.0000000000002</v>
      </c>
      <c r="AY517" s="15" t="s">
        <v>766</v>
      </c>
      <c r="AZ517" s="15">
        <f t="shared" si="476"/>
        <v>2025.0000000000002</v>
      </c>
      <c r="BA517" s="15">
        <f t="shared" si="477"/>
        <v>0.6911262798634813</v>
      </c>
      <c r="BB517" s="15">
        <f t="shared" si="478"/>
        <v>1215</v>
      </c>
      <c r="BP517" s="16"/>
      <c r="BQ517" s="16"/>
      <c r="BR517" s="16"/>
      <c r="BU517" s="16"/>
      <c r="EZ517" s="16"/>
      <c r="FA517" s="16"/>
      <c r="FB517" s="16"/>
      <c r="FC517" s="16"/>
      <c r="FD517" s="16"/>
      <c r="FE517" s="16"/>
      <c r="FF517" s="16"/>
      <c r="FG517" s="16"/>
      <c r="FH517" s="16"/>
      <c r="FI517" s="16"/>
      <c r="FJ517" s="16"/>
      <c r="FK517" s="16">
        <f t="shared" si="479"/>
        <v>3.9</v>
      </c>
      <c r="FL517" s="16">
        <f t="shared" si="480"/>
        <v>4.4400000000000004</v>
      </c>
      <c r="FM517" s="15">
        <v>3.9</v>
      </c>
      <c r="FN517" s="15">
        <f t="shared" si="481"/>
        <v>0.19500000000000001</v>
      </c>
      <c r="FO517" s="15">
        <f>FN517*SQRT(AR517)</f>
        <v>0.33774990747593109</v>
      </c>
      <c r="FP517" s="15">
        <v>4.4400000000000004</v>
      </c>
      <c r="FQ517" s="15">
        <f t="shared" si="482"/>
        <v>0.22200000000000003</v>
      </c>
      <c r="FR517" s="15">
        <f>FQ517*SQRT(AR517)</f>
        <v>0.38451527928029078</v>
      </c>
      <c r="FS517" s="15">
        <f t="shared" si="483"/>
        <v>1.1384615384615386</v>
      </c>
      <c r="FT517" s="15">
        <f t="shared" si="484"/>
        <v>0.54000000000000048</v>
      </c>
      <c r="FU517" s="15">
        <f t="shared" si="485"/>
        <v>0.12967782330853295</v>
      </c>
      <c r="FV517" s="15">
        <f>((FR517*FR517)/(AR517*FP517*FP517)+(FO517*FO517)/(AR517*FM517*FM517))</f>
        <v>5.000000000000001E-3</v>
      </c>
      <c r="HE517" s="15">
        <v>14970</v>
      </c>
      <c r="HF517" s="15">
        <v>748.50000000000011</v>
      </c>
      <c r="HG517" s="15">
        <f>HF517*SQRT(AR207)</f>
        <v>1296.4400294653049</v>
      </c>
      <c r="HH517" s="15">
        <v>16035</v>
      </c>
      <c r="HI517" s="15">
        <v>801.75</v>
      </c>
      <c r="HJ517" s="15">
        <f>HI517*SQRT(AR207)</f>
        <v>1388.6717349683472</v>
      </c>
      <c r="HK517" s="15">
        <f t="shared" si="470"/>
        <v>1.0711422845691383</v>
      </c>
      <c r="HL517" s="15">
        <f t="shared" si="471"/>
        <v>1065</v>
      </c>
      <c r="HM517" s="15">
        <f t="shared" si="472"/>
        <v>6.872563471358184E-2</v>
      </c>
      <c r="HN517" s="15">
        <f>((HJ517*HJ517)/(AR207*HH517*HH517)+(HG517*HG517)/(AR207*HE517*HE517))</f>
        <v>4.9999999999999992E-3</v>
      </c>
      <c r="HP517" s="15" t="s">
        <v>766</v>
      </c>
      <c r="HV517" s="15">
        <f t="shared" si="473"/>
        <v>176.78992781421147</v>
      </c>
      <c r="HW517" s="15">
        <f t="shared" si="474"/>
        <v>6.872563471358184E-2</v>
      </c>
      <c r="HX517" s="15">
        <f>BB517</f>
        <v>1215</v>
      </c>
      <c r="HY517" s="15">
        <f>AZ517</f>
        <v>2025.0000000000002</v>
      </c>
      <c r="HZ517" s="15">
        <f>BA517</f>
        <v>0.6911262798634813</v>
      </c>
      <c r="IA517" s="15">
        <f>BB517</f>
        <v>1215</v>
      </c>
    </row>
    <row r="518" spans="1:235" s="15" customFormat="1" ht="15.6" x14ac:dyDescent="0.25">
      <c r="A518" s="31">
        <v>516</v>
      </c>
      <c r="B518" s="1">
        <v>88</v>
      </c>
      <c r="C518" s="1">
        <v>106</v>
      </c>
      <c r="D518" s="15" t="s">
        <v>475</v>
      </c>
      <c r="E518" s="1">
        <v>1</v>
      </c>
      <c r="F518" s="15" t="s">
        <v>761</v>
      </c>
      <c r="G518" s="15" t="s">
        <v>1335</v>
      </c>
      <c r="H518" s="15" t="s">
        <v>1336</v>
      </c>
      <c r="I518" s="1">
        <v>2015</v>
      </c>
      <c r="J518" s="15" t="s">
        <v>1337</v>
      </c>
      <c r="K518" s="1">
        <v>2014</v>
      </c>
      <c r="L518" s="15" t="s">
        <v>1338</v>
      </c>
      <c r="M518" s="15" t="s">
        <v>480</v>
      </c>
      <c r="N518" s="15" t="s">
        <v>520</v>
      </c>
      <c r="O518" s="31">
        <v>2</v>
      </c>
      <c r="P518" s="15">
        <v>30.27</v>
      </c>
      <c r="Q518" s="15">
        <v>108.78</v>
      </c>
      <c r="R518" s="15">
        <v>1090</v>
      </c>
      <c r="S518" s="15">
        <v>1378</v>
      </c>
      <c r="T518" s="15">
        <v>11.1</v>
      </c>
      <c r="U518" s="15" t="s">
        <v>549</v>
      </c>
      <c r="V518" s="31">
        <v>1</v>
      </c>
      <c r="W518" s="15" t="s">
        <v>1158</v>
      </c>
      <c r="X518" s="15" t="s">
        <v>1339</v>
      </c>
      <c r="Y518" s="1">
        <v>4</v>
      </c>
      <c r="Z518" s="15">
        <v>4.1500000000000004</v>
      </c>
      <c r="AA518" s="15" t="s">
        <v>574</v>
      </c>
      <c r="AB518" s="15">
        <f t="shared" si="489"/>
        <v>4.1500000000000004</v>
      </c>
      <c r="AC518" s="1">
        <v>1</v>
      </c>
      <c r="AM518" s="1"/>
      <c r="AP518" s="15" t="s">
        <v>1180</v>
      </c>
      <c r="AQ518" s="1">
        <v>2</v>
      </c>
      <c r="AR518" s="1">
        <v>3</v>
      </c>
      <c r="AS518" s="15">
        <v>13.4</v>
      </c>
      <c r="AT518" s="15" t="s">
        <v>1340</v>
      </c>
      <c r="AW518" s="15">
        <v>2250</v>
      </c>
      <c r="AX518" s="15">
        <f>AW518*1.35</f>
        <v>3037.5</v>
      </c>
      <c r="AY518" s="15" t="s">
        <v>766</v>
      </c>
      <c r="AZ518" s="15">
        <f t="shared" si="476"/>
        <v>3037.5</v>
      </c>
      <c r="BA518" s="15">
        <f t="shared" si="477"/>
        <v>1.0366894197952217</v>
      </c>
      <c r="BB518" s="15">
        <f t="shared" si="478"/>
        <v>1822.5</v>
      </c>
      <c r="BP518" s="16"/>
      <c r="BQ518" s="16"/>
      <c r="BR518" s="16"/>
      <c r="BU518" s="16"/>
      <c r="EZ518" s="16"/>
      <c r="FA518" s="16"/>
      <c r="FB518" s="16"/>
      <c r="FC518" s="16"/>
      <c r="FD518" s="16"/>
      <c r="FE518" s="16"/>
      <c r="FF518" s="16"/>
      <c r="FG518" s="16"/>
      <c r="FH518" s="16"/>
      <c r="FI518" s="16"/>
      <c r="FJ518" s="16"/>
      <c r="FK518" s="16">
        <f t="shared" si="479"/>
        <v>3.9</v>
      </c>
      <c r="FL518" s="16">
        <f t="shared" si="480"/>
        <v>4.5</v>
      </c>
      <c r="FM518" s="15">
        <v>3.9</v>
      </c>
      <c r="FN518" s="15">
        <f t="shared" si="481"/>
        <v>0.19500000000000001</v>
      </c>
      <c r="FO518" s="15">
        <f>FN518*SQRT(AR518)</f>
        <v>0.33774990747593109</v>
      </c>
      <c r="FP518" s="15">
        <v>4.5</v>
      </c>
      <c r="FQ518" s="15">
        <f t="shared" si="482"/>
        <v>0.22500000000000001</v>
      </c>
      <c r="FR518" s="15">
        <f>FQ518*SQRT(AR518)</f>
        <v>0.38971143170299738</v>
      </c>
      <c r="FS518" s="15">
        <f t="shared" si="483"/>
        <v>1.153846153846154</v>
      </c>
      <c r="FT518" s="15">
        <f t="shared" si="484"/>
        <v>0.60000000000000009</v>
      </c>
      <c r="FU518" s="15">
        <f t="shared" si="485"/>
        <v>0.14310084364067355</v>
      </c>
      <c r="FV518" s="15">
        <f>((FR518*FR518)/(AR518*FP518*FP518)+(FO518*FO518)/(AR518*FM518*FM518))</f>
        <v>5.0000000000000001E-3</v>
      </c>
      <c r="HE518" s="15">
        <v>14970</v>
      </c>
      <c r="HF518" s="15">
        <v>748.50000000000011</v>
      </c>
      <c r="HG518" s="15">
        <f>HF518*SQRT(AR208)</f>
        <v>1296.4400294653049</v>
      </c>
      <c r="HH518" s="15">
        <v>16785</v>
      </c>
      <c r="HI518" s="15">
        <v>839.25</v>
      </c>
      <c r="HJ518" s="15">
        <f>HI518*SQRT(AR208)</f>
        <v>1453.6236402521802</v>
      </c>
      <c r="HK518" s="15">
        <f t="shared" si="470"/>
        <v>1.1212424849699398</v>
      </c>
      <c r="HL518" s="15">
        <f t="shared" si="471"/>
        <v>1815</v>
      </c>
      <c r="HM518" s="15">
        <f t="shared" si="472"/>
        <v>0.11443743200046086</v>
      </c>
      <c r="HN518" s="15">
        <f>((HJ518*HJ518)/(AR208*HH518*HH518)+(HG518*HG518)/(AR208*HE518*HE518))</f>
        <v>5.0000000000000001E-3</v>
      </c>
      <c r="HP518" s="15" t="s">
        <v>766</v>
      </c>
      <c r="HV518" s="15">
        <f t="shared" si="473"/>
        <v>159.25733111458325</v>
      </c>
      <c r="HW518" s="15">
        <f t="shared" si="474"/>
        <v>0.11443743200046086</v>
      </c>
      <c r="HX518" s="15">
        <f>BB518</f>
        <v>1822.5</v>
      </c>
      <c r="HY518" s="15">
        <f>AZ518</f>
        <v>3037.5</v>
      </c>
      <c r="HZ518" s="15">
        <f>BA518</f>
        <v>1.0366894197952217</v>
      </c>
      <c r="IA518" s="15">
        <f>BB518</f>
        <v>1822.5</v>
      </c>
    </row>
    <row r="519" spans="1:235" s="15" customFormat="1" ht="15.6" x14ac:dyDescent="0.25">
      <c r="A519" s="31">
        <v>517</v>
      </c>
      <c r="B519" s="1">
        <v>88</v>
      </c>
      <c r="C519" s="1">
        <v>106</v>
      </c>
      <c r="D519" s="15" t="s">
        <v>476</v>
      </c>
      <c r="E519" s="1">
        <v>1</v>
      </c>
      <c r="F519" s="15" t="s">
        <v>761</v>
      </c>
      <c r="G519" s="15" t="s">
        <v>1335</v>
      </c>
      <c r="H519" s="15" t="s">
        <v>1336</v>
      </c>
      <c r="I519" s="1">
        <v>2015</v>
      </c>
      <c r="J519" s="15" t="s">
        <v>1337</v>
      </c>
      <c r="K519" s="1">
        <v>2014</v>
      </c>
      <c r="L519" s="15" t="s">
        <v>1338</v>
      </c>
      <c r="M519" s="15" t="s">
        <v>480</v>
      </c>
      <c r="N519" s="15" t="s">
        <v>520</v>
      </c>
      <c r="O519" s="31">
        <v>2</v>
      </c>
      <c r="P519" s="15">
        <v>30.27</v>
      </c>
      <c r="Q519" s="15">
        <v>108.78</v>
      </c>
      <c r="R519" s="15">
        <v>1090</v>
      </c>
      <c r="S519" s="15">
        <v>1378</v>
      </c>
      <c r="T519" s="15">
        <v>11.1</v>
      </c>
      <c r="U519" s="15" t="s">
        <v>549</v>
      </c>
      <c r="V519" s="31">
        <v>1</v>
      </c>
      <c r="W519" s="15" t="s">
        <v>1158</v>
      </c>
      <c r="X519" s="15" t="s">
        <v>1339</v>
      </c>
      <c r="Y519" s="1">
        <v>4</v>
      </c>
      <c r="Z519" s="15">
        <v>4.1500000000000004</v>
      </c>
      <c r="AA519" s="15" t="s">
        <v>574</v>
      </c>
      <c r="AB519" s="15">
        <f t="shared" si="489"/>
        <v>4.1500000000000004</v>
      </c>
      <c r="AC519" s="1">
        <v>1</v>
      </c>
      <c r="AM519" s="1"/>
      <c r="AP519" s="15" t="s">
        <v>1180</v>
      </c>
      <c r="AQ519" s="1">
        <v>2</v>
      </c>
      <c r="AR519" s="1">
        <v>3</v>
      </c>
      <c r="AS519" s="15">
        <v>13.4</v>
      </c>
      <c r="AT519" s="15" t="s">
        <v>1340</v>
      </c>
      <c r="AW519" s="15">
        <v>3000</v>
      </c>
      <c r="AX519" s="15">
        <f>AW519*1.35</f>
        <v>4050.0000000000005</v>
      </c>
      <c r="AY519" s="15" t="s">
        <v>766</v>
      </c>
      <c r="AZ519" s="15">
        <f t="shared" si="476"/>
        <v>4050.0000000000005</v>
      </c>
      <c r="BA519" s="15">
        <f t="shared" si="477"/>
        <v>1.3822525597269626</v>
      </c>
      <c r="BB519" s="15">
        <f t="shared" si="478"/>
        <v>2430</v>
      </c>
      <c r="BP519" s="16"/>
      <c r="BQ519" s="16"/>
      <c r="BR519" s="16"/>
      <c r="BU519" s="16"/>
      <c r="EZ519" s="16"/>
      <c r="FA519" s="16"/>
      <c r="FB519" s="16"/>
      <c r="FC519" s="16"/>
      <c r="FD519" s="16"/>
      <c r="FE519" s="16"/>
      <c r="FF519" s="16"/>
      <c r="FG519" s="16"/>
      <c r="FH519" s="16"/>
      <c r="FI519" s="16"/>
      <c r="FJ519" s="16"/>
      <c r="FK519" s="16">
        <f t="shared" si="479"/>
        <v>3.9</v>
      </c>
      <c r="FL519" s="16">
        <f t="shared" si="480"/>
        <v>4.58</v>
      </c>
      <c r="FM519" s="15">
        <v>3.9</v>
      </c>
      <c r="FN519" s="15">
        <f t="shared" si="481"/>
        <v>0.19500000000000001</v>
      </c>
      <c r="FO519" s="15">
        <f>FN519*SQRT(AR519)</f>
        <v>0.33774990747593109</v>
      </c>
      <c r="FP519" s="15">
        <v>4.58</v>
      </c>
      <c r="FQ519" s="15">
        <f t="shared" si="482"/>
        <v>0.22900000000000001</v>
      </c>
      <c r="FR519" s="15">
        <f>FQ519*SQRT(AR519)</f>
        <v>0.39663963493327287</v>
      </c>
      <c r="FS519" s="15">
        <f t="shared" si="483"/>
        <v>1.1743589743589744</v>
      </c>
      <c r="FT519" s="15">
        <f t="shared" si="484"/>
        <v>0.68000000000000016</v>
      </c>
      <c r="FU519" s="15">
        <f t="shared" si="485"/>
        <v>0.16072244499049293</v>
      </c>
      <c r="FV519" s="15">
        <f>((FR519*FR519)/(AR519*FP519*FP519)+(FO519*FO519)/(AR519*FM519*FM519))</f>
        <v>4.9999999999999992E-3</v>
      </c>
      <c r="HE519" s="15">
        <v>14970</v>
      </c>
      <c r="HF519" s="15">
        <v>748.50000000000011</v>
      </c>
      <c r="HG519" s="15">
        <f>HF519*SQRT(AR209)</f>
        <v>1296.4400294653049</v>
      </c>
      <c r="HH519" s="15">
        <v>16710</v>
      </c>
      <c r="HI519" s="15">
        <v>835.5</v>
      </c>
      <c r="HJ519" s="15">
        <f>HI519*SQRT(AR209)</f>
        <v>1447.1284497237968</v>
      </c>
      <c r="HK519" s="15">
        <f t="shared" si="470"/>
        <v>1.1162324649298596</v>
      </c>
      <c r="HL519" s="15">
        <f t="shared" si="471"/>
        <v>1740</v>
      </c>
      <c r="HM519" s="15">
        <f t="shared" si="472"/>
        <v>0.10995914417576635</v>
      </c>
      <c r="HN519" s="15">
        <f>((HJ519*HJ519)/(AR209*HH519*HH519)+(HG519*HG519)/(AR209*HE519*HE519))</f>
        <v>5.0000000000000001E-3</v>
      </c>
      <c r="HP519" s="15" t="s">
        <v>766</v>
      </c>
      <c r="HV519" s="15">
        <f t="shared" si="473"/>
        <v>220.99117069479178</v>
      </c>
      <c r="HW519" s="15">
        <f t="shared" si="474"/>
        <v>0.10995914417576635</v>
      </c>
      <c r="HX519" s="15">
        <f>BB519</f>
        <v>2430</v>
      </c>
      <c r="HY519" s="15">
        <f>AZ519</f>
        <v>4050.0000000000005</v>
      </c>
      <c r="HZ519" s="15">
        <f>BA519</f>
        <v>1.3822525597269626</v>
      </c>
      <c r="IA519" s="15">
        <f>BB519</f>
        <v>2430</v>
      </c>
    </row>
    <row r="520" spans="1:235" s="15" customFormat="1" ht="15.6" x14ac:dyDescent="0.25">
      <c r="A520" s="31">
        <v>518</v>
      </c>
      <c r="B520" s="1">
        <v>88</v>
      </c>
      <c r="C520" s="1">
        <v>106</v>
      </c>
      <c r="D520" s="15" t="s">
        <v>477</v>
      </c>
      <c r="E520" s="1">
        <v>1</v>
      </c>
      <c r="F520" s="15" t="s">
        <v>761</v>
      </c>
      <c r="G520" s="15" t="s">
        <v>1335</v>
      </c>
      <c r="H520" s="15" t="s">
        <v>1336</v>
      </c>
      <c r="I520" s="1">
        <v>2015</v>
      </c>
      <c r="J520" s="15" t="s">
        <v>1337</v>
      </c>
      <c r="K520" s="1">
        <v>2014</v>
      </c>
      <c r="L520" s="15" t="s">
        <v>1338</v>
      </c>
      <c r="M520" s="15" t="s">
        <v>480</v>
      </c>
      <c r="N520" s="15" t="s">
        <v>520</v>
      </c>
      <c r="O520" s="31">
        <v>2</v>
      </c>
      <c r="P520" s="15">
        <v>30.27</v>
      </c>
      <c r="Q520" s="15">
        <v>108.78</v>
      </c>
      <c r="R520" s="15">
        <v>1090</v>
      </c>
      <c r="S520" s="15">
        <v>1378</v>
      </c>
      <c r="T520" s="15">
        <v>11.1</v>
      </c>
      <c r="U520" s="15" t="s">
        <v>549</v>
      </c>
      <c r="V520" s="31">
        <v>1</v>
      </c>
      <c r="W520" s="15" t="s">
        <v>1158</v>
      </c>
      <c r="X520" s="15" t="s">
        <v>1339</v>
      </c>
      <c r="Y520" s="1">
        <v>4</v>
      </c>
      <c r="Z520" s="15">
        <v>4.1500000000000004</v>
      </c>
      <c r="AA520" s="15" t="s">
        <v>574</v>
      </c>
      <c r="AB520" s="15">
        <f t="shared" si="489"/>
        <v>4.1500000000000004</v>
      </c>
      <c r="AC520" s="1">
        <v>1</v>
      </c>
      <c r="AM520" s="1"/>
      <c r="AP520" s="15" t="s">
        <v>1180</v>
      </c>
      <c r="AQ520" s="1">
        <v>2</v>
      </c>
      <c r="AR520" s="1">
        <v>3</v>
      </c>
      <c r="AS520" s="15">
        <v>13.4</v>
      </c>
      <c r="AT520" s="15" t="s">
        <v>1340</v>
      </c>
      <c r="AW520" s="15">
        <v>3750</v>
      </c>
      <c r="AX520" s="15">
        <f>AW520*1.35</f>
        <v>5062.5</v>
      </c>
      <c r="AY520" s="15" t="s">
        <v>766</v>
      </c>
      <c r="AZ520" s="15">
        <f t="shared" si="476"/>
        <v>5062.5</v>
      </c>
      <c r="BA520" s="15">
        <f t="shared" si="477"/>
        <v>1.7278156996587029</v>
      </c>
      <c r="BB520" s="15">
        <f t="shared" si="478"/>
        <v>3037.5</v>
      </c>
      <c r="BP520" s="16"/>
      <c r="BQ520" s="16"/>
      <c r="BR520" s="16"/>
      <c r="BU520" s="16"/>
      <c r="EZ520" s="16"/>
      <c r="FA520" s="16"/>
      <c r="FB520" s="16"/>
      <c r="FC520" s="16"/>
      <c r="FD520" s="16"/>
      <c r="FE520" s="16"/>
      <c r="FF520" s="16"/>
      <c r="FG520" s="16"/>
      <c r="FH520" s="16"/>
      <c r="FI520" s="16"/>
      <c r="FJ520" s="16"/>
      <c r="FK520" s="16">
        <f t="shared" si="479"/>
        <v>3.9</v>
      </c>
      <c r="FL520" s="16">
        <f t="shared" si="480"/>
        <v>4.8</v>
      </c>
      <c r="FM520" s="15">
        <v>3.9</v>
      </c>
      <c r="FN520" s="15">
        <f t="shared" si="481"/>
        <v>0.19500000000000001</v>
      </c>
      <c r="FO520" s="15">
        <f>FN520*SQRT(AR520)</f>
        <v>0.33774990747593109</v>
      </c>
      <c r="FP520" s="15">
        <v>4.8</v>
      </c>
      <c r="FQ520" s="15">
        <f t="shared" si="482"/>
        <v>0.24</v>
      </c>
      <c r="FR520" s="15">
        <f>FQ520*SQRT(AR520)</f>
        <v>0.4156921938165305</v>
      </c>
      <c r="FS520" s="15">
        <f t="shared" si="483"/>
        <v>1.2307692307692308</v>
      </c>
      <c r="FT520" s="15">
        <f t="shared" si="484"/>
        <v>0.89999999999999991</v>
      </c>
      <c r="FU520" s="15">
        <f t="shared" si="485"/>
        <v>0.20763936477824463</v>
      </c>
      <c r="FV520" s="15">
        <f>((FR520*FR520)/(AR520*FP520*FP520)+(FO520*FO520)/(AR520*FM520*FM520))</f>
        <v>5.0000000000000001E-3</v>
      </c>
      <c r="HE520" s="15">
        <v>14970</v>
      </c>
      <c r="HF520" s="15">
        <v>748.50000000000011</v>
      </c>
      <c r="HG520" s="15">
        <f>HF520*SQRT(AR210)</f>
        <v>1296.4400294653049</v>
      </c>
      <c r="HH520" s="15">
        <v>16455</v>
      </c>
      <c r="HI520" s="15">
        <v>822.75</v>
      </c>
      <c r="HJ520" s="15">
        <f>HI520*SQRT(AR210)</f>
        <v>1425.0448019272937</v>
      </c>
      <c r="HK520" s="15">
        <f t="shared" si="470"/>
        <v>1.0991983967935872</v>
      </c>
      <c r="HL520" s="15">
        <f t="shared" si="471"/>
        <v>1485</v>
      </c>
      <c r="HM520" s="15">
        <f t="shared" si="472"/>
        <v>9.4581183963766691E-2</v>
      </c>
      <c r="HN520" s="15">
        <f>((HJ520*HJ520)/(AR210*HH520*HH520)+(HG520*HG520)/(AR210*HE520*HE520))</f>
        <v>5.0000000000000001E-3</v>
      </c>
      <c r="HP520" s="15" t="s">
        <v>766</v>
      </c>
      <c r="HV520" s="15">
        <f t="shared" si="473"/>
        <v>321.15267251926582</v>
      </c>
      <c r="HW520" s="15">
        <f t="shared" si="474"/>
        <v>9.4581183963766691E-2</v>
      </c>
      <c r="HX520" s="15">
        <f>BB520</f>
        <v>3037.5</v>
      </c>
      <c r="HY520" s="15">
        <f>AZ520</f>
        <v>5062.5</v>
      </c>
      <c r="HZ520" s="15">
        <f>BA520</f>
        <v>1.7278156996587029</v>
      </c>
      <c r="IA520" s="15">
        <f>BB520</f>
        <v>3037.5</v>
      </c>
    </row>
    <row r="521" spans="1:235" s="15" customFormat="1" x14ac:dyDescent="0.25">
      <c r="A521" s="31">
        <v>519</v>
      </c>
      <c r="B521" s="1">
        <v>89</v>
      </c>
      <c r="C521" s="1">
        <v>107</v>
      </c>
      <c r="D521" s="15" t="s">
        <v>1342</v>
      </c>
      <c r="E521" s="1">
        <v>2</v>
      </c>
      <c r="F521" s="15" t="s">
        <v>777</v>
      </c>
      <c r="G521" s="15" t="s">
        <v>1346</v>
      </c>
      <c r="H521" s="15" t="s">
        <v>1347</v>
      </c>
      <c r="I521" s="1">
        <v>2011</v>
      </c>
      <c r="J521" s="15" t="s">
        <v>1348</v>
      </c>
      <c r="K521" s="1">
        <v>2011</v>
      </c>
      <c r="L521" s="15" t="s">
        <v>1349</v>
      </c>
      <c r="M521" s="15" t="s">
        <v>480</v>
      </c>
      <c r="N521" s="15" t="s">
        <v>520</v>
      </c>
      <c r="O521" s="31">
        <v>2</v>
      </c>
      <c r="P521" s="15">
        <v>41.8</v>
      </c>
      <c r="Q521" s="15">
        <v>123.55</v>
      </c>
      <c r="S521" s="15">
        <v>736</v>
      </c>
      <c r="T521" s="15">
        <v>7.5</v>
      </c>
      <c r="U521" s="15" t="s">
        <v>549</v>
      </c>
      <c r="V521" s="31">
        <v>1</v>
      </c>
      <c r="W521" s="15" t="s">
        <v>1158</v>
      </c>
      <c r="X521" s="15" t="s">
        <v>1147</v>
      </c>
      <c r="Y521" s="1">
        <v>5</v>
      </c>
      <c r="Z521" s="15">
        <v>6.2</v>
      </c>
      <c r="AA521" s="15" t="s">
        <v>574</v>
      </c>
      <c r="AB521" s="15">
        <f t="shared" si="489"/>
        <v>6.2</v>
      </c>
      <c r="AC521" s="1">
        <v>5</v>
      </c>
      <c r="AD521" s="15">
        <v>13.83</v>
      </c>
      <c r="AM521" s="1"/>
      <c r="AQ521" s="1"/>
      <c r="AR521" s="1">
        <v>3</v>
      </c>
      <c r="BP521" s="16"/>
      <c r="BQ521" s="16"/>
      <c r="BR521" s="16"/>
      <c r="BU521" s="16"/>
      <c r="CE521" s="15">
        <v>750</v>
      </c>
      <c r="CF521" s="15">
        <f>CE521</f>
        <v>750</v>
      </c>
      <c r="CG521" s="15" t="s">
        <v>766</v>
      </c>
      <c r="CY521" s="25">
        <f>CF521</f>
        <v>750</v>
      </c>
      <c r="CZ521" s="25">
        <f>CY521/0.78/1000</f>
        <v>0.96153846153846156</v>
      </c>
      <c r="DA521" s="25">
        <f>CY521*3</f>
        <v>2250</v>
      </c>
      <c r="EZ521" s="16"/>
      <c r="FA521" s="16"/>
      <c r="FB521" s="16"/>
      <c r="FC521" s="16"/>
      <c r="FD521" s="16"/>
      <c r="FE521" s="16"/>
      <c r="FF521" s="16"/>
      <c r="FG521" s="16"/>
      <c r="FH521" s="16"/>
      <c r="FI521" s="16"/>
      <c r="FJ521" s="16"/>
      <c r="FK521" s="16">
        <f t="shared" si="479"/>
        <v>6.64</v>
      </c>
      <c r="FL521" s="16">
        <f t="shared" si="480"/>
        <v>6.69</v>
      </c>
      <c r="FM521" s="15">
        <v>6.64</v>
      </c>
      <c r="FN521" s="15">
        <f t="shared" si="481"/>
        <v>0.33200000000000002</v>
      </c>
      <c r="FO521" s="15">
        <f>FN521*SQRT(AR521)</f>
        <v>0.57504086811286725</v>
      </c>
      <c r="FP521" s="15">
        <v>6.69</v>
      </c>
      <c r="FQ521" s="15">
        <f t="shared" si="482"/>
        <v>0.33450000000000002</v>
      </c>
      <c r="FR521" s="15">
        <f>FQ521*SQRT(AR521)</f>
        <v>0.57937099513178947</v>
      </c>
      <c r="FS521" s="15">
        <f t="shared" si="483"/>
        <v>1.0075301204819278</v>
      </c>
      <c r="FT521" s="15">
        <f t="shared" si="484"/>
        <v>5.0000000000000711E-2</v>
      </c>
      <c r="FU521" s="15">
        <f t="shared" si="485"/>
        <v>7.5019106517946188E-3</v>
      </c>
      <c r="FV521" s="15">
        <f>((FR521*FR521)/(AR521*FP521*FP521)+(FO521*FO521)/(AR521*FM521*FM521))</f>
        <v>5.000000000000001E-3</v>
      </c>
      <c r="HY521" s="25">
        <f>CY521</f>
        <v>750</v>
      </c>
      <c r="HZ521" s="25">
        <f>CZ521</f>
        <v>0.96153846153846156</v>
      </c>
      <c r="IA521" s="25">
        <f>DA521</f>
        <v>2250</v>
      </c>
    </row>
    <row r="522" spans="1:235" s="15" customFormat="1" x14ac:dyDescent="0.25">
      <c r="A522" s="31">
        <v>520</v>
      </c>
      <c r="B522" s="1">
        <v>89</v>
      </c>
      <c r="C522" s="1">
        <v>107</v>
      </c>
      <c r="D522" s="15" t="s">
        <v>1343</v>
      </c>
      <c r="E522" s="1">
        <v>2</v>
      </c>
      <c r="F522" s="15" t="s">
        <v>777</v>
      </c>
      <c r="G522" s="15" t="s">
        <v>1346</v>
      </c>
      <c r="H522" s="15" t="s">
        <v>1347</v>
      </c>
      <c r="I522" s="1">
        <v>2011</v>
      </c>
      <c r="J522" s="15" t="s">
        <v>1348</v>
      </c>
      <c r="K522" s="1">
        <v>2011</v>
      </c>
      <c r="L522" s="15" t="s">
        <v>1349</v>
      </c>
      <c r="M522" s="15" t="s">
        <v>480</v>
      </c>
      <c r="N522" s="15" t="s">
        <v>520</v>
      </c>
      <c r="O522" s="31">
        <v>2</v>
      </c>
      <c r="P522" s="15">
        <v>41.8</v>
      </c>
      <c r="Q522" s="15">
        <v>123.55</v>
      </c>
      <c r="S522" s="15">
        <v>736</v>
      </c>
      <c r="T522" s="15">
        <v>7.5</v>
      </c>
      <c r="U522" s="15" t="s">
        <v>549</v>
      </c>
      <c r="V522" s="31">
        <v>1</v>
      </c>
      <c r="W522" s="15" t="s">
        <v>1158</v>
      </c>
      <c r="X522" s="15" t="s">
        <v>1147</v>
      </c>
      <c r="Y522" s="1">
        <v>5</v>
      </c>
      <c r="Z522" s="15">
        <v>6.2</v>
      </c>
      <c r="AA522" s="15" t="s">
        <v>574</v>
      </c>
      <c r="AB522" s="15">
        <f t="shared" si="489"/>
        <v>6.2</v>
      </c>
      <c r="AC522" s="1">
        <v>5</v>
      </c>
      <c r="AD522" s="15">
        <v>13.83</v>
      </c>
      <c r="AM522" s="1"/>
      <c r="AQ522" s="1"/>
      <c r="AR522" s="1">
        <v>3</v>
      </c>
      <c r="BP522" s="16"/>
      <c r="BQ522" s="16"/>
      <c r="BR522" s="16"/>
      <c r="BU522" s="16"/>
      <c r="CE522" s="15">
        <v>1500</v>
      </c>
      <c r="CF522" s="15">
        <f>CE522</f>
        <v>1500</v>
      </c>
      <c r="CG522" s="15" t="s">
        <v>766</v>
      </c>
      <c r="CY522" s="25">
        <f>CF522</f>
        <v>1500</v>
      </c>
      <c r="CZ522" s="25">
        <f>CY522/0.78/1000</f>
        <v>1.9230769230769231</v>
      </c>
      <c r="DA522" s="25">
        <f>CY522*3</f>
        <v>4500</v>
      </c>
      <c r="EZ522" s="16"/>
      <c r="FA522" s="16"/>
      <c r="FB522" s="16"/>
      <c r="FC522" s="16"/>
      <c r="FD522" s="16"/>
      <c r="FE522" s="16"/>
      <c r="FF522" s="16"/>
      <c r="FG522" s="16"/>
      <c r="FH522" s="16"/>
      <c r="FI522" s="16"/>
      <c r="FJ522" s="16"/>
      <c r="FK522" s="16">
        <f t="shared" si="479"/>
        <v>6.64</v>
      </c>
      <c r="FL522" s="16">
        <f t="shared" si="480"/>
        <v>6.81</v>
      </c>
      <c r="FM522" s="15">
        <v>6.64</v>
      </c>
      <c r="FN522" s="15">
        <f t="shared" si="481"/>
        <v>0.33200000000000002</v>
      </c>
      <c r="FO522" s="15">
        <f>FN522*SQRT(AR522)</f>
        <v>0.57504086811286725</v>
      </c>
      <c r="FP522" s="15">
        <v>6.81</v>
      </c>
      <c r="FQ522" s="15">
        <f t="shared" si="482"/>
        <v>0.34050000000000002</v>
      </c>
      <c r="FR522" s="15">
        <f>FQ522*SQRT(AR522)</f>
        <v>0.58976329997720278</v>
      </c>
      <c r="FS522" s="15">
        <f t="shared" si="483"/>
        <v>1.0256024096385543</v>
      </c>
      <c r="FT522" s="15">
        <f t="shared" si="484"/>
        <v>0.16999999999999993</v>
      </c>
      <c r="FU522" s="15">
        <f t="shared" si="485"/>
        <v>2.528015667307848E-2</v>
      </c>
      <c r="FV522" s="15">
        <f>((FR522*FR522)/(AR522*FP522*FP522)+(FO522*FO522)/(AR522*FM522*FM522))</f>
        <v>5.000000000000001E-3</v>
      </c>
      <c r="HY522" s="25">
        <f>CY522</f>
        <v>1500</v>
      </c>
      <c r="HZ522" s="25">
        <f>CZ522</f>
        <v>1.9230769230769231</v>
      </c>
      <c r="IA522" s="25">
        <f>DA522</f>
        <v>4500</v>
      </c>
    </row>
    <row r="523" spans="1:235" s="15" customFormat="1" x14ac:dyDescent="0.25">
      <c r="A523" s="31">
        <v>521</v>
      </c>
      <c r="B523" s="1">
        <v>89</v>
      </c>
      <c r="C523" s="1">
        <v>107</v>
      </c>
      <c r="D523" s="15" t="s">
        <v>1344</v>
      </c>
      <c r="E523" s="1">
        <v>2</v>
      </c>
      <c r="F523" s="15" t="s">
        <v>777</v>
      </c>
      <c r="G523" s="15" t="s">
        <v>1346</v>
      </c>
      <c r="H523" s="15" t="s">
        <v>1347</v>
      </c>
      <c r="I523" s="1">
        <v>2011</v>
      </c>
      <c r="J523" s="15" t="s">
        <v>1348</v>
      </c>
      <c r="K523" s="1">
        <v>2011</v>
      </c>
      <c r="L523" s="15" t="s">
        <v>1349</v>
      </c>
      <c r="M523" s="15" t="s">
        <v>480</v>
      </c>
      <c r="N523" s="15" t="s">
        <v>520</v>
      </c>
      <c r="O523" s="31">
        <v>2</v>
      </c>
      <c r="P523" s="15">
        <v>41.8</v>
      </c>
      <c r="Q523" s="15">
        <v>123.55</v>
      </c>
      <c r="S523" s="15">
        <v>736</v>
      </c>
      <c r="T523" s="15">
        <v>7.5</v>
      </c>
      <c r="U523" s="15" t="s">
        <v>549</v>
      </c>
      <c r="V523" s="31">
        <v>1</v>
      </c>
      <c r="W523" s="15" t="s">
        <v>1158</v>
      </c>
      <c r="X523" s="15" t="s">
        <v>1147</v>
      </c>
      <c r="Y523" s="1">
        <v>5</v>
      </c>
      <c r="Z523" s="15">
        <v>6.2</v>
      </c>
      <c r="AA523" s="15" t="s">
        <v>574</v>
      </c>
      <c r="AB523" s="15">
        <f t="shared" si="489"/>
        <v>6.2</v>
      </c>
      <c r="AC523" s="1">
        <v>5</v>
      </c>
      <c r="AD523" s="15">
        <v>13.83</v>
      </c>
      <c r="AM523" s="1"/>
      <c r="AQ523" s="1"/>
      <c r="AR523" s="1">
        <v>3</v>
      </c>
      <c r="BP523" s="16"/>
      <c r="BQ523" s="16"/>
      <c r="BR523" s="16"/>
      <c r="BU523" s="16"/>
      <c r="CE523" s="15">
        <v>3000</v>
      </c>
      <c r="CF523" s="15">
        <f>CE523</f>
        <v>3000</v>
      </c>
      <c r="CG523" s="15" t="s">
        <v>766</v>
      </c>
      <c r="CY523" s="25">
        <f>CF523</f>
        <v>3000</v>
      </c>
      <c r="CZ523" s="25">
        <f>CY523/0.78/1000</f>
        <v>3.8461538461538463</v>
      </c>
      <c r="DA523" s="25">
        <f>CY523*3</f>
        <v>9000</v>
      </c>
      <c r="EZ523" s="16"/>
      <c r="FA523" s="16"/>
      <c r="FB523" s="16"/>
      <c r="FC523" s="16"/>
      <c r="FD523" s="16"/>
      <c r="FE523" s="16"/>
      <c r="FF523" s="16"/>
      <c r="FG523" s="16"/>
      <c r="FH523" s="16"/>
      <c r="FI523" s="16"/>
      <c r="FJ523" s="16"/>
      <c r="FK523" s="16">
        <f t="shared" si="479"/>
        <v>6.64</v>
      </c>
      <c r="FL523" s="16">
        <f t="shared" si="480"/>
        <v>6.94</v>
      </c>
      <c r="FM523" s="15">
        <v>6.64</v>
      </c>
      <c r="FN523" s="15">
        <f t="shared" si="481"/>
        <v>0.33200000000000002</v>
      </c>
      <c r="FO523" s="15">
        <f>FN523*SQRT(AR523)</f>
        <v>0.57504086811286725</v>
      </c>
      <c r="FP523" s="15">
        <v>6.94</v>
      </c>
      <c r="FQ523" s="15">
        <f t="shared" si="482"/>
        <v>0.34700000000000003</v>
      </c>
      <c r="FR523" s="15">
        <f>FQ523*SQRT(AR523)</f>
        <v>0.60102163022640043</v>
      </c>
      <c r="FS523" s="15">
        <f t="shared" si="483"/>
        <v>1.0451807228915664</v>
      </c>
      <c r="FT523" s="15">
        <f t="shared" si="484"/>
        <v>0.30000000000000071</v>
      </c>
      <c r="FU523" s="15">
        <f t="shared" si="485"/>
        <v>4.4189811030370674E-2</v>
      </c>
      <c r="FV523" s="15">
        <f>((FR523*FR523)/(AR523*FP523*FP523)+(FO523*FO523)/(AR523*FM523*FM523))</f>
        <v>5.000000000000001E-3</v>
      </c>
      <c r="HY523" s="25">
        <f>CY523</f>
        <v>3000</v>
      </c>
      <c r="HZ523" s="25">
        <f>CZ523</f>
        <v>3.8461538461538463</v>
      </c>
      <c r="IA523" s="25">
        <f>DA523</f>
        <v>9000</v>
      </c>
    </row>
    <row r="524" spans="1:235" s="15" customFormat="1" x14ac:dyDescent="0.25">
      <c r="A524" s="31">
        <v>522</v>
      </c>
      <c r="B524" s="1">
        <v>89</v>
      </c>
      <c r="C524" s="1">
        <v>107</v>
      </c>
      <c r="D524" s="15" t="s">
        <v>1345</v>
      </c>
      <c r="E524" s="1">
        <v>2</v>
      </c>
      <c r="F524" s="15" t="s">
        <v>777</v>
      </c>
      <c r="G524" s="15" t="s">
        <v>1346</v>
      </c>
      <c r="H524" s="15" t="s">
        <v>1347</v>
      </c>
      <c r="I524" s="1">
        <v>2011</v>
      </c>
      <c r="J524" s="15" t="s">
        <v>1348</v>
      </c>
      <c r="K524" s="1">
        <v>2011</v>
      </c>
      <c r="L524" s="15" t="s">
        <v>1349</v>
      </c>
      <c r="M524" s="15" t="s">
        <v>480</v>
      </c>
      <c r="N524" s="15" t="s">
        <v>520</v>
      </c>
      <c r="O524" s="31">
        <v>2</v>
      </c>
      <c r="P524" s="15">
        <v>41.8</v>
      </c>
      <c r="Q524" s="15">
        <v>123.55</v>
      </c>
      <c r="S524" s="15">
        <v>736</v>
      </c>
      <c r="T524" s="15">
        <v>7.5</v>
      </c>
      <c r="U524" s="15" t="s">
        <v>549</v>
      </c>
      <c r="V524" s="31">
        <v>1</v>
      </c>
      <c r="W524" s="15" t="s">
        <v>1158</v>
      </c>
      <c r="X524" s="15" t="s">
        <v>1147</v>
      </c>
      <c r="Y524" s="1">
        <v>5</v>
      </c>
      <c r="Z524" s="15">
        <v>6.2</v>
      </c>
      <c r="AA524" s="15" t="s">
        <v>574</v>
      </c>
      <c r="AB524" s="15">
        <f t="shared" si="489"/>
        <v>6.2</v>
      </c>
      <c r="AC524" s="1">
        <v>5</v>
      </c>
      <c r="AD524" s="15">
        <v>13.83</v>
      </c>
      <c r="AM524" s="1"/>
      <c r="AQ524" s="1"/>
      <c r="AR524" s="1">
        <v>3</v>
      </c>
      <c r="BP524" s="16"/>
      <c r="BQ524" s="16"/>
      <c r="BR524" s="16"/>
      <c r="BU524" s="16"/>
      <c r="CE524" s="15">
        <v>6000</v>
      </c>
      <c r="CF524" s="15">
        <f>CE524</f>
        <v>6000</v>
      </c>
      <c r="CG524" s="15" t="s">
        <v>766</v>
      </c>
      <c r="CY524" s="25">
        <f>CF524</f>
        <v>6000</v>
      </c>
      <c r="CZ524" s="25">
        <f>CY524/0.78/1000</f>
        <v>7.6923076923076925</v>
      </c>
      <c r="DA524" s="25">
        <f>CY524*3</f>
        <v>18000</v>
      </c>
      <c r="EZ524" s="16"/>
      <c r="FA524" s="16"/>
      <c r="FB524" s="16"/>
      <c r="FC524" s="16"/>
      <c r="FD524" s="16"/>
      <c r="FE524" s="16"/>
      <c r="FF524" s="16"/>
      <c r="FG524" s="16"/>
      <c r="FH524" s="16"/>
      <c r="FI524" s="16"/>
      <c r="FJ524" s="16"/>
      <c r="FK524" s="16">
        <f t="shared" si="479"/>
        <v>6.64</v>
      </c>
      <c r="FL524" s="16">
        <f t="shared" si="480"/>
        <v>7.11</v>
      </c>
      <c r="FM524" s="15">
        <v>6.64</v>
      </c>
      <c r="FN524" s="15">
        <f t="shared" si="481"/>
        <v>0.33200000000000002</v>
      </c>
      <c r="FO524" s="15">
        <f>FN524*SQRT(AR524)</f>
        <v>0.57504086811286725</v>
      </c>
      <c r="FP524" s="15">
        <v>7.11</v>
      </c>
      <c r="FQ524" s="15">
        <f t="shared" si="482"/>
        <v>0.35550000000000004</v>
      </c>
      <c r="FR524" s="15">
        <f>FQ524*SQRT(AR524)</f>
        <v>0.61574406209073596</v>
      </c>
      <c r="FS524" s="15">
        <f t="shared" si="483"/>
        <v>1.0707831325301205</v>
      </c>
      <c r="FT524" s="15">
        <f t="shared" si="484"/>
        <v>0.47000000000000064</v>
      </c>
      <c r="FU524" s="15">
        <f t="shared" si="485"/>
        <v>6.8390280326807051E-2</v>
      </c>
      <c r="FV524" s="15">
        <f>((FR524*FR524)/(AR524*FP524*FP524)+(FO524*FO524)/(AR524*FM524*FM524))</f>
        <v>5.000000000000001E-3</v>
      </c>
      <c r="HY524" s="25">
        <f>CY524</f>
        <v>6000</v>
      </c>
      <c r="HZ524" s="25">
        <f>CZ524</f>
        <v>7.6923076923076925</v>
      </c>
      <c r="IA524" s="25">
        <f>DA524</f>
        <v>18000</v>
      </c>
    </row>
    <row r="525" spans="1:235" s="15" customFormat="1" x14ac:dyDescent="0.25">
      <c r="A525" s="31">
        <v>523</v>
      </c>
      <c r="B525" s="1">
        <v>90</v>
      </c>
      <c r="C525" s="1">
        <v>108</v>
      </c>
      <c r="D525" s="15" t="s">
        <v>1350</v>
      </c>
      <c r="E525" s="1">
        <v>5</v>
      </c>
      <c r="F525" s="15" t="s">
        <v>798</v>
      </c>
      <c r="G525" s="15" t="s">
        <v>1358</v>
      </c>
      <c r="H525" s="15" t="s">
        <v>1359</v>
      </c>
      <c r="I525" s="1">
        <v>2019</v>
      </c>
      <c r="J525" s="15" t="s">
        <v>1360</v>
      </c>
      <c r="K525" s="1" t="s">
        <v>1361</v>
      </c>
      <c r="L525" s="15" t="s">
        <v>1362</v>
      </c>
      <c r="M525" s="15" t="s">
        <v>480</v>
      </c>
      <c r="N525" s="15" t="s">
        <v>520</v>
      </c>
      <c r="O525" s="31">
        <v>2</v>
      </c>
      <c r="P525" s="15">
        <v>29.21</v>
      </c>
      <c r="Q525" s="15">
        <v>119.46</v>
      </c>
      <c r="S525" s="15">
        <v>1300</v>
      </c>
      <c r="T525" s="15">
        <v>16</v>
      </c>
      <c r="U525" s="15" t="s">
        <v>549</v>
      </c>
      <c r="V525" s="31">
        <v>1</v>
      </c>
      <c r="W525" s="63" t="s">
        <v>1177</v>
      </c>
      <c r="X525" s="15" t="s">
        <v>689</v>
      </c>
      <c r="Y525" s="1">
        <v>1</v>
      </c>
      <c r="Z525" s="15">
        <v>5.35</v>
      </c>
      <c r="AA525" s="15" t="s">
        <v>574</v>
      </c>
      <c r="AB525" s="15">
        <f t="shared" si="489"/>
        <v>5.35</v>
      </c>
      <c r="AC525" s="1">
        <v>3</v>
      </c>
      <c r="AD525" s="15">
        <v>26.1</v>
      </c>
      <c r="AM525" s="1"/>
      <c r="AP525" s="15" t="s">
        <v>1334</v>
      </c>
      <c r="AQ525" s="61">
        <v>3</v>
      </c>
      <c r="AR525" s="1">
        <v>3</v>
      </c>
      <c r="BP525" s="16"/>
      <c r="BQ525" s="16"/>
      <c r="BR525" s="16"/>
      <c r="BU525" s="16"/>
      <c r="DB525" s="15" t="s">
        <v>835</v>
      </c>
      <c r="DD525" s="15">
        <v>15000</v>
      </c>
      <c r="DE525" s="15">
        <f t="shared" ref="DE525:DE545" si="490">DD525</f>
        <v>15000</v>
      </c>
      <c r="DF525" s="15" t="s">
        <v>766</v>
      </c>
      <c r="DK525" s="15">
        <v>8</v>
      </c>
      <c r="DL525" s="15">
        <f t="shared" ref="DL525:DL532" si="491">0.44*2</f>
        <v>0.88</v>
      </c>
      <c r="DM525" s="15">
        <f t="shared" ref="DM525:DM532" si="492">0.83*11</f>
        <v>9.129999999999999</v>
      </c>
      <c r="DS525" s="15">
        <f>DE525</f>
        <v>15000</v>
      </c>
      <c r="DT525" s="15">
        <f t="shared" ref="DT525:DT545" si="493">DS525/0.6/1000</f>
        <v>25</v>
      </c>
      <c r="DU525" s="15">
        <f t="shared" ref="DU525:DU545" si="494">DS525*0.2</f>
        <v>3000</v>
      </c>
      <c r="EZ525" s="16"/>
      <c r="FA525" s="16"/>
      <c r="FB525" s="16"/>
      <c r="FC525" s="16"/>
      <c r="FD525" s="16"/>
      <c r="FE525" s="16"/>
      <c r="FF525" s="16"/>
      <c r="FG525" s="16"/>
      <c r="FH525" s="16"/>
      <c r="FI525" s="16"/>
      <c r="FJ525" s="16"/>
      <c r="FK525" s="16">
        <f t="shared" si="479"/>
        <v>4.7699999999999996</v>
      </c>
      <c r="FL525" s="16">
        <f t="shared" si="480"/>
        <v>5.01</v>
      </c>
      <c r="FM525" s="15">
        <v>4.7699999999999996</v>
      </c>
      <c r="FN525" s="15">
        <f t="shared" si="481"/>
        <v>0.23849999999999999</v>
      </c>
      <c r="FO525" s="15">
        <f>FN525*SQRT(AR525)</f>
        <v>0.41309411760517717</v>
      </c>
      <c r="FP525" s="15">
        <v>5.01</v>
      </c>
      <c r="FQ525" s="15">
        <f t="shared" si="482"/>
        <v>0.2505</v>
      </c>
      <c r="FR525" s="15">
        <f>FQ525*SQRT(AR525)</f>
        <v>0.43387872729600374</v>
      </c>
      <c r="FS525" s="15">
        <f t="shared" si="483"/>
        <v>1.050314465408805</v>
      </c>
      <c r="FT525" s="15">
        <f t="shared" si="484"/>
        <v>0.24000000000000021</v>
      </c>
      <c r="FU525" s="15">
        <f t="shared" si="485"/>
        <v>4.9089610196523692E-2</v>
      </c>
      <c r="FV525" s="15">
        <f>((FR525*FR525)/(AR525*FP525*FP525)+(FO525*FO525)/(AR525*FM525*FM525))</f>
        <v>4.9999999999999992E-3</v>
      </c>
      <c r="FX525" s="15">
        <v>25.06</v>
      </c>
      <c r="FY525" s="15">
        <f t="shared" ref="FY525:FY532" si="495">FX525*0.05</f>
        <v>1.2530000000000001</v>
      </c>
      <c r="FZ525" s="15">
        <f>FY525*SQRT(AR525)</f>
        <v>2.1702596618838035</v>
      </c>
      <c r="GA525" s="15">
        <v>28.7</v>
      </c>
      <c r="GB525" s="15">
        <f t="shared" ref="GB525:GB532" si="496">GA525*0.05</f>
        <v>1.4350000000000001</v>
      </c>
      <c r="GC525" s="15">
        <f>GB525*SQRT(AR525)</f>
        <v>2.4854929088613389</v>
      </c>
      <c r="GD525" s="15">
        <f t="shared" ref="GD525:GD532" si="497">GA525/FX525</f>
        <v>1.1452513966480447</v>
      </c>
      <c r="GE525" s="15">
        <f t="shared" ref="GE525:GE532" si="498">GA525-FX525</f>
        <v>3.6400000000000006</v>
      </c>
      <c r="GF525" s="15">
        <f t="shared" ref="GF525:GF532" si="499">LN(GA525)-LN(FX525)</f>
        <v>0.13562417329765353</v>
      </c>
      <c r="GG525" s="15">
        <f>((GC525*GC525)/(AR525*GA525*GA525)+(FZ525*FZ525)/(AR525*FX525*FX525))</f>
        <v>5.000000000000001E-3</v>
      </c>
      <c r="HE525" s="15">
        <v>7950</v>
      </c>
      <c r="HF525" s="15">
        <f t="shared" ref="HF525:HF532" si="500">HE525*0.05</f>
        <v>397.5</v>
      </c>
      <c r="HG525" s="15">
        <f>HF525*SQRT(AR215)</f>
        <v>795</v>
      </c>
      <c r="HH525" s="15">
        <v>8250</v>
      </c>
      <c r="HI525" s="15">
        <f t="shared" ref="HI525:HI532" si="501">HH525*0.05</f>
        <v>412.5</v>
      </c>
      <c r="HJ525" s="15">
        <f>HI525*SQRT(AR215)</f>
        <v>825</v>
      </c>
      <c r="HK525" s="15">
        <f t="shared" ref="HK525:HK588" si="502">HH525/HE525</f>
        <v>1.0377358490566038</v>
      </c>
      <c r="HL525" s="15">
        <f t="shared" ref="HL525:HL588" si="503">HH525-HE525</f>
        <v>300</v>
      </c>
      <c r="HM525" s="15">
        <f t="shared" ref="HM525:HM588" si="504">LN(HH525)-LN(HE525)</f>
        <v>3.7041271680347876E-2</v>
      </c>
      <c r="HN525" s="15">
        <f>((HJ525*HJ525)/(AR215*HH525*HH525)+(HG525*HG525)/(AR215*HE525*HE525))</f>
        <v>5.0000000000000001E-3</v>
      </c>
      <c r="HP525" s="15" t="s">
        <v>766</v>
      </c>
      <c r="HV525" s="15">
        <f t="shared" ref="HV525:HV588" si="505">HX525/HW525/100</f>
        <v>809.9073989383686</v>
      </c>
      <c r="HW525" s="15">
        <f t="shared" ref="HW525:HW556" si="506">HM525</f>
        <v>3.7041271680347876E-2</v>
      </c>
      <c r="HX525" s="15">
        <f t="shared" ref="HX525:HX533" si="507">DU525</f>
        <v>3000</v>
      </c>
      <c r="HY525" s="15">
        <f t="shared" ref="HY525:HY533" si="508">DS525</f>
        <v>15000</v>
      </c>
      <c r="HZ525" s="15">
        <f t="shared" ref="HZ525:HZ533" si="509">DT525</f>
        <v>25</v>
      </c>
      <c r="IA525" s="15">
        <f t="shared" ref="IA525:IA533" si="510">DU525</f>
        <v>3000</v>
      </c>
    </row>
    <row r="526" spans="1:235" s="15" customFormat="1" x14ac:dyDescent="0.25">
      <c r="A526" s="31">
        <v>524</v>
      </c>
      <c r="B526" s="1">
        <v>90</v>
      </c>
      <c r="C526" s="1">
        <v>108</v>
      </c>
      <c r="D526" s="15" t="s">
        <v>1351</v>
      </c>
      <c r="E526" s="1">
        <v>5</v>
      </c>
      <c r="F526" s="15" t="s">
        <v>798</v>
      </c>
      <c r="G526" s="15" t="s">
        <v>1358</v>
      </c>
      <c r="H526" s="15" t="s">
        <v>1359</v>
      </c>
      <c r="I526" s="1">
        <v>2019</v>
      </c>
      <c r="J526" s="15" t="s">
        <v>1360</v>
      </c>
      <c r="K526" s="1" t="s">
        <v>1361</v>
      </c>
      <c r="L526" s="15" t="s">
        <v>1362</v>
      </c>
      <c r="M526" s="15" t="s">
        <v>480</v>
      </c>
      <c r="N526" s="15" t="s">
        <v>520</v>
      </c>
      <c r="O526" s="31">
        <v>2</v>
      </c>
      <c r="P526" s="15">
        <v>29.21</v>
      </c>
      <c r="Q526" s="15">
        <v>119.46</v>
      </c>
      <c r="S526" s="15">
        <v>1300</v>
      </c>
      <c r="T526" s="15">
        <v>16</v>
      </c>
      <c r="U526" s="15" t="s">
        <v>549</v>
      </c>
      <c r="V526" s="31">
        <v>1</v>
      </c>
      <c r="W526" s="63" t="s">
        <v>1177</v>
      </c>
      <c r="X526" s="15" t="s">
        <v>689</v>
      </c>
      <c r="Y526" s="1">
        <v>1</v>
      </c>
      <c r="Z526" s="15">
        <v>5.35</v>
      </c>
      <c r="AA526" s="15" t="s">
        <v>574</v>
      </c>
      <c r="AB526" s="15">
        <f t="shared" si="489"/>
        <v>5.35</v>
      </c>
      <c r="AC526" s="1">
        <v>3</v>
      </c>
      <c r="AD526" s="15">
        <v>26.1</v>
      </c>
      <c r="AM526" s="1"/>
      <c r="AP526" s="15" t="s">
        <v>1334</v>
      </c>
      <c r="AQ526" s="61">
        <v>3</v>
      </c>
      <c r="AR526" s="1">
        <v>3</v>
      </c>
      <c r="BP526" s="16"/>
      <c r="BQ526" s="16"/>
      <c r="BR526" s="16"/>
      <c r="BU526" s="16"/>
      <c r="DB526" s="15" t="s">
        <v>835</v>
      </c>
      <c r="DD526" s="15">
        <v>15000</v>
      </c>
      <c r="DE526" s="15">
        <f t="shared" si="490"/>
        <v>15000</v>
      </c>
      <c r="DF526" s="15" t="s">
        <v>766</v>
      </c>
      <c r="DK526" s="15">
        <v>8</v>
      </c>
      <c r="DL526" s="15">
        <f t="shared" si="491"/>
        <v>0.88</v>
      </c>
      <c r="DM526" s="15">
        <f t="shared" si="492"/>
        <v>9.129999999999999</v>
      </c>
      <c r="DS526" s="15">
        <f>DE526</f>
        <v>15000</v>
      </c>
      <c r="DT526" s="15">
        <f t="shared" si="493"/>
        <v>25</v>
      </c>
      <c r="DU526" s="15">
        <f t="shared" si="494"/>
        <v>3000</v>
      </c>
      <c r="EZ526" s="16"/>
      <c r="FA526" s="16"/>
      <c r="FB526" s="16"/>
      <c r="FC526" s="16"/>
      <c r="FD526" s="16"/>
      <c r="FE526" s="16"/>
      <c r="FF526" s="16"/>
      <c r="FG526" s="16"/>
      <c r="FH526" s="16"/>
      <c r="FI526" s="16"/>
      <c r="FJ526" s="16"/>
      <c r="FK526" s="16">
        <f t="shared" si="479"/>
        <v>5.13</v>
      </c>
      <c r="FL526" s="16">
        <f t="shared" si="480"/>
        <v>5.0599999999999996</v>
      </c>
      <c r="FM526" s="15">
        <v>5.13</v>
      </c>
      <c r="FN526" s="15">
        <f t="shared" si="481"/>
        <v>0.25650000000000001</v>
      </c>
      <c r="FO526" s="15">
        <f>FN526*SQRT(AR526)</f>
        <v>0.444271032141417</v>
      </c>
      <c r="FP526" s="15">
        <v>5.0599999999999996</v>
      </c>
      <c r="FQ526" s="15">
        <f t="shared" si="482"/>
        <v>0.253</v>
      </c>
      <c r="FR526" s="15">
        <f>FQ526*SQRT(AR526)</f>
        <v>0.43820885431492596</v>
      </c>
      <c r="FS526" s="15">
        <f t="shared" si="483"/>
        <v>0.98635477582845998</v>
      </c>
      <c r="FT526" s="15">
        <f t="shared" si="484"/>
        <v>-7.0000000000000284E-2</v>
      </c>
      <c r="FU526" s="15">
        <f t="shared" si="485"/>
        <v>-1.3739175883304089E-2</v>
      </c>
      <c r="FV526" s="15">
        <f>((FR526*FR526)/(AR526*FP526*FP526)+(FO526*FO526)/(AR526*FM526*FM526))</f>
        <v>5.000000000000001E-3</v>
      </c>
      <c r="FX526" s="15">
        <v>26.32</v>
      </c>
      <c r="FY526" s="15">
        <f t="shared" si="495"/>
        <v>1.3160000000000001</v>
      </c>
      <c r="FZ526" s="15">
        <f>FY526*SQRT(AR526)</f>
        <v>2.2793788627606424</v>
      </c>
      <c r="GA526" s="15">
        <v>27.46</v>
      </c>
      <c r="GB526" s="15">
        <f t="shared" si="496"/>
        <v>1.3730000000000002</v>
      </c>
      <c r="GC526" s="15">
        <f>GB526*SQRT(AR526)</f>
        <v>2.3781057587920689</v>
      </c>
      <c r="GD526" s="15">
        <f t="shared" si="497"/>
        <v>1.0433130699088147</v>
      </c>
      <c r="GE526" s="15">
        <f t="shared" si="498"/>
        <v>1.1400000000000006</v>
      </c>
      <c r="GF526" s="15">
        <f t="shared" si="499"/>
        <v>4.2401293882708746E-2</v>
      </c>
      <c r="GG526" s="15">
        <f>((GC526*GC526)/(AR526*GA526*GA526)+(FZ526*FZ526)/(AR526*FX526*FX526))</f>
        <v>5.000000000000001E-3</v>
      </c>
      <c r="HE526" s="15">
        <v>8175</v>
      </c>
      <c r="HF526" s="15">
        <f t="shared" si="500"/>
        <v>408.75</v>
      </c>
      <c r="HG526" s="15">
        <f>HF526*SQRT(AR216)</f>
        <v>707.97576759377853</v>
      </c>
      <c r="HH526" s="15">
        <v>8400</v>
      </c>
      <c r="HI526" s="15">
        <f t="shared" si="501"/>
        <v>420</v>
      </c>
      <c r="HJ526" s="15">
        <f>HI526*SQRT(AR216)</f>
        <v>727.46133917892837</v>
      </c>
      <c r="HK526" s="15">
        <f t="shared" si="502"/>
        <v>1.0275229357798166</v>
      </c>
      <c r="HL526" s="15">
        <f t="shared" si="503"/>
        <v>225</v>
      </c>
      <c r="HM526" s="15">
        <f t="shared" si="504"/>
        <v>2.7150989065951592E-2</v>
      </c>
      <c r="HN526" s="15">
        <f>((HJ526*HJ526)/(AR216*HH526*HH526)+(HG526*HG526)/(AR216*HE526*HE526))</f>
        <v>4.9999999999999992E-3</v>
      </c>
      <c r="HP526" s="15" t="s">
        <v>766</v>
      </c>
      <c r="HV526" s="15">
        <f t="shared" si="505"/>
        <v>1104.9321233612509</v>
      </c>
      <c r="HW526" s="15">
        <f t="shared" si="506"/>
        <v>2.7150989065951592E-2</v>
      </c>
      <c r="HX526" s="15">
        <f t="shared" si="507"/>
        <v>3000</v>
      </c>
      <c r="HY526" s="15">
        <f t="shared" si="508"/>
        <v>15000</v>
      </c>
      <c r="HZ526" s="15">
        <f t="shared" si="509"/>
        <v>25</v>
      </c>
      <c r="IA526" s="15">
        <f t="shared" si="510"/>
        <v>3000</v>
      </c>
    </row>
    <row r="527" spans="1:235" s="15" customFormat="1" x14ac:dyDescent="0.25">
      <c r="A527" s="31">
        <v>525</v>
      </c>
      <c r="B527" s="1">
        <v>90</v>
      </c>
      <c r="C527" s="1">
        <v>108</v>
      </c>
      <c r="D527" s="15" t="s">
        <v>1352</v>
      </c>
      <c r="E527" s="1">
        <v>5</v>
      </c>
      <c r="F527" s="15" t="s">
        <v>798</v>
      </c>
      <c r="G527" s="15" t="s">
        <v>1358</v>
      </c>
      <c r="H527" s="15" t="s">
        <v>1359</v>
      </c>
      <c r="I527" s="1">
        <v>2019</v>
      </c>
      <c r="J527" s="15" t="s">
        <v>1360</v>
      </c>
      <c r="K527" s="1" t="s">
        <v>1361</v>
      </c>
      <c r="L527" s="15" t="s">
        <v>1362</v>
      </c>
      <c r="M527" s="15" t="s">
        <v>480</v>
      </c>
      <c r="N527" s="15" t="s">
        <v>520</v>
      </c>
      <c r="O527" s="31">
        <v>2</v>
      </c>
      <c r="P527" s="15">
        <v>29.21</v>
      </c>
      <c r="Q527" s="15">
        <v>119.46</v>
      </c>
      <c r="S527" s="15">
        <v>1300</v>
      </c>
      <c r="T527" s="15">
        <v>16</v>
      </c>
      <c r="U527" s="15" t="s">
        <v>549</v>
      </c>
      <c r="V527" s="31">
        <v>1</v>
      </c>
      <c r="W527" s="63" t="s">
        <v>1177</v>
      </c>
      <c r="X527" s="15" t="s">
        <v>689</v>
      </c>
      <c r="Y527" s="1">
        <v>1</v>
      </c>
      <c r="Z527" s="15">
        <v>5.35</v>
      </c>
      <c r="AA527" s="15" t="s">
        <v>574</v>
      </c>
      <c r="AB527" s="15">
        <f t="shared" si="489"/>
        <v>5.35</v>
      </c>
      <c r="AC527" s="1">
        <v>3</v>
      </c>
      <c r="AD527" s="15">
        <v>26.1</v>
      </c>
      <c r="AM527" s="1"/>
      <c r="AP527" s="15" t="s">
        <v>1334</v>
      </c>
      <c r="AQ527" s="61">
        <v>3</v>
      </c>
      <c r="AR527" s="1">
        <v>3</v>
      </c>
      <c r="BP527" s="16"/>
      <c r="BQ527" s="16"/>
      <c r="BR527" s="16"/>
      <c r="BU527" s="16"/>
      <c r="DB527" s="15" t="s">
        <v>835</v>
      </c>
      <c r="DD527" s="15">
        <v>15000</v>
      </c>
      <c r="DE527" s="15">
        <f t="shared" si="490"/>
        <v>15000</v>
      </c>
      <c r="DF527" s="15" t="s">
        <v>766</v>
      </c>
      <c r="DK527" s="15">
        <v>8</v>
      </c>
      <c r="DL527" s="15">
        <f t="shared" si="491"/>
        <v>0.88</v>
      </c>
      <c r="DM527" s="15">
        <f t="shared" si="492"/>
        <v>9.129999999999999</v>
      </c>
      <c r="DS527" s="15">
        <f>DE527</f>
        <v>15000</v>
      </c>
      <c r="DT527" s="15">
        <f t="shared" si="493"/>
        <v>25</v>
      </c>
      <c r="DU527" s="15">
        <f t="shared" si="494"/>
        <v>3000</v>
      </c>
      <c r="EZ527" s="16"/>
      <c r="FA527" s="16"/>
      <c r="FB527" s="16"/>
      <c r="FC527" s="16"/>
      <c r="FD527" s="16"/>
      <c r="FE527" s="16"/>
      <c r="FF527" s="16"/>
      <c r="FG527" s="16"/>
      <c r="FH527" s="16"/>
      <c r="FI527" s="16"/>
      <c r="FJ527" s="16"/>
      <c r="FK527" s="16">
        <f t="shared" si="479"/>
        <v>4.78</v>
      </c>
      <c r="FL527" s="16">
        <f t="shared" si="480"/>
        <v>4.91</v>
      </c>
      <c r="FM527" s="15">
        <v>4.78</v>
      </c>
      <c r="FN527" s="15">
        <f t="shared" si="481"/>
        <v>0.23900000000000002</v>
      </c>
      <c r="FO527" s="15">
        <f>FN527*SQRT(AR527)</f>
        <v>0.41396014300896167</v>
      </c>
      <c r="FP527" s="15">
        <v>4.91</v>
      </c>
      <c r="FQ527" s="15">
        <f t="shared" si="482"/>
        <v>0.24550000000000002</v>
      </c>
      <c r="FR527" s="15">
        <f>FQ527*SQRT(AR527)</f>
        <v>0.42521847325815937</v>
      </c>
      <c r="FS527" s="15">
        <f t="shared" si="483"/>
        <v>1.0271966527196652</v>
      </c>
      <c r="FT527" s="15">
        <f t="shared" si="484"/>
        <v>0.12999999999999989</v>
      </c>
      <c r="FU527" s="15">
        <f t="shared" si="485"/>
        <v>2.6833395303064611E-2</v>
      </c>
      <c r="FV527" s="15">
        <f>((FR527*FR527)/(AR527*FP527*FP527)+(FO527*FO527)/(AR527*FM527*FM527))</f>
        <v>4.9999999999999992E-3</v>
      </c>
      <c r="FX527" s="15">
        <v>25.61</v>
      </c>
      <c r="FY527" s="15">
        <f t="shared" si="495"/>
        <v>1.2805</v>
      </c>
      <c r="FZ527" s="15">
        <f>FY527*SQRT(AR527)</f>
        <v>2.2178910590919472</v>
      </c>
      <c r="GA527" s="15">
        <v>29.03</v>
      </c>
      <c r="GB527" s="15">
        <f t="shared" si="496"/>
        <v>1.4515000000000002</v>
      </c>
      <c r="GC527" s="15">
        <f>GB527*SQRT(AR527)</f>
        <v>2.5140717471862257</v>
      </c>
      <c r="GD527" s="15">
        <f t="shared" si="497"/>
        <v>1.1335415853182351</v>
      </c>
      <c r="GE527" s="15">
        <f t="shared" si="498"/>
        <v>3.4200000000000017</v>
      </c>
      <c r="GF527" s="15">
        <f t="shared" si="499"/>
        <v>0.12534687782510456</v>
      </c>
      <c r="GG527" s="15">
        <f>((GC527*GC527)/(AR527*GA527*GA527)+(FZ527*FZ527)/(AR527*FX527*FX527))</f>
        <v>5.0000000000000001E-3</v>
      </c>
      <c r="HE527" s="15">
        <v>8775</v>
      </c>
      <c r="HF527" s="15">
        <f t="shared" si="500"/>
        <v>438.75</v>
      </c>
      <c r="HG527" s="15">
        <f>HF527*SQRT(AR217)</f>
        <v>759.93729182084485</v>
      </c>
      <c r="HH527" s="15">
        <v>9000</v>
      </c>
      <c r="HI527" s="15">
        <f t="shared" si="501"/>
        <v>450</v>
      </c>
      <c r="HJ527" s="15">
        <f>HI527*SQRT(AR217)</f>
        <v>779.42286340599469</v>
      </c>
      <c r="HK527" s="15">
        <f t="shared" si="502"/>
        <v>1.0256410256410255</v>
      </c>
      <c r="HL527" s="15">
        <f t="shared" si="503"/>
        <v>225</v>
      </c>
      <c r="HM527" s="15">
        <f t="shared" si="504"/>
        <v>2.5317807984290397E-2</v>
      </c>
      <c r="HN527" s="15">
        <f>((HJ527*HJ527)/(AR217*HH527*HH527)+(HG527*HG527)/(AR217*HE527*HE527))</f>
        <v>4.9999999999999992E-3</v>
      </c>
      <c r="HP527" s="15" t="s">
        <v>766</v>
      </c>
      <c r="HV527" s="15">
        <f t="shared" si="505"/>
        <v>1184.936706156192</v>
      </c>
      <c r="HW527" s="15">
        <f t="shared" si="506"/>
        <v>2.5317807984290397E-2</v>
      </c>
      <c r="HX527" s="15">
        <f t="shared" si="507"/>
        <v>3000</v>
      </c>
      <c r="HY527" s="15">
        <f t="shared" si="508"/>
        <v>15000</v>
      </c>
      <c r="HZ527" s="15">
        <f t="shared" si="509"/>
        <v>25</v>
      </c>
      <c r="IA527" s="15">
        <f t="shared" si="510"/>
        <v>3000</v>
      </c>
    </row>
    <row r="528" spans="1:235" s="15" customFormat="1" x14ac:dyDescent="0.25">
      <c r="A528" s="31">
        <v>526</v>
      </c>
      <c r="B528" s="1">
        <v>90</v>
      </c>
      <c r="C528" s="1">
        <v>108</v>
      </c>
      <c r="D528" s="15" t="s">
        <v>1353</v>
      </c>
      <c r="E528" s="1">
        <v>5</v>
      </c>
      <c r="F528" s="15" t="s">
        <v>798</v>
      </c>
      <c r="G528" s="15" t="s">
        <v>1358</v>
      </c>
      <c r="H528" s="15" t="s">
        <v>1359</v>
      </c>
      <c r="I528" s="1">
        <v>2019</v>
      </c>
      <c r="J528" s="15" t="s">
        <v>1360</v>
      </c>
      <c r="K528" s="1" t="s">
        <v>1361</v>
      </c>
      <c r="L528" s="15" t="s">
        <v>1362</v>
      </c>
      <c r="M528" s="15" t="s">
        <v>480</v>
      </c>
      <c r="N528" s="15" t="s">
        <v>520</v>
      </c>
      <c r="O528" s="31">
        <v>2</v>
      </c>
      <c r="P528" s="15">
        <v>29.21</v>
      </c>
      <c r="Q528" s="15">
        <v>119.46</v>
      </c>
      <c r="S528" s="15">
        <v>1300</v>
      </c>
      <c r="T528" s="15">
        <v>16</v>
      </c>
      <c r="U528" s="15" t="s">
        <v>549</v>
      </c>
      <c r="V528" s="31">
        <v>1</v>
      </c>
      <c r="W528" s="63" t="s">
        <v>1177</v>
      </c>
      <c r="X528" s="15" t="s">
        <v>689</v>
      </c>
      <c r="Y528" s="1">
        <v>1</v>
      </c>
      <c r="Z528" s="15">
        <v>5.35</v>
      </c>
      <c r="AA528" s="15" t="s">
        <v>574</v>
      </c>
      <c r="AB528" s="15">
        <f t="shared" si="489"/>
        <v>5.35</v>
      </c>
      <c r="AC528" s="1">
        <v>3</v>
      </c>
      <c r="AD528" s="15">
        <v>26.1</v>
      </c>
      <c r="AM528" s="1"/>
      <c r="AP528" s="15" t="s">
        <v>1334</v>
      </c>
      <c r="AQ528" s="61">
        <v>3</v>
      </c>
      <c r="AR528" s="1">
        <v>3</v>
      </c>
      <c r="BP528" s="16"/>
      <c r="BQ528" s="16"/>
      <c r="BR528" s="16"/>
      <c r="BU528" s="16"/>
      <c r="DB528" s="15" t="s">
        <v>835</v>
      </c>
      <c r="DD528" s="15">
        <v>15000</v>
      </c>
      <c r="DE528" s="15">
        <f t="shared" si="490"/>
        <v>15000</v>
      </c>
      <c r="DF528" s="15" t="s">
        <v>766</v>
      </c>
      <c r="DK528" s="15">
        <v>8</v>
      </c>
      <c r="DL528" s="15">
        <f t="shared" si="491"/>
        <v>0.88</v>
      </c>
      <c r="DM528" s="15">
        <f t="shared" si="492"/>
        <v>9.129999999999999</v>
      </c>
      <c r="DS528" s="15">
        <f>DE528</f>
        <v>15000</v>
      </c>
      <c r="DT528" s="15">
        <f t="shared" si="493"/>
        <v>25</v>
      </c>
      <c r="DU528" s="15">
        <f t="shared" si="494"/>
        <v>3000</v>
      </c>
      <c r="EZ528" s="16"/>
      <c r="FA528" s="16"/>
      <c r="FB528" s="16"/>
      <c r="FC528" s="16"/>
      <c r="FD528" s="16"/>
      <c r="FE528" s="16"/>
      <c r="FF528" s="16"/>
      <c r="FG528" s="16"/>
      <c r="FH528" s="16"/>
      <c r="FI528" s="16"/>
      <c r="FJ528" s="16"/>
      <c r="FK528" s="16">
        <f t="shared" si="479"/>
        <v>4.9000000000000004</v>
      </c>
      <c r="FL528" s="16">
        <f t="shared" si="480"/>
        <v>4.8</v>
      </c>
      <c r="FM528" s="15">
        <v>4.9000000000000004</v>
      </c>
      <c r="FN528" s="15">
        <f t="shared" si="481"/>
        <v>0.24500000000000002</v>
      </c>
      <c r="FO528" s="15">
        <f>FN528*SQRT(AR528)</f>
        <v>0.42435244785437493</v>
      </c>
      <c r="FP528" s="15">
        <v>4.8</v>
      </c>
      <c r="FQ528" s="15">
        <f t="shared" si="482"/>
        <v>0.24</v>
      </c>
      <c r="FR528" s="15">
        <f>FQ528*SQRT(AR528)</f>
        <v>0.4156921938165305</v>
      </c>
      <c r="FS528" s="15">
        <f t="shared" si="483"/>
        <v>0.97959183673469374</v>
      </c>
      <c r="FT528" s="15">
        <f t="shared" si="484"/>
        <v>-0.10000000000000053</v>
      </c>
      <c r="FU528" s="15">
        <f t="shared" si="485"/>
        <v>-2.0619287202735759E-2</v>
      </c>
      <c r="FV528" s="15">
        <f>((FR528*FR528)/(AR528*FP528*FP528)+(FO528*FO528)/(AR528*FM528*FM528))</f>
        <v>4.9999999999999992E-3</v>
      </c>
      <c r="FX528" s="15">
        <v>25.93</v>
      </c>
      <c r="FY528" s="15">
        <f t="shared" si="495"/>
        <v>1.2965</v>
      </c>
      <c r="FZ528" s="15">
        <f>FY528*SQRT(AR528)</f>
        <v>2.2456038720130493</v>
      </c>
      <c r="GA528" s="15">
        <v>29.25</v>
      </c>
      <c r="GB528" s="15">
        <f t="shared" si="496"/>
        <v>1.4625000000000001</v>
      </c>
      <c r="GC528" s="15">
        <f>GB528*SQRT(AR528)</f>
        <v>2.533124306069483</v>
      </c>
      <c r="GD528" s="15">
        <f t="shared" si="497"/>
        <v>1.1280370227535672</v>
      </c>
      <c r="GE528" s="15">
        <f t="shared" si="498"/>
        <v>3.3200000000000003</v>
      </c>
      <c r="GF528" s="15">
        <f t="shared" si="499"/>
        <v>0.12047897412729247</v>
      </c>
      <c r="GG528" s="15">
        <f>((GC528*GC528)/(AR528*GA528*GA528)+(FZ528*FZ528)/(AR528*FX528*FX528))</f>
        <v>5.0000000000000001E-3</v>
      </c>
      <c r="HE528" s="15">
        <v>7950</v>
      </c>
      <c r="HF528" s="15">
        <f t="shared" si="500"/>
        <v>397.5</v>
      </c>
      <c r="HG528" s="15">
        <f>HF528*SQRT(AR218)</f>
        <v>688.49019600862869</v>
      </c>
      <c r="HH528" s="15">
        <v>8250</v>
      </c>
      <c r="HI528" s="15">
        <f t="shared" si="501"/>
        <v>412.5</v>
      </c>
      <c r="HJ528" s="15">
        <f>HI528*SQRT(AR218)</f>
        <v>714.47095812216185</v>
      </c>
      <c r="HK528" s="15">
        <f t="shared" si="502"/>
        <v>1.0377358490566038</v>
      </c>
      <c r="HL528" s="15">
        <f t="shared" si="503"/>
        <v>300</v>
      </c>
      <c r="HM528" s="15">
        <f t="shared" si="504"/>
        <v>3.7041271680347876E-2</v>
      </c>
      <c r="HN528" s="15">
        <f>((HJ528*HJ528)/(AR218*HH528*HH528)+(HG528*HG528)/(AR218*HE528*HE528))</f>
        <v>4.9999999999999992E-3</v>
      </c>
      <c r="HP528" s="15" t="s">
        <v>766</v>
      </c>
      <c r="HV528" s="15">
        <f t="shared" si="505"/>
        <v>809.9073989383686</v>
      </c>
      <c r="HW528" s="15">
        <f t="shared" si="506"/>
        <v>3.7041271680347876E-2</v>
      </c>
      <c r="HX528" s="15">
        <f t="shared" si="507"/>
        <v>3000</v>
      </c>
      <c r="HY528" s="15">
        <f t="shared" si="508"/>
        <v>15000</v>
      </c>
      <c r="HZ528" s="15">
        <f t="shared" si="509"/>
        <v>25</v>
      </c>
      <c r="IA528" s="15">
        <f t="shared" si="510"/>
        <v>3000</v>
      </c>
    </row>
    <row r="529" spans="1:235" s="15" customFormat="1" x14ac:dyDescent="0.25">
      <c r="A529" s="31">
        <v>527</v>
      </c>
      <c r="B529" s="1">
        <v>90</v>
      </c>
      <c r="C529" s="1">
        <v>108</v>
      </c>
      <c r="D529" s="15" t="s">
        <v>1354</v>
      </c>
      <c r="E529" s="1">
        <v>5</v>
      </c>
      <c r="F529" s="15" t="s">
        <v>798</v>
      </c>
      <c r="G529" s="15" t="s">
        <v>1358</v>
      </c>
      <c r="H529" s="15" t="s">
        <v>1359</v>
      </c>
      <c r="I529" s="1">
        <v>2019</v>
      </c>
      <c r="J529" s="15" t="s">
        <v>1360</v>
      </c>
      <c r="K529" s="1" t="s">
        <v>1361</v>
      </c>
      <c r="L529" s="15" t="s">
        <v>1362</v>
      </c>
      <c r="M529" s="15" t="s">
        <v>480</v>
      </c>
      <c r="N529" s="15" t="s">
        <v>520</v>
      </c>
      <c r="O529" s="31">
        <v>2</v>
      </c>
      <c r="P529" s="15">
        <v>29.21</v>
      </c>
      <c r="Q529" s="15">
        <v>119.46</v>
      </c>
      <c r="S529" s="15">
        <v>1300</v>
      </c>
      <c r="T529" s="15">
        <v>16</v>
      </c>
      <c r="U529" s="15" t="s">
        <v>549</v>
      </c>
      <c r="V529" s="31">
        <v>1</v>
      </c>
      <c r="W529" s="63" t="s">
        <v>1177</v>
      </c>
      <c r="X529" s="15" t="s">
        <v>689</v>
      </c>
      <c r="Y529" s="1">
        <v>1</v>
      </c>
      <c r="Z529" s="15">
        <v>5.35</v>
      </c>
      <c r="AA529" s="15" t="s">
        <v>574</v>
      </c>
      <c r="AB529" s="15">
        <f t="shared" si="489"/>
        <v>5.35</v>
      </c>
      <c r="AC529" s="1">
        <v>3</v>
      </c>
      <c r="AD529" s="15">
        <v>26.1</v>
      </c>
      <c r="AM529" s="1"/>
      <c r="AP529" s="15" t="s">
        <v>1334</v>
      </c>
      <c r="AQ529" s="61">
        <v>3</v>
      </c>
      <c r="AR529" s="1">
        <v>3</v>
      </c>
      <c r="BP529" s="16"/>
      <c r="BQ529" s="16"/>
      <c r="BR529" s="16"/>
      <c r="BU529" s="16"/>
      <c r="DB529" s="15" t="s">
        <v>835</v>
      </c>
      <c r="DD529" s="15">
        <v>15000</v>
      </c>
      <c r="DE529" s="15">
        <f t="shared" si="490"/>
        <v>15000</v>
      </c>
      <c r="DF529" s="15" t="s">
        <v>766</v>
      </c>
      <c r="DK529" s="15">
        <v>8</v>
      </c>
      <c r="DL529" s="15">
        <f t="shared" si="491"/>
        <v>0.88</v>
      </c>
      <c r="DM529" s="15">
        <f t="shared" si="492"/>
        <v>9.129999999999999</v>
      </c>
      <c r="DS529" s="15">
        <f>DE529</f>
        <v>15000</v>
      </c>
      <c r="DT529" s="15">
        <f t="shared" si="493"/>
        <v>25</v>
      </c>
      <c r="DU529" s="15">
        <f t="shared" si="494"/>
        <v>3000</v>
      </c>
      <c r="EZ529" s="16"/>
      <c r="FA529" s="16"/>
      <c r="FB529" s="16"/>
      <c r="FC529" s="16"/>
      <c r="FD529" s="16"/>
      <c r="FE529" s="16"/>
      <c r="FF529" s="16"/>
      <c r="FG529" s="16"/>
      <c r="FH529" s="16"/>
      <c r="FI529" s="16"/>
      <c r="FJ529" s="16"/>
      <c r="FK529" s="16">
        <f t="shared" si="479"/>
        <v>4.88</v>
      </c>
      <c r="FL529" s="16">
        <f t="shared" si="480"/>
        <v>5.0999999999999996</v>
      </c>
      <c r="FM529" s="15">
        <v>4.88</v>
      </c>
      <c r="FN529" s="15">
        <f t="shared" si="481"/>
        <v>0.24399999999999999</v>
      </c>
      <c r="FO529" s="15">
        <f>FN529*SQRT(AR529)</f>
        <v>0.42262039704680604</v>
      </c>
      <c r="FP529" s="15">
        <v>5.0999999999999996</v>
      </c>
      <c r="FQ529" s="15">
        <f t="shared" si="482"/>
        <v>0.255</v>
      </c>
      <c r="FR529" s="15">
        <f>FQ529*SQRT(AR529)</f>
        <v>0.44167295593006367</v>
      </c>
      <c r="FS529" s="15">
        <f t="shared" si="483"/>
        <v>1.0450819672131146</v>
      </c>
      <c r="FT529" s="15">
        <f t="shared" si="484"/>
        <v>0.21999999999999975</v>
      </c>
      <c r="FU529" s="15">
        <f t="shared" si="485"/>
        <v>4.4095319865224303E-2</v>
      </c>
      <c r="FV529" s="15">
        <f>((FR529*FR529)/(AR529*FP529*FP529)+(FO529*FO529)/(AR529*FM529*FM529))</f>
        <v>4.9999999999999992E-3</v>
      </c>
      <c r="FX529" s="15">
        <v>25.53</v>
      </c>
      <c r="FY529" s="15">
        <f t="shared" si="495"/>
        <v>1.2765000000000002</v>
      </c>
      <c r="FZ529" s="15">
        <f>FY529*SQRT(AR529)</f>
        <v>2.2109628558616721</v>
      </c>
      <c r="GA529" s="15">
        <v>27.6</v>
      </c>
      <c r="GB529" s="15">
        <f t="shared" si="496"/>
        <v>1.3800000000000001</v>
      </c>
      <c r="GC529" s="15">
        <f>GB529*SQRT(AR529)</f>
        <v>2.3902301144450506</v>
      </c>
      <c r="GD529" s="15">
        <f t="shared" si="497"/>
        <v>1.0810810810810811</v>
      </c>
      <c r="GE529" s="15">
        <f t="shared" si="498"/>
        <v>2.0700000000000003</v>
      </c>
      <c r="GF529" s="15">
        <f t="shared" si="499"/>
        <v>7.7961541469711904E-2</v>
      </c>
      <c r="GG529" s="15">
        <f>((GC529*GC529)/(AR529*GA529*GA529)+(FZ529*FZ529)/(AR529*FX529*FX529))</f>
        <v>4.9999999999999992E-3</v>
      </c>
      <c r="HE529" s="15">
        <v>8250</v>
      </c>
      <c r="HF529" s="15">
        <f t="shared" si="500"/>
        <v>412.5</v>
      </c>
      <c r="HG529" s="15">
        <f>HF529*SQRT(AR219)</f>
        <v>714.47095812216185</v>
      </c>
      <c r="HH529" s="15">
        <v>8475</v>
      </c>
      <c r="HI529" s="15">
        <f t="shared" si="501"/>
        <v>423.75</v>
      </c>
      <c r="HJ529" s="15">
        <f>HI529*SQRT(AR219)</f>
        <v>733.95652970731169</v>
      </c>
      <c r="HK529" s="15">
        <f t="shared" si="502"/>
        <v>1.0272727272727273</v>
      </c>
      <c r="HL529" s="15">
        <f t="shared" si="503"/>
        <v>225</v>
      </c>
      <c r="HM529" s="15">
        <f t="shared" si="504"/>
        <v>2.6907452919925134E-2</v>
      </c>
      <c r="HN529" s="15">
        <f>((HJ529*HJ529)/(AR219*HH529*HH529)+(HG529*HG529)/(AR219*HE529*HE529))</f>
        <v>4.9999999999999992E-3</v>
      </c>
      <c r="HP529" s="15" t="s">
        <v>766</v>
      </c>
      <c r="HV529" s="15">
        <f t="shared" si="505"/>
        <v>1114.9327321793739</v>
      </c>
      <c r="HW529" s="15">
        <f t="shared" si="506"/>
        <v>2.6907452919925134E-2</v>
      </c>
      <c r="HX529" s="15">
        <f t="shared" si="507"/>
        <v>3000</v>
      </c>
      <c r="HY529" s="15">
        <f t="shared" si="508"/>
        <v>15000</v>
      </c>
      <c r="HZ529" s="15">
        <f t="shared" si="509"/>
        <v>25</v>
      </c>
      <c r="IA529" s="15">
        <f t="shared" si="510"/>
        <v>3000</v>
      </c>
    </row>
    <row r="530" spans="1:235" s="15" customFormat="1" x14ac:dyDescent="0.25">
      <c r="A530" s="31">
        <v>528</v>
      </c>
      <c r="B530" s="1">
        <v>90</v>
      </c>
      <c r="C530" s="1">
        <v>108</v>
      </c>
      <c r="D530" s="15" t="s">
        <v>1355</v>
      </c>
      <c r="E530" s="1">
        <v>5</v>
      </c>
      <c r="F530" s="15" t="s">
        <v>798</v>
      </c>
      <c r="G530" s="15" t="s">
        <v>1358</v>
      </c>
      <c r="H530" s="15" t="s">
        <v>1359</v>
      </c>
      <c r="I530" s="1">
        <v>2019</v>
      </c>
      <c r="J530" s="15" t="s">
        <v>1360</v>
      </c>
      <c r="K530" s="1" t="s">
        <v>1361</v>
      </c>
      <c r="L530" s="15" t="s">
        <v>1362</v>
      </c>
      <c r="M530" s="15" t="s">
        <v>480</v>
      </c>
      <c r="N530" s="15" t="s">
        <v>520</v>
      </c>
      <c r="O530" s="31">
        <v>2</v>
      </c>
      <c r="P530" s="15">
        <v>29.21</v>
      </c>
      <c r="Q530" s="15">
        <v>119.46</v>
      </c>
      <c r="S530" s="15">
        <v>1300</v>
      </c>
      <c r="T530" s="15">
        <v>16</v>
      </c>
      <c r="U530" s="15" t="s">
        <v>549</v>
      </c>
      <c r="V530" s="31">
        <v>1</v>
      </c>
      <c r="W530" s="63" t="s">
        <v>1177</v>
      </c>
      <c r="X530" s="15" t="s">
        <v>689</v>
      </c>
      <c r="Y530" s="1">
        <v>1</v>
      </c>
      <c r="Z530" s="15">
        <v>5.35</v>
      </c>
      <c r="AA530" s="15" t="s">
        <v>574</v>
      </c>
      <c r="AB530" s="15">
        <f t="shared" si="489"/>
        <v>5.35</v>
      </c>
      <c r="AC530" s="1">
        <v>3</v>
      </c>
      <c r="AD530" s="15">
        <v>26.1</v>
      </c>
      <c r="AM530" s="1"/>
      <c r="AP530" s="15" t="s">
        <v>1334</v>
      </c>
      <c r="AQ530" s="61">
        <v>3</v>
      </c>
      <c r="AR530" s="1">
        <v>3</v>
      </c>
      <c r="BP530" s="16"/>
      <c r="BQ530" s="16"/>
      <c r="BR530" s="16"/>
      <c r="BU530" s="16"/>
      <c r="DB530" s="15" t="s">
        <v>835</v>
      </c>
      <c r="DD530" s="15">
        <v>15000</v>
      </c>
      <c r="DE530" s="15">
        <f t="shared" si="490"/>
        <v>15000</v>
      </c>
      <c r="DF530" s="15" t="s">
        <v>766</v>
      </c>
      <c r="DK530" s="15">
        <v>8</v>
      </c>
      <c r="DL530" s="15">
        <f t="shared" si="491"/>
        <v>0.88</v>
      </c>
      <c r="DM530" s="15">
        <f t="shared" si="492"/>
        <v>9.129999999999999</v>
      </c>
      <c r="DS530" s="15">
        <f>DE530</f>
        <v>15000</v>
      </c>
      <c r="DT530" s="15">
        <f t="shared" si="493"/>
        <v>25</v>
      </c>
      <c r="DU530" s="15">
        <f t="shared" si="494"/>
        <v>3000</v>
      </c>
      <c r="EZ530" s="16"/>
      <c r="FA530" s="16"/>
      <c r="FB530" s="16"/>
      <c r="FC530" s="16"/>
      <c r="FD530" s="16"/>
      <c r="FE530" s="16"/>
      <c r="FF530" s="16"/>
      <c r="FG530" s="16"/>
      <c r="FH530" s="16"/>
      <c r="FI530" s="16"/>
      <c r="FJ530" s="16"/>
      <c r="FK530" s="16">
        <f t="shared" si="479"/>
        <v>5</v>
      </c>
      <c r="FL530" s="16">
        <f t="shared" si="480"/>
        <v>5.22</v>
      </c>
      <c r="FM530" s="15">
        <v>5</v>
      </c>
      <c r="FN530" s="15">
        <f t="shared" si="481"/>
        <v>0.25</v>
      </c>
      <c r="FO530" s="15">
        <f>FN530*SQRT(AR530)</f>
        <v>0.4330127018922193</v>
      </c>
      <c r="FP530" s="15">
        <v>5.22</v>
      </c>
      <c r="FQ530" s="15">
        <f t="shared" si="482"/>
        <v>0.26100000000000001</v>
      </c>
      <c r="FR530" s="15">
        <f>FQ530*SQRT(AR530)</f>
        <v>0.45206526077547698</v>
      </c>
      <c r="FS530" s="15">
        <f t="shared" si="483"/>
        <v>1.044</v>
      </c>
      <c r="FT530" s="15">
        <f t="shared" si="484"/>
        <v>0.21999999999999975</v>
      </c>
      <c r="FU530" s="15">
        <f t="shared" si="485"/>
        <v>4.305948946044702E-2</v>
      </c>
      <c r="FV530" s="15">
        <f>((FR530*FR530)/(AR530*FP530*FP530)+(FO530*FO530)/(AR530*FM530*FM530))</f>
        <v>5.0000000000000001E-3</v>
      </c>
      <c r="FX530" s="15">
        <v>23.36</v>
      </c>
      <c r="FY530" s="15">
        <f t="shared" si="495"/>
        <v>1.1679999999999999</v>
      </c>
      <c r="FZ530" s="15">
        <f>FY530*SQRT(AR530)</f>
        <v>2.0230353432404486</v>
      </c>
      <c r="GA530" s="15">
        <v>27.82</v>
      </c>
      <c r="GB530" s="15">
        <f t="shared" si="496"/>
        <v>1.391</v>
      </c>
      <c r="GC530" s="15">
        <f>GB530*SQRT(AR530)</f>
        <v>2.4092826733283084</v>
      </c>
      <c r="GD530" s="15">
        <f t="shared" si="497"/>
        <v>1.1909246575342467</v>
      </c>
      <c r="GE530" s="15">
        <f t="shared" si="498"/>
        <v>4.4600000000000009</v>
      </c>
      <c r="GF530" s="15">
        <f t="shared" si="499"/>
        <v>0.17473002853527086</v>
      </c>
      <c r="GG530" s="15">
        <f>((GC530*GC530)/(AR530*GA530*GA530)+(FZ530*FZ530)/(AR530*FX530*FX530))</f>
        <v>4.9999999999999992E-3</v>
      </c>
      <c r="HE530" s="15">
        <v>8355</v>
      </c>
      <c r="HF530" s="15">
        <f t="shared" si="500"/>
        <v>417.75</v>
      </c>
      <c r="HG530" s="15">
        <f>HF530*SQRT(AR220)</f>
        <v>723.56422486189842</v>
      </c>
      <c r="HH530" s="15">
        <v>8925</v>
      </c>
      <c r="HI530" s="15">
        <f t="shared" si="501"/>
        <v>446.25</v>
      </c>
      <c r="HJ530" s="15">
        <f>HI530*SQRT(AR220)</f>
        <v>772.92767287761149</v>
      </c>
      <c r="HK530" s="15">
        <f t="shared" si="502"/>
        <v>1.0682226211849193</v>
      </c>
      <c r="HL530" s="15">
        <f t="shared" si="503"/>
        <v>570</v>
      </c>
      <c r="HM530" s="15">
        <f t="shared" si="504"/>
        <v>6.599616561834587E-2</v>
      </c>
      <c r="HN530" s="15">
        <f>((HJ530*HJ530)/(AR220*HH530*HH530)+(HG530*HG530)/(AR220*HE530*HE530))</f>
        <v>4.9999999999999992E-3</v>
      </c>
      <c r="HP530" s="15" t="s">
        <v>766</v>
      </c>
      <c r="HV530" s="15">
        <f t="shared" si="505"/>
        <v>454.57186366688677</v>
      </c>
      <c r="HW530" s="15">
        <f t="shared" si="506"/>
        <v>6.599616561834587E-2</v>
      </c>
      <c r="HX530" s="15">
        <f t="shared" si="507"/>
        <v>3000</v>
      </c>
      <c r="HY530" s="15">
        <f t="shared" si="508"/>
        <v>15000</v>
      </c>
      <c r="HZ530" s="15">
        <f t="shared" si="509"/>
        <v>25</v>
      </c>
      <c r="IA530" s="15">
        <f t="shared" si="510"/>
        <v>3000</v>
      </c>
    </row>
    <row r="531" spans="1:235" s="15" customFormat="1" x14ac:dyDescent="0.25">
      <c r="A531" s="31">
        <v>529</v>
      </c>
      <c r="B531" s="1">
        <v>90</v>
      </c>
      <c r="C531" s="1">
        <v>108</v>
      </c>
      <c r="D531" s="15" t="s">
        <v>1356</v>
      </c>
      <c r="E531" s="1">
        <v>5</v>
      </c>
      <c r="F531" s="15" t="s">
        <v>798</v>
      </c>
      <c r="G531" s="15" t="s">
        <v>1358</v>
      </c>
      <c r="H531" s="15" t="s">
        <v>1359</v>
      </c>
      <c r="I531" s="1">
        <v>2019</v>
      </c>
      <c r="J531" s="15" t="s">
        <v>1360</v>
      </c>
      <c r="K531" s="1" t="s">
        <v>1361</v>
      </c>
      <c r="L531" s="15" t="s">
        <v>1362</v>
      </c>
      <c r="M531" s="15" t="s">
        <v>480</v>
      </c>
      <c r="N531" s="15" t="s">
        <v>520</v>
      </c>
      <c r="O531" s="31">
        <v>2</v>
      </c>
      <c r="P531" s="15">
        <v>29.21</v>
      </c>
      <c r="Q531" s="15">
        <v>119.46</v>
      </c>
      <c r="S531" s="15">
        <v>1300</v>
      </c>
      <c r="T531" s="15">
        <v>16</v>
      </c>
      <c r="U531" s="15" t="s">
        <v>549</v>
      </c>
      <c r="V531" s="31">
        <v>1</v>
      </c>
      <c r="W531" s="63" t="s">
        <v>1177</v>
      </c>
      <c r="X531" s="15" t="s">
        <v>689</v>
      </c>
      <c r="Y531" s="1">
        <v>1</v>
      </c>
      <c r="Z531" s="15">
        <v>5.35</v>
      </c>
      <c r="AA531" s="15" t="s">
        <v>574</v>
      </c>
      <c r="AB531" s="15">
        <f t="shared" si="489"/>
        <v>5.35</v>
      </c>
      <c r="AC531" s="1">
        <v>3</v>
      </c>
      <c r="AD531" s="15">
        <v>26.1</v>
      </c>
      <c r="AM531" s="1"/>
      <c r="AP531" s="15" t="s">
        <v>1334</v>
      </c>
      <c r="AQ531" s="61">
        <v>3</v>
      </c>
      <c r="AR531" s="1">
        <v>3</v>
      </c>
      <c r="BP531" s="16"/>
      <c r="BQ531" s="16"/>
      <c r="BR531" s="16"/>
      <c r="BU531" s="16"/>
      <c r="DB531" s="15" t="s">
        <v>835</v>
      </c>
      <c r="DD531" s="15">
        <v>15000</v>
      </c>
      <c r="DE531" s="15">
        <f t="shared" si="490"/>
        <v>15000</v>
      </c>
      <c r="DF531" s="15" t="s">
        <v>766</v>
      </c>
      <c r="DK531" s="15">
        <v>8</v>
      </c>
      <c r="DL531" s="15">
        <f t="shared" si="491"/>
        <v>0.88</v>
      </c>
      <c r="DM531" s="15">
        <f t="shared" si="492"/>
        <v>9.129999999999999</v>
      </c>
      <c r="DS531" s="15">
        <f>DE531</f>
        <v>15000</v>
      </c>
      <c r="DT531" s="15">
        <f t="shared" si="493"/>
        <v>25</v>
      </c>
      <c r="DU531" s="15">
        <f t="shared" si="494"/>
        <v>3000</v>
      </c>
      <c r="EZ531" s="16"/>
      <c r="FA531" s="16"/>
      <c r="FB531" s="16"/>
      <c r="FC531" s="16"/>
      <c r="FD531" s="16"/>
      <c r="FE531" s="16"/>
      <c r="FF531" s="16"/>
      <c r="FG531" s="16"/>
      <c r="FH531" s="16"/>
      <c r="FI531" s="16"/>
      <c r="FJ531" s="16"/>
      <c r="FK531" s="16">
        <f t="shared" si="479"/>
        <v>5.1100000000000003</v>
      </c>
      <c r="FL531" s="16">
        <f t="shared" si="480"/>
        <v>5.22</v>
      </c>
      <c r="FM531" s="15">
        <v>5.1100000000000003</v>
      </c>
      <c r="FN531" s="15">
        <f t="shared" si="481"/>
        <v>0.2555</v>
      </c>
      <c r="FO531" s="15">
        <f>FN531*SQRT(AR531)</f>
        <v>0.44253898133384811</v>
      </c>
      <c r="FP531" s="15">
        <v>5.22</v>
      </c>
      <c r="FQ531" s="15">
        <f t="shared" si="482"/>
        <v>0.26100000000000001</v>
      </c>
      <c r="FR531" s="15">
        <f>FQ531*SQRT(AR531)</f>
        <v>0.45206526077547698</v>
      </c>
      <c r="FS531" s="15">
        <f t="shared" si="483"/>
        <v>1.0215264187866926</v>
      </c>
      <c r="FT531" s="15">
        <f t="shared" si="484"/>
        <v>0.10999999999999943</v>
      </c>
      <c r="FU531" s="15">
        <f t="shared" si="485"/>
        <v>2.1297997678934255E-2</v>
      </c>
      <c r="FV531" s="15">
        <f>((FR531*FR531)/(AR531*FP531*FP531)+(FO531*FO531)/(AR531*FM531*FM531))</f>
        <v>5.0000000000000001E-3</v>
      </c>
      <c r="FX531" s="15">
        <v>23.27</v>
      </c>
      <c r="FY531" s="15">
        <f t="shared" si="495"/>
        <v>1.1635</v>
      </c>
      <c r="FZ531" s="15">
        <f>FY531*SQRT(AR531)</f>
        <v>2.0152411146063884</v>
      </c>
      <c r="GA531" s="15">
        <v>27.42</v>
      </c>
      <c r="GB531" s="15">
        <f t="shared" si="496"/>
        <v>1.3710000000000002</v>
      </c>
      <c r="GC531" s="15">
        <f>GB531*SQRT(AR531)</f>
        <v>2.3746416571769311</v>
      </c>
      <c r="GD531" s="15">
        <f t="shared" si="497"/>
        <v>1.178341211860765</v>
      </c>
      <c r="GE531" s="15">
        <f t="shared" si="498"/>
        <v>4.1500000000000021</v>
      </c>
      <c r="GF531" s="15">
        <f t="shared" si="499"/>
        <v>0.16410769681996795</v>
      </c>
      <c r="GG531" s="15">
        <f>((GC531*GC531)/(AR531*GA531*GA531)+(FZ531*FZ531)/(AR531*FX531*FX531))</f>
        <v>4.9999999999999992E-3</v>
      </c>
      <c r="HE531" s="15">
        <v>9000</v>
      </c>
      <c r="HF531" s="15">
        <f t="shared" si="500"/>
        <v>450</v>
      </c>
      <c r="HG531" s="15">
        <f>HF531*SQRT(AR221)</f>
        <v>779.42286340599469</v>
      </c>
      <c r="HH531" s="15">
        <v>9750</v>
      </c>
      <c r="HI531" s="15">
        <f t="shared" si="501"/>
        <v>487.5</v>
      </c>
      <c r="HJ531" s="15">
        <f>HI531*SQRT(AR221)</f>
        <v>844.37476868982765</v>
      </c>
      <c r="HK531" s="15">
        <f t="shared" si="502"/>
        <v>1.0833333333333333</v>
      </c>
      <c r="HL531" s="15">
        <f t="shared" si="503"/>
        <v>750</v>
      </c>
      <c r="HM531" s="15">
        <f t="shared" si="504"/>
        <v>8.0042707673536384E-2</v>
      </c>
      <c r="HN531" s="15">
        <f>((HJ531*HJ531)/(AR221*HH531*HH531)+(HG531*HG531)/(AR221*HE531*HE531))</f>
        <v>4.9999999999999992E-3</v>
      </c>
      <c r="HP531" s="15" t="s">
        <v>766</v>
      </c>
      <c r="HV531" s="15">
        <f t="shared" si="505"/>
        <v>374.79991459507511</v>
      </c>
      <c r="HW531" s="15">
        <f t="shared" si="506"/>
        <v>8.0042707673536384E-2</v>
      </c>
      <c r="HX531" s="15">
        <f t="shared" si="507"/>
        <v>3000</v>
      </c>
      <c r="HY531" s="15">
        <f t="shared" si="508"/>
        <v>15000</v>
      </c>
      <c r="HZ531" s="15">
        <f t="shared" si="509"/>
        <v>25</v>
      </c>
      <c r="IA531" s="15">
        <f t="shared" si="510"/>
        <v>3000</v>
      </c>
    </row>
    <row r="532" spans="1:235" s="15" customFormat="1" x14ac:dyDescent="0.25">
      <c r="A532" s="31">
        <v>530</v>
      </c>
      <c r="B532" s="1">
        <v>90</v>
      </c>
      <c r="C532" s="1">
        <v>108</v>
      </c>
      <c r="D532" s="15" t="s">
        <v>1357</v>
      </c>
      <c r="E532" s="1">
        <v>5</v>
      </c>
      <c r="F532" s="15" t="s">
        <v>798</v>
      </c>
      <c r="G532" s="15" t="s">
        <v>1358</v>
      </c>
      <c r="H532" s="15" t="s">
        <v>1359</v>
      </c>
      <c r="I532" s="1">
        <v>2019</v>
      </c>
      <c r="J532" s="15" t="s">
        <v>1360</v>
      </c>
      <c r="K532" s="1" t="s">
        <v>1361</v>
      </c>
      <c r="L532" s="15" t="s">
        <v>1362</v>
      </c>
      <c r="M532" s="15" t="s">
        <v>480</v>
      </c>
      <c r="N532" s="15" t="s">
        <v>520</v>
      </c>
      <c r="O532" s="31">
        <v>2</v>
      </c>
      <c r="P532" s="15">
        <v>29.21</v>
      </c>
      <c r="Q532" s="15">
        <v>119.46</v>
      </c>
      <c r="S532" s="15">
        <v>1300</v>
      </c>
      <c r="T532" s="15">
        <v>16</v>
      </c>
      <c r="U532" s="15" t="s">
        <v>549</v>
      </c>
      <c r="V532" s="31">
        <v>1</v>
      </c>
      <c r="W532" s="63" t="s">
        <v>1177</v>
      </c>
      <c r="X532" s="15" t="s">
        <v>689</v>
      </c>
      <c r="Y532" s="1">
        <v>1</v>
      </c>
      <c r="Z532" s="15">
        <v>5.35</v>
      </c>
      <c r="AA532" s="15" t="s">
        <v>574</v>
      </c>
      <c r="AB532" s="15">
        <f t="shared" si="489"/>
        <v>5.35</v>
      </c>
      <c r="AC532" s="1">
        <v>3</v>
      </c>
      <c r="AD532" s="15">
        <v>26.1</v>
      </c>
      <c r="AM532" s="1"/>
      <c r="AP532" s="15" t="s">
        <v>1334</v>
      </c>
      <c r="AQ532" s="61">
        <v>3</v>
      </c>
      <c r="AR532" s="1">
        <v>3</v>
      </c>
      <c r="BP532" s="16"/>
      <c r="BQ532" s="16"/>
      <c r="BR532" s="16"/>
      <c r="BU532" s="16"/>
      <c r="DB532" s="15" t="s">
        <v>835</v>
      </c>
      <c r="DD532" s="15">
        <v>15000</v>
      </c>
      <c r="DE532" s="15">
        <f t="shared" si="490"/>
        <v>15000</v>
      </c>
      <c r="DF532" s="15" t="s">
        <v>766</v>
      </c>
      <c r="DK532" s="15">
        <v>8</v>
      </c>
      <c r="DL532" s="15">
        <f t="shared" si="491"/>
        <v>0.88</v>
      </c>
      <c r="DM532" s="15">
        <f t="shared" si="492"/>
        <v>9.129999999999999</v>
      </c>
      <c r="DS532" s="15">
        <f>DE532</f>
        <v>15000</v>
      </c>
      <c r="DT532" s="15">
        <f t="shared" si="493"/>
        <v>25</v>
      </c>
      <c r="DU532" s="15">
        <f t="shared" si="494"/>
        <v>3000</v>
      </c>
      <c r="EZ532" s="16"/>
      <c r="FA532" s="16"/>
      <c r="FB532" s="16"/>
      <c r="FC532" s="16"/>
      <c r="FD532" s="16"/>
      <c r="FE532" s="16"/>
      <c r="FF532" s="16"/>
      <c r="FG532" s="16"/>
      <c r="FH532" s="16"/>
      <c r="FI532" s="16"/>
      <c r="FJ532" s="16"/>
      <c r="FK532" s="16">
        <f t="shared" si="479"/>
        <v>5.23</v>
      </c>
      <c r="FL532" s="16">
        <f t="shared" si="480"/>
        <v>5.49</v>
      </c>
      <c r="FM532" s="15">
        <v>5.23</v>
      </c>
      <c r="FN532" s="15">
        <f t="shared" si="481"/>
        <v>0.26150000000000001</v>
      </c>
      <c r="FO532" s="15">
        <f>FN532*SQRT(AR532)</f>
        <v>0.45293128617926143</v>
      </c>
      <c r="FP532" s="15">
        <v>5.49</v>
      </c>
      <c r="FQ532" s="15">
        <f t="shared" si="482"/>
        <v>0.27450000000000002</v>
      </c>
      <c r="FR532" s="15">
        <f>FQ532*SQRT(AR532)</f>
        <v>0.47544794667765683</v>
      </c>
      <c r="FS532" s="15">
        <f t="shared" si="483"/>
        <v>1.0497131931166348</v>
      </c>
      <c r="FT532" s="15">
        <f t="shared" si="484"/>
        <v>0.25999999999999979</v>
      </c>
      <c r="FU532" s="15">
        <f t="shared" si="485"/>
        <v>4.8516977444607701E-2</v>
      </c>
      <c r="FV532" s="15">
        <f>((FR532*FR532)/(AR532*FP532*FP532)+(FO532*FO532)/(AR532*FM532*FM532))</f>
        <v>5.0000000000000001E-3</v>
      </c>
      <c r="FX532" s="15">
        <v>23.29</v>
      </c>
      <c r="FY532" s="15">
        <f t="shared" si="495"/>
        <v>1.1645000000000001</v>
      </c>
      <c r="FZ532" s="15">
        <f>FY532*SQRT(AR532)</f>
        <v>2.0169731654139578</v>
      </c>
      <c r="GA532" s="15">
        <v>28.67</v>
      </c>
      <c r="GB532" s="15">
        <f t="shared" si="496"/>
        <v>1.4335000000000002</v>
      </c>
      <c r="GC532" s="15">
        <f>GB532*SQRT(AR532)</f>
        <v>2.4828948326499858</v>
      </c>
      <c r="GD532" s="15">
        <f t="shared" si="497"/>
        <v>1.2310004293688279</v>
      </c>
      <c r="GE532" s="15">
        <f t="shared" si="498"/>
        <v>5.3800000000000026</v>
      </c>
      <c r="GF532" s="15">
        <f t="shared" si="499"/>
        <v>0.20782719599902899</v>
      </c>
      <c r="GG532" s="15">
        <f>((GC532*GC532)/(AR532*GA532*GA532)+(FZ532*FZ532)/(AR532*FX532*FX532))</f>
        <v>5.000000000000001E-3</v>
      </c>
      <c r="HE532" s="15">
        <v>8850</v>
      </c>
      <c r="HF532" s="15">
        <f t="shared" si="500"/>
        <v>442.5</v>
      </c>
      <c r="HG532" s="15">
        <f>HF532*SQRT(AR222)</f>
        <v>766.43248234922817</v>
      </c>
      <c r="HH532" s="15">
        <v>9600</v>
      </c>
      <c r="HI532" s="15">
        <f t="shared" si="501"/>
        <v>480</v>
      </c>
      <c r="HJ532" s="15">
        <f>HI532*SQRT(AR222)</f>
        <v>831.38438763306101</v>
      </c>
      <c r="HK532" s="15">
        <f t="shared" si="502"/>
        <v>1.0847457627118644</v>
      </c>
      <c r="HL532" s="15">
        <f t="shared" si="503"/>
        <v>750</v>
      </c>
      <c r="HM532" s="15">
        <f t="shared" si="504"/>
        <v>8.1345639453953567E-2</v>
      </c>
      <c r="HN532" s="15">
        <f>((HJ532*HJ532)/(AR222*HH532*HH532)+(HG532*HG532)/(AR222*HE532*HE532))</f>
        <v>4.9999999999999992E-3</v>
      </c>
      <c r="HP532" s="15" t="s">
        <v>766</v>
      </c>
      <c r="HV532" s="15">
        <f t="shared" si="505"/>
        <v>368.7966583258808</v>
      </c>
      <c r="HW532" s="15">
        <f t="shared" si="506"/>
        <v>8.1345639453953567E-2</v>
      </c>
      <c r="HX532" s="15">
        <f t="shared" si="507"/>
        <v>3000</v>
      </c>
      <c r="HY532" s="15">
        <f t="shared" si="508"/>
        <v>15000</v>
      </c>
      <c r="HZ532" s="15">
        <f t="shared" si="509"/>
        <v>25</v>
      </c>
      <c r="IA532" s="15">
        <f t="shared" si="510"/>
        <v>3000</v>
      </c>
    </row>
    <row r="533" spans="1:235" s="15" customFormat="1" x14ac:dyDescent="0.25">
      <c r="A533" s="31">
        <v>531</v>
      </c>
      <c r="B533" s="1">
        <v>91</v>
      </c>
      <c r="C533" s="1">
        <v>109</v>
      </c>
      <c r="D533" s="15" t="s">
        <v>1363</v>
      </c>
      <c r="E533" s="1">
        <v>5</v>
      </c>
      <c r="F533" s="15" t="s">
        <v>798</v>
      </c>
      <c r="G533" s="15" t="s">
        <v>2375</v>
      </c>
      <c r="H533" s="15" t="s">
        <v>930</v>
      </c>
      <c r="I533" s="1">
        <v>2016</v>
      </c>
      <c r="J533" s="15" t="s">
        <v>1257</v>
      </c>
      <c r="K533" s="1" t="s">
        <v>2376</v>
      </c>
      <c r="L533" s="15" t="s">
        <v>2377</v>
      </c>
      <c r="M533" s="15" t="s">
        <v>480</v>
      </c>
      <c r="N533" s="15" t="s">
        <v>520</v>
      </c>
      <c r="O533" s="31">
        <v>2</v>
      </c>
      <c r="P533" s="15">
        <v>36.93</v>
      </c>
      <c r="Q533" s="15">
        <v>116.64</v>
      </c>
      <c r="S533" s="15">
        <v>593.20000000000005</v>
      </c>
      <c r="T533" s="15">
        <v>13.1</v>
      </c>
      <c r="U533" s="15" t="s">
        <v>549</v>
      </c>
      <c r="V533" s="31">
        <v>1</v>
      </c>
      <c r="W533" s="63" t="s">
        <v>1153</v>
      </c>
      <c r="X533" s="15" t="s">
        <v>731</v>
      </c>
      <c r="Y533" s="1">
        <v>12</v>
      </c>
      <c r="Z533" s="15">
        <v>8.6</v>
      </c>
      <c r="AA533" s="15" t="s">
        <v>574</v>
      </c>
      <c r="AB533" s="15">
        <f t="shared" si="489"/>
        <v>8.6</v>
      </c>
      <c r="AC533" s="60">
        <v>6</v>
      </c>
      <c r="AD533" s="15">
        <v>16.77</v>
      </c>
      <c r="AM533" s="1"/>
      <c r="AP533" s="15" t="s">
        <v>2378</v>
      </c>
      <c r="AQ533" s="1">
        <v>5</v>
      </c>
      <c r="AR533" s="1">
        <v>3</v>
      </c>
      <c r="BP533" s="16"/>
      <c r="BQ533" s="16"/>
      <c r="BR533" s="16"/>
      <c r="BU533" s="16"/>
      <c r="DB533" s="15" t="s">
        <v>804</v>
      </c>
      <c r="DD533" s="15">
        <f>10080*1.23</f>
        <v>12398.4</v>
      </c>
      <c r="DE533" s="15">
        <f t="shared" si="490"/>
        <v>12398.4</v>
      </c>
      <c r="DF533" s="15" t="s">
        <v>766</v>
      </c>
      <c r="DK533" s="15">
        <v>8.9</v>
      </c>
      <c r="DL533" s="15">
        <f>1.1*0.44</f>
        <v>0.48400000000000004</v>
      </c>
      <c r="DM533" s="15">
        <f>9.9*0.83</f>
        <v>8.2170000000000005</v>
      </c>
      <c r="DS533" s="15">
        <f>DE533</f>
        <v>12398.4</v>
      </c>
      <c r="DT533" s="15">
        <f t="shared" si="493"/>
        <v>20.664000000000001</v>
      </c>
      <c r="DU533" s="15">
        <f t="shared" si="494"/>
        <v>2479.6800000000003</v>
      </c>
      <c r="EZ533" s="16"/>
      <c r="FA533" s="16"/>
      <c r="FB533" s="16"/>
      <c r="FC533" s="16"/>
      <c r="FD533" s="16"/>
      <c r="FE533" s="16"/>
      <c r="FF533" s="16"/>
      <c r="FG533" s="16"/>
      <c r="FH533" s="16"/>
      <c r="FI533" s="16"/>
      <c r="FJ533" s="16"/>
      <c r="FK533" s="16"/>
      <c r="FL533" s="16"/>
      <c r="HE533" s="15">
        <v>8406</v>
      </c>
      <c r="HF533" s="15">
        <v>636</v>
      </c>
      <c r="HG533" s="15">
        <f>HF533*SQRT(AR223)</f>
        <v>1101.584313613806</v>
      </c>
      <c r="HH533" s="15">
        <v>10080</v>
      </c>
      <c r="HI533" s="15">
        <v>545</v>
      </c>
      <c r="HJ533" s="15">
        <f>HI533*SQRT(AR223)</f>
        <v>943.96769012503808</v>
      </c>
      <c r="HK533" s="15">
        <f t="shared" si="502"/>
        <v>1.1991434689507494</v>
      </c>
      <c r="HL533" s="15">
        <f t="shared" si="503"/>
        <v>1674</v>
      </c>
      <c r="HM533" s="15">
        <f t="shared" si="504"/>
        <v>0.18160752606029718</v>
      </c>
      <c r="HN533" s="15">
        <f>((HJ533*HJ533)/(AR223*HH533*HH533)+(HG533*HG533)/(AR223*HE533*HE533))</f>
        <v>8.6477625881512463E-3</v>
      </c>
      <c r="HP533" s="15" t="s">
        <v>766</v>
      </c>
      <c r="HV533" s="15">
        <f t="shared" si="505"/>
        <v>136.54059684600841</v>
      </c>
      <c r="HW533" s="15">
        <f t="shared" si="506"/>
        <v>0.18160752606029718</v>
      </c>
      <c r="HX533" s="15">
        <f t="shared" si="507"/>
        <v>2479.6800000000003</v>
      </c>
      <c r="HY533" s="15">
        <f t="shared" si="508"/>
        <v>12398.4</v>
      </c>
      <c r="HZ533" s="15">
        <f t="shared" si="509"/>
        <v>20.664000000000001</v>
      </c>
      <c r="IA533" s="15">
        <f t="shared" si="510"/>
        <v>2479.6800000000003</v>
      </c>
    </row>
    <row r="534" spans="1:235" s="15" customFormat="1" x14ac:dyDescent="0.25">
      <c r="A534" s="31">
        <v>532</v>
      </c>
      <c r="B534" s="1">
        <v>91</v>
      </c>
      <c r="C534" s="1">
        <v>109</v>
      </c>
      <c r="D534" s="15" t="s">
        <v>1364</v>
      </c>
      <c r="E534" s="1">
        <v>6</v>
      </c>
      <c r="F534" s="15" t="s">
        <v>2379</v>
      </c>
      <c r="G534" s="15" t="s">
        <v>2375</v>
      </c>
      <c r="H534" s="15" t="s">
        <v>930</v>
      </c>
      <c r="I534" s="1">
        <v>2016</v>
      </c>
      <c r="J534" s="15" t="s">
        <v>1257</v>
      </c>
      <c r="K534" s="1" t="s">
        <v>2376</v>
      </c>
      <c r="L534" s="15" t="s">
        <v>2377</v>
      </c>
      <c r="M534" s="15" t="s">
        <v>480</v>
      </c>
      <c r="N534" s="15" t="s">
        <v>520</v>
      </c>
      <c r="O534" s="31">
        <v>2</v>
      </c>
      <c r="P534" s="15">
        <v>36.93</v>
      </c>
      <c r="Q534" s="15">
        <v>116.64</v>
      </c>
      <c r="S534" s="15">
        <v>593.20000000000005</v>
      </c>
      <c r="T534" s="15">
        <v>13.1</v>
      </c>
      <c r="U534" s="15" t="s">
        <v>549</v>
      </c>
      <c r="V534" s="31">
        <v>1</v>
      </c>
      <c r="W534" s="63" t="s">
        <v>1153</v>
      </c>
      <c r="X534" s="15" t="s">
        <v>731</v>
      </c>
      <c r="Y534" s="1">
        <v>12</v>
      </c>
      <c r="Z534" s="15">
        <v>8.6</v>
      </c>
      <c r="AA534" s="15" t="s">
        <v>574</v>
      </c>
      <c r="AB534" s="15">
        <f t="shared" si="489"/>
        <v>8.6</v>
      </c>
      <c r="AC534" s="60">
        <v>6</v>
      </c>
      <c r="AD534" s="15">
        <v>16.77</v>
      </c>
      <c r="AM534" s="1"/>
      <c r="AP534" s="15" t="s">
        <v>2378</v>
      </c>
      <c r="AQ534" s="1">
        <v>5</v>
      </c>
      <c r="AR534" s="1">
        <v>3</v>
      </c>
      <c r="BG534" s="15" t="s">
        <v>2352</v>
      </c>
      <c r="BP534" s="16"/>
      <c r="BQ534" s="16"/>
      <c r="BR534" s="16"/>
      <c r="BS534" s="15">
        <v>12360</v>
      </c>
      <c r="BT534" s="15">
        <f>BS534</f>
        <v>12360</v>
      </c>
      <c r="BU534" s="15" t="s">
        <v>766</v>
      </c>
      <c r="BY534" s="15">
        <f>BT534</f>
        <v>12360</v>
      </c>
      <c r="BZ534" s="15">
        <f>BY534/1.1/1000</f>
        <v>11.236363636363636</v>
      </c>
      <c r="CA534" s="15">
        <f>BY534*2</f>
        <v>24720</v>
      </c>
      <c r="DB534" s="15" t="s">
        <v>804</v>
      </c>
      <c r="DD534" s="15">
        <f>10080*1.23</f>
        <v>12398.4</v>
      </c>
      <c r="DE534" s="15">
        <f t="shared" si="490"/>
        <v>12398.4</v>
      </c>
      <c r="DF534" s="15" t="s">
        <v>766</v>
      </c>
      <c r="DK534" s="15">
        <v>8.9</v>
      </c>
      <c r="DL534" s="15">
        <f>1.1*0.44</f>
        <v>0.48400000000000004</v>
      </c>
      <c r="DM534" s="15">
        <f>9.9*0.83</f>
        <v>8.2170000000000005</v>
      </c>
      <c r="DS534" s="15">
        <f>DE534</f>
        <v>12398.4</v>
      </c>
      <c r="DT534" s="15">
        <f t="shared" si="493"/>
        <v>20.664000000000001</v>
      </c>
      <c r="DU534" s="15">
        <f t="shared" si="494"/>
        <v>2479.6800000000003</v>
      </c>
      <c r="EW534" s="46">
        <f>AX534+BT534+CF534+DE534+DY534</f>
        <v>24758.400000000001</v>
      </c>
      <c r="EX534" s="46">
        <f>BA534+BZ534+CZ534+DT534+ET534</f>
        <v>31.900363636363636</v>
      </c>
      <c r="EY534" s="46">
        <f>BB534+CA534+DA534+DU534+EU534</f>
        <v>27199.68</v>
      </c>
      <c r="EZ534" s="16"/>
      <c r="FA534" s="16"/>
      <c r="FB534" s="16"/>
      <c r="FC534" s="16"/>
      <c r="FD534" s="16"/>
      <c r="FE534" s="16"/>
      <c r="FF534" s="16"/>
      <c r="FG534" s="16"/>
      <c r="FH534" s="16"/>
      <c r="FI534" s="16"/>
      <c r="FJ534" s="16"/>
      <c r="FK534" s="16"/>
      <c r="FL534" s="16"/>
      <c r="HE534" s="15">
        <v>8406</v>
      </c>
      <c r="HF534" s="15">
        <v>636</v>
      </c>
      <c r="HG534" s="15">
        <f>HF534*SQRT(AR224)</f>
        <v>1101.584313613806</v>
      </c>
      <c r="HH534" s="15">
        <v>9269</v>
      </c>
      <c r="HI534" s="15">
        <v>486</v>
      </c>
      <c r="HJ534" s="15">
        <f>HI534*SQRT(AR224)</f>
        <v>841.77669247847427</v>
      </c>
      <c r="HK534" s="15">
        <f t="shared" si="502"/>
        <v>1.1026647632643349</v>
      </c>
      <c r="HL534" s="15">
        <f t="shared" si="503"/>
        <v>863</v>
      </c>
      <c r="HM534" s="15">
        <f t="shared" si="504"/>
        <v>9.7729762310770241E-2</v>
      </c>
      <c r="HN534" s="15">
        <f>((HJ534*HJ534)/(AR224*HH534*HH534)+(HG534*HG534)/(AR224*HE534*HE534))</f>
        <v>8.4736751017707931E-3</v>
      </c>
      <c r="HP534" s="15" t="s">
        <v>766</v>
      </c>
      <c r="HV534" s="15">
        <f t="shared" si="505"/>
        <v>2783.152169500619</v>
      </c>
      <c r="HW534" s="15">
        <f t="shared" si="506"/>
        <v>9.7729762310770241E-2</v>
      </c>
      <c r="HX534" s="15">
        <f>EY534</f>
        <v>27199.68</v>
      </c>
      <c r="HY534" s="15">
        <f>EW534</f>
        <v>24758.400000000001</v>
      </c>
      <c r="HZ534" s="15">
        <f>EX534</f>
        <v>31.900363636363636</v>
      </c>
      <c r="IA534" s="15">
        <f>EY534</f>
        <v>27199.68</v>
      </c>
    </row>
    <row r="535" spans="1:235" s="15" customFormat="1" x14ac:dyDescent="0.25">
      <c r="A535" s="31">
        <v>533</v>
      </c>
      <c r="B535" s="1">
        <v>91</v>
      </c>
      <c r="C535" s="1">
        <v>109</v>
      </c>
      <c r="D535" s="15" t="s">
        <v>1365</v>
      </c>
      <c r="E535" s="1">
        <v>5</v>
      </c>
      <c r="F535" s="15" t="s">
        <v>798</v>
      </c>
      <c r="G535" s="15" t="s">
        <v>2375</v>
      </c>
      <c r="H535" s="15" t="s">
        <v>930</v>
      </c>
      <c r="I535" s="1">
        <v>2016</v>
      </c>
      <c r="J535" s="15" t="s">
        <v>1257</v>
      </c>
      <c r="K535" s="1" t="s">
        <v>2376</v>
      </c>
      <c r="L535" s="15" t="s">
        <v>2377</v>
      </c>
      <c r="M535" s="15" t="s">
        <v>480</v>
      </c>
      <c r="N535" s="15" t="s">
        <v>520</v>
      </c>
      <c r="O535" s="31">
        <v>2</v>
      </c>
      <c r="P535" s="15">
        <v>36.93</v>
      </c>
      <c r="Q535" s="15">
        <v>116.64</v>
      </c>
      <c r="S535" s="15">
        <v>593.20000000000005</v>
      </c>
      <c r="T535" s="15">
        <v>13.1</v>
      </c>
      <c r="U535" s="15" t="s">
        <v>549</v>
      </c>
      <c r="V535" s="31">
        <v>1</v>
      </c>
      <c r="W535" s="63" t="s">
        <v>1153</v>
      </c>
      <c r="X535" s="15" t="s">
        <v>729</v>
      </c>
      <c r="Y535" s="61">
        <v>11</v>
      </c>
      <c r="Z535" s="15">
        <v>8.6</v>
      </c>
      <c r="AA535" s="15" t="s">
        <v>574</v>
      </c>
      <c r="AB535" s="15">
        <f t="shared" si="489"/>
        <v>8.6</v>
      </c>
      <c r="AC535" s="60">
        <v>6</v>
      </c>
      <c r="AD535" s="15">
        <v>16.77</v>
      </c>
      <c r="AM535" s="1"/>
      <c r="AP535" s="15" t="s">
        <v>2378</v>
      </c>
      <c r="AQ535" s="1">
        <v>5</v>
      </c>
      <c r="AR535" s="1">
        <v>3</v>
      </c>
      <c r="BP535" s="16"/>
      <c r="BQ535" s="16"/>
      <c r="BR535" s="16"/>
      <c r="BU535" s="16"/>
      <c r="DB535" s="15" t="s">
        <v>717</v>
      </c>
      <c r="DD535" s="15">
        <f>1.34*5132</f>
        <v>6876.88</v>
      </c>
      <c r="DE535" s="15">
        <f t="shared" si="490"/>
        <v>6876.88</v>
      </c>
      <c r="DF535" s="15" t="s">
        <v>766</v>
      </c>
      <c r="DK535" s="15">
        <f t="shared" ref="DK535:DK545" si="511">0.54</f>
        <v>0.54</v>
      </c>
      <c r="DL535" s="15">
        <f t="shared" ref="DL535:DL545" si="512">0.9*0.44</f>
        <v>0.39600000000000002</v>
      </c>
      <c r="DM535" s="15">
        <f t="shared" ref="DM535:DM545" si="513">11.6*0.83</f>
        <v>9.6280000000000001</v>
      </c>
      <c r="DS535" s="15">
        <f>DE535</f>
        <v>6876.88</v>
      </c>
      <c r="DT535" s="15">
        <f t="shared" si="493"/>
        <v>11.461466666666666</v>
      </c>
      <c r="DU535" s="15">
        <f t="shared" si="494"/>
        <v>1375.3760000000002</v>
      </c>
      <c r="EZ535" s="16"/>
      <c r="FA535" s="16"/>
      <c r="FB535" s="16"/>
      <c r="FC535" s="16"/>
      <c r="FD535" s="16"/>
      <c r="FE535" s="16"/>
      <c r="FF535" s="16"/>
      <c r="FG535" s="16"/>
      <c r="FH535" s="16"/>
      <c r="FI535" s="16"/>
      <c r="FJ535" s="16"/>
      <c r="FK535" s="16"/>
      <c r="FL535" s="16"/>
      <c r="HE535" s="15">
        <v>4367</v>
      </c>
      <c r="HF535" s="15">
        <v>350</v>
      </c>
      <c r="HG535" s="15">
        <f>HF535*SQRT(AR225)</f>
        <v>606.21778264910699</v>
      </c>
      <c r="HH535" s="15">
        <v>5133</v>
      </c>
      <c r="HI535" s="15">
        <v>458</v>
      </c>
      <c r="HJ535" s="15">
        <f>HI535*SQRT(AR225)</f>
        <v>793.27926986654575</v>
      </c>
      <c r="HK535" s="15">
        <f t="shared" si="502"/>
        <v>1.1754064575223266</v>
      </c>
      <c r="HL535" s="15">
        <f t="shared" si="503"/>
        <v>766</v>
      </c>
      <c r="HM535" s="15">
        <f t="shared" si="504"/>
        <v>0.16161400907474111</v>
      </c>
      <c r="HN535" s="15">
        <f>((HJ535*HJ535)/(AR225*HH535*HH535)+(HG535*HG535)/(AR225*HE535*HE535))</f>
        <v>1.438485142652113E-2</v>
      </c>
      <c r="HP535" s="15" t="s">
        <v>766</v>
      </c>
      <c r="HV535" s="15">
        <f t="shared" si="505"/>
        <v>85.102523467748057</v>
      </c>
      <c r="HW535" s="15">
        <f t="shared" si="506"/>
        <v>0.16161400907474111</v>
      </c>
      <c r="HX535" s="15">
        <f>DU535</f>
        <v>1375.3760000000002</v>
      </c>
      <c r="HY535" s="15">
        <f>DS535</f>
        <v>6876.88</v>
      </c>
      <c r="HZ535" s="15">
        <f>DT535</f>
        <v>11.461466666666666</v>
      </c>
      <c r="IA535" s="15">
        <f>DU535</f>
        <v>1375.3760000000002</v>
      </c>
    </row>
    <row r="536" spans="1:235" s="15" customFormat="1" x14ac:dyDescent="0.25">
      <c r="A536" s="31">
        <v>534</v>
      </c>
      <c r="B536" s="1">
        <v>91</v>
      </c>
      <c r="C536" s="1">
        <v>109</v>
      </c>
      <c r="D536" s="15" t="s">
        <v>1366</v>
      </c>
      <c r="E536" s="1">
        <v>6</v>
      </c>
      <c r="F536" s="15" t="s">
        <v>2379</v>
      </c>
      <c r="G536" s="15" t="s">
        <v>2375</v>
      </c>
      <c r="H536" s="15" t="s">
        <v>930</v>
      </c>
      <c r="I536" s="1">
        <v>2016</v>
      </c>
      <c r="J536" s="15" t="s">
        <v>1257</v>
      </c>
      <c r="K536" s="1" t="s">
        <v>2376</v>
      </c>
      <c r="L536" s="15" t="s">
        <v>2377</v>
      </c>
      <c r="M536" s="15" t="s">
        <v>480</v>
      </c>
      <c r="N536" s="15" t="s">
        <v>520</v>
      </c>
      <c r="O536" s="31">
        <v>2</v>
      </c>
      <c r="P536" s="15">
        <v>36.93</v>
      </c>
      <c r="Q536" s="15">
        <v>116.64</v>
      </c>
      <c r="S536" s="15">
        <v>593.20000000000005</v>
      </c>
      <c r="T536" s="15">
        <v>13.1</v>
      </c>
      <c r="U536" s="15" t="s">
        <v>549</v>
      </c>
      <c r="V536" s="31">
        <v>1</v>
      </c>
      <c r="W536" s="63" t="s">
        <v>1153</v>
      </c>
      <c r="X536" s="15" t="s">
        <v>729</v>
      </c>
      <c r="Y536" s="61">
        <v>11</v>
      </c>
      <c r="Z536" s="15">
        <v>8.6</v>
      </c>
      <c r="AA536" s="15" t="s">
        <v>574</v>
      </c>
      <c r="AB536" s="15">
        <f t="shared" si="489"/>
        <v>8.6</v>
      </c>
      <c r="AC536" s="60">
        <v>6</v>
      </c>
      <c r="AD536" s="15">
        <v>16.77</v>
      </c>
      <c r="AM536" s="1"/>
      <c r="AP536" s="15" t="s">
        <v>2378</v>
      </c>
      <c r="AQ536" s="1">
        <v>5</v>
      </c>
      <c r="AR536" s="1">
        <v>3</v>
      </c>
      <c r="BG536" s="15" t="s">
        <v>2352</v>
      </c>
      <c r="BP536" s="16"/>
      <c r="BQ536" s="16"/>
      <c r="BR536" s="16"/>
      <c r="BS536" s="15">
        <v>8000</v>
      </c>
      <c r="BT536" s="15">
        <f>BS536</f>
        <v>8000</v>
      </c>
      <c r="BU536" s="15" t="s">
        <v>766</v>
      </c>
      <c r="BY536" s="15">
        <f>BT536</f>
        <v>8000</v>
      </c>
      <c r="BZ536" s="15">
        <f>BY536/1.1/1000</f>
        <v>7.2727272727272725</v>
      </c>
      <c r="CA536" s="15">
        <f>BY536*2</f>
        <v>16000</v>
      </c>
      <c r="DB536" s="15" t="s">
        <v>717</v>
      </c>
      <c r="DD536" s="15">
        <f>1.34*5132</f>
        <v>6876.88</v>
      </c>
      <c r="DE536" s="15">
        <f t="shared" si="490"/>
        <v>6876.88</v>
      </c>
      <c r="DF536" s="15" t="s">
        <v>766</v>
      </c>
      <c r="DK536" s="15">
        <f t="shared" si="511"/>
        <v>0.54</v>
      </c>
      <c r="DL536" s="15">
        <f t="shared" si="512"/>
        <v>0.39600000000000002</v>
      </c>
      <c r="DM536" s="15">
        <f t="shared" si="513"/>
        <v>9.6280000000000001</v>
      </c>
      <c r="DS536" s="15">
        <f>DE536</f>
        <v>6876.88</v>
      </c>
      <c r="DT536" s="15">
        <f t="shared" si="493"/>
        <v>11.461466666666666</v>
      </c>
      <c r="DU536" s="15">
        <f t="shared" si="494"/>
        <v>1375.3760000000002</v>
      </c>
      <c r="EW536" s="46">
        <f>AX536+BT536+CF536+DE536+DY536</f>
        <v>14876.880000000001</v>
      </c>
      <c r="EX536" s="46">
        <f>BA536+BZ536+CZ536+DT536+ET536</f>
        <v>18.73419393939394</v>
      </c>
      <c r="EY536" s="46">
        <f>BB536+CA536+DA536+DU536+EU536</f>
        <v>17375.376</v>
      </c>
      <c r="EZ536" s="16"/>
      <c r="FA536" s="16"/>
      <c r="FB536" s="16"/>
      <c r="FC536" s="16"/>
      <c r="FD536" s="16"/>
      <c r="FE536" s="16"/>
      <c r="FF536" s="16"/>
      <c r="FG536" s="16"/>
      <c r="FH536" s="16"/>
      <c r="FI536" s="16"/>
      <c r="FJ536" s="16"/>
      <c r="FK536" s="16"/>
      <c r="FL536" s="16"/>
      <c r="HE536" s="15">
        <v>4367</v>
      </c>
      <c r="HF536" s="15">
        <v>350</v>
      </c>
      <c r="HG536" s="15">
        <f>HF536*SQRT(AR226)</f>
        <v>606.21778264910699</v>
      </c>
      <c r="HH536" s="15">
        <v>4493</v>
      </c>
      <c r="HI536" s="15">
        <v>172</v>
      </c>
      <c r="HJ536" s="15">
        <f>HI536*SQRT(AR226)</f>
        <v>297.91273890184686</v>
      </c>
      <c r="HK536" s="15">
        <f t="shared" si="502"/>
        <v>1.0288527593313488</v>
      </c>
      <c r="HL536" s="15">
        <f t="shared" si="503"/>
        <v>126</v>
      </c>
      <c r="HM536" s="15">
        <f t="shared" si="504"/>
        <v>2.8444355584598568E-2</v>
      </c>
      <c r="HN536" s="15">
        <f>((HJ536*HJ536)/(AR226*HH536*HH536)+(HG536*HG536)/(AR226*HE536*HE536))</f>
        <v>7.8889641099601504E-3</v>
      </c>
      <c r="HP536" s="15" t="s">
        <v>766</v>
      </c>
      <c r="HV536" s="15">
        <f t="shared" si="505"/>
        <v>6108.5497079807428</v>
      </c>
      <c r="HW536" s="15">
        <f t="shared" si="506"/>
        <v>2.8444355584598568E-2</v>
      </c>
      <c r="HX536" s="15">
        <f>EY536</f>
        <v>17375.376</v>
      </c>
      <c r="HY536" s="15">
        <f>EW536</f>
        <v>14876.880000000001</v>
      </c>
      <c r="HZ536" s="15">
        <f>EX536</f>
        <v>18.73419393939394</v>
      </c>
      <c r="IA536" s="15">
        <f>EY536</f>
        <v>17375.376</v>
      </c>
    </row>
    <row r="537" spans="1:235" s="15" customFormat="1" x14ac:dyDescent="0.25">
      <c r="A537" s="31">
        <v>535</v>
      </c>
      <c r="B537" s="1">
        <v>92</v>
      </c>
      <c r="C537" s="1">
        <v>110</v>
      </c>
      <c r="D537" s="15" t="s">
        <v>1367</v>
      </c>
      <c r="E537" s="1">
        <v>5</v>
      </c>
      <c r="F537" s="15" t="s">
        <v>798</v>
      </c>
      <c r="G537" s="15" t="s">
        <v>1380</v>
      </c>
      <c r="H537" s="15" t="s">
        <v>812</v>
      </c>
      <c r="I537" s="1">
        <v>2016</v>
      </c>
      <c r="J537" s="15" t="s">
        <v>1376</v>
      </c>
      <c r="K537" s="1" t="s">
        <v>1377</v>
      </c>
      <c r="L537" s="15" t="s">
        <v>1378</v>
      </c>
      <c r="M537" s="15" t="s">
        <v>480</v>
      </c>
      <c r="N537" s="15" t="s">
        <v>520</v>
      </c>
      <c r="O537" s="31">
        <v>2</v>
      </c>
      <c r="P537" s="15">
        <v>31.55</v>
      </c>
      <c r="Q537" s="15">
        <v>123.63</v>
      </c>
      <c r="S537" s="15">
        <v>683</v>
      </c>
      <c r="T537" s="15">
        <v>25.5</v>
      </c>
      <c r="U537" s="15" t="s">
        <v>807</v>
      </c>
      <c r="V537" s="31">
        <v>2</v>
      </c>
      <c r="W537" s="63" t="s">
        <v>1179</v>
      </c>
      <c r="X537" s="15" t="s">
        <v>689</v>
      </c>
      <c r="Y537" s="1">
        <v>1</v>
      </c>
      <c r="Z537" s="15">
        <v>5.8</v>
      </c>
      <c r="AA537" s="15" t="s">
        <v>574</v>
      </c>
      <c r="AB537" s="15">
        <f t="shared" si="489"/>
        <v>5.8</v>
      </c>
      <c r="AC537" s="1">
        <v>4</v>
      </c>
      <c r="AD537" s="15">
        <v>25.6</v>
      </c>
      <c r="AM537" s="1"/>
      <c r="AP537" s="15" t="s">
        <v>1334</v>
      </c>
      <c r="AQ537" s="61">
        <v>3</v>
      </c>
      <c r="AR537" s="1">
        <v>3</v>
      </c>
      <c r="BP537" s="16"/>
      <c r="BQ537" s="16"/>
      <c r="BR537" s="16"/>
      <c r="BU537" s="16"/>
      <c r="DB537" s="15" t="s">
        <v>717</v>
      </c>
      <c r="DD537" s="15">
        <v>5000</v>
      </c>
      <c r="DE537" s="15">
        <f t="shared" si="490"/>
        <v>5000</v>
      </c>
      <c r="DF537" s="15" t="s">
        <v>766</v>
      </c>
      <c r="DK537" s="15">
        <f t="shared" si="511"/>
        <v>0.54</v>
      </c>
      <c r="DL537" s="15">
        <f t="shared" si="512"/>
        <v>0.39600000000000002</v>
      </c>
      <c r="DM537" s="15">
        <f t="shared" si="513"/>
        <v>9.6280000000000001</v>
      </c>
      <c r="DS537" s="15">
        <f>DE537</f>
        <v>5000</v>
      </c>
      <c r="DT537" s="15">
        <f t="shared" si="493"/>
        <v>8.3333333333333339</v>
      </c>
      <c r="DU537" s="15">
        <f t="shared" si="494"/>
        <v>1000</v>
      </c>
      <c r="FK537" s="16"/>
      <c r="FL537" s="16"/>
      <c r="HE537" s="15">
        <v>235.1</v>
      </c>
      <c r="HF537" s="15">
        <f t="shared" ref="HF537:HF545" si="514">HE537*0.05</f>
        <v>11.755000000000001</v>
      </c>
      <c r="HG537" s="15">
        <f>HF537*SQRT(AR227)</f>
        <v>20.360257242972153</v>
      </c>
      <c r="HH537" s="15">
        <v>225.3</v>
      </c>
      <c r="HI537" s="15">
        <f t="shared" ref="HI537:HI545" si="515">HH537*0.05</f>
        <v>11.265000000000001</v>
      </c>
      <c r="HJ537" s="15">
        <f>HI537*SQRT(AR227)</f>
        <v>19.511552347263404</v>
      </c>
      <c r="HK537" s="15">
        <f t="shared" si="502"/>
        <v>0.95831561037856239</v>
      </c>
      <c r="HL537" s="15">
        <f t="shared" si="503"/>
        <v>-9.7999999999999829</v>
      </c>
      <c r="HM537" s="15">
        <f t="shared" si="504"/>
        <v>-4.2578108107825585E-2</v>
      </c>
      <c r="HN537" s="15">
        <f>((HJ537*HJ537)/(AR227*HH537*HH537)+(HG537*HG537)/(AR227*HE537*HE537))</f>
        <v>5.000000000000001E-3</v>
      </c>
      <c r="HP537" s="15" t="s">
        <v>1379</v>
      </c>
      <c r="HV537" s="15">
        <f t="shared" si="505"/>
        <v>-234.86247849894636</v>
      </c>
      <c r="HW537" s="15">
        <f t="shared" si="506"/>
        <v>-4.2578108107825585E-2</v>
      </c>
      <c r="HX537" s="15">
        <f t="shared" ref="HX537:HX545" si="516">DU537</f>
        <v>1000</v>
      </c>
      <c r="HY537" s="15">
        <f t="shared" ref="HY537:HY545" si="517">DS537</f>
        <v>5000</v>
      </c>
      <c r="HZ537" s="15">
        <f t="shared" ref="HZ537:HZ545" si="518">DT537</f>
        <v>8.3333333333333339</v>
      </c>
      <c r="IA537" s="15">
        <f t="shared" ref="IA537:IA545" si="519">DU537</f>
        <v>1000</v>
      </c>
    </row>
    <row r="538" spans="1:235" s="15" customFormat="1" x14ac:dyDescent="0.25">
      <c r="A538" s="31">
        <v>536</v>
      </c>
      <c r="B538" s="1">
        <v>92</v>
      </c>
      <c r="C538" s="1">
        <v>110</v>
      </c>
      <c r="D538" s="15" t="s">
        <v>1368</v>
      </c>
      <c r="E538" s="1">
        <v>5</v>
      </c>
      <c r="F538" s="15" t="s">
        <v>798</v>
      </c>
      <c r="G538" s="15" t="s">
        <v>1380</v>
      </c>
      <c r="H538" s="15" t="s">
        <v>812</v>
      </c>
      <c r="I538" s="1">
        <v>2016</v>
      </c>
      <c r="J538" s="15" t="s">
        <v>1376</v>
      </c>
      <c r="K538" s="1" t="s">
        <v>1377</v>
      </c>
      <c r="L538" s="15" t="s">
        <v>1378</v>
      </c>
      <c r="M538" s="15" t="s">
        <v>480</v>
      </c>
      <c r="N538" s="15" t="s">
        <v>520</v>
      </c>
      <c r="O538" s="31">
        <v>2</v>
      </c>
      <c r="P538" s="15">
        <v>31.55</v>
      </c>
      <c r="Q538" s="15">
        <v>123.63</v>
      </c>
      <c r="S538" s="15">
        <v>683</v>
      </c>
      <c r="T538" s="15">
        <v>25.5</v>
      </c>
      <c r="U538" s="15" t="s">
        <v>807</v>
      </c>
      <c r="V538" s="31">
        <v>2</v>
      </c>
      <c r="W538" s="63" t="s">
        <v>1179</v>
      </c>
      <c r="X538" s="15" t="s">
        <v>689</v>
      </c>
      <c r="Y538" s="1">
        <v>1</v>
      </c>
      <c r="Z538" s="15">
        <v>5.8</v>
      </c>
      <c r="AA538" s="15" t="s">
        <v>574</v>
      </c>
      <c r="AB538" s="15">
        <f t="shared" si="489"/>
        <v>5.8</v>
      </c>
      <c r="AC538" s="1">
        <v>4</v>
      </c>
      <c r="AD538" s="15">
        <v>25.6</v>
      </c>
      <c r="AM538" s="1"/>
      <c r="AP538" s="15" t="s">
        <v>1334</v>
      </c>
      <c r="AQ538" s="61">
        <v>3</v>
      </c>
      <c r="AR538" s="1">
        <v>3</v>
      </c>
      <c r="BP538" s="16"/>
      <c r="BQ538" s="16"/>
      <c r="BR538" s="16"/>
      <c r="BU538" s="16"/>
      <c r="DB538" s="15" t="s">
        <v>717</v>
      </c>
      <c r="DD538" s="15">
        <v>5000</v>
      </c>
      <c r="DE538" s="15">
        <f t="shared" si="490"/>
        <v>5000</v>
      </c>
      <c r="DF538" s="15" t="s">
        <v>766</v>
      </c>
      <c r="DK538" s="15">
        <f t="shared" si="511"/>
        <v>0.54</v>
      </c>
      <c r="DL538" s="15">
        <f t="shared" si="512"/>
        <v>0.39600000000000002</v>
      </c>
      <c r="DM538" s="15">
        <f t="shared" si="513"/>
        <v>9.6280000000000001</v>
      </c>
      <c r="DS538" s="15">
        <f>DE538</f>
        <v>5000</v>
      </c>
      <c r="DT538" s="15">
        <f t="shared" si="493"/>
        <v>8.3333333333333339</v>
      </c>
      <c r="DU538" s="15">
        <f t="shared" si="494"/>
        <v>1000</v>
      </c>
      <c r="FK538" s="16"/>
      <c r="FL538" s="16"/>
      <c r="HE538" s="15">
        <v>155</v>
      </c>
      <c r="HF538" s="15">
        <f t="shared" si="514"/>
        <v>7.75</v>
      </c>
      <c r="HG538" s="15">
        <f>HF538*SQRT(AR228)</f>
        <v>13.423393758658799</v>
      </c>
      <c r="HH538" s="15">
        <v>160.4</v>
      </c>
      <c r="HI538" s="15">
        <f t="shared" si="515"/>
        <v>8.0200000000000014</v>
      </c>
      <c r="HJ538" s="15">
        <f>HI538*SQRT(AR228)</f>
        <v>13.891047476702397</v>
      </c>
      <c r="HK538" s="15">
        <f t="shared" si="502"/>
        <v>1.0348387096774194</v>
      </c>
      <c r="HL538" s="15">
        <f t="shared" si="503"/>
        <v>5.4000000000000057</v>
      </c>
      <c r="HM538" s="15">
        <f t="shared" si="504"/>
        <v>3.4245578513167452E-2</v>
      </c>
      <c r="HN538" s="15">
        <f>((HJ538*HJ538)/(AR228*HH538*HH538)+(HG538*HG538)/(AR228*HE538*HE538))</f>
        <v>5.0000000000000001E-3</v>
      </c>
      <c r="HP538" s="15" t="s">
        <v>1379</v>
      </c>
      <c r="HV538" s="15">
        <f t="shared" si="505"/>
        <v>292.00849961273082</v>
      </c>
      <c r="HW538" s="15">
        <f t="shared" si="506"/>
        <v>3.4245578513167452E-2</v>
      </c>
      <c r="HX538" s="15">
        <f t="shared" si="516"/>
        <v>1000</v>
      </c>
      <c r="HY538" s="15">
        <f t="shared" si="517"/>
        <v>5000</v>
      </c>
      <c r="HZ538" s="15">
        <f t="shared" si="518"/>
        <v>8.3333333333333339</v>
      </c>
      <c r="IA538" s="15">
        <f t="shared" si="519"/>
        <v>1000</v>
      </c>
    </row>
    <row r="539" spans="1:235" s="15" customFormat="1" x14ac:dyDescent="0.25">
      <c r="A539" s="31">
        <v>537</v>
      </c>
      <c r="B539" s="1">
        <v>92</v>
      </c>
      <c r="C539" s="1">
        <v>110</v>
      </c>
      <c r="D539" s="15" t="s">
        <v>1369</v>
      </c>
      <c r="E539" s="1">
        <v>5</v>
      </c>
      <c r="F539" s="15" t="s">
        <v>798</v>
      </c>
      <c r="G539" s="15" t="s">
        <v>1380</v>
      </c>
      <c r="H539" s="15" t="s">
        <v>812</v>
      </c>
      <c r="I539" s="1">
        <v>2016</v>
      </c>
      <c r="J539" s="15" t="s">
        <v>1376</v>
      </c>
      <c r="K539" s="1" t="s">
        <v>1377</v>
      </c>
      <c r="L539" s="15" t="s">
        <v>1378</v>
      </c>
      <c r="M539" s="15" t="s">
        <v>480</v>
      </c>
      <c r="N539" s="15" t="s">
        <v>520</v>
      </c>
      <c r="O539" s="31">
        <v>2</v>
      </c>
      <c r="P539" s="15">
        <v>31.55</v>
      </c>
      <c r="Q539" s="15">
        <v>123.63</v>
      </c>
      <c r="S539" s="15">
        <v>683</v>
      </c>
      <c r="T539" s="15">
        <v>25.5</v>
      </c>
      <c r="U539" s="15" t="s">
        <v>807</v>
      </c>
      <c r="V539" s="31">
        <v>2</v>
      </c>
      <c r="W539" s="63" t="s">
        <v>1179</v>
      </c>
      <c r="X539" s="15" t="s">
        <v>689</v>
      </c>
      <c r="Y539" s="1">
        <v>1</v>
      </c>
      <c r="Z539" s="15">
        <v>5.8</v>
      </c>
      <c r="AA539" s="15" t="s">
        <v>574</v>
      </c>
      <c r="AB539" s="15">
        <f t="shared" si="489"/>
        <v>5.8</v>
      </c>
      <c r="AC539" s="1">
        <v>4</v>
      </c>
      <c r="AD539" s="15">
        <v>25.6</v>
      </c>
      <c r="AM539" s="1"/>
      <c r="AP539" s="15" t="s">
        <v>1334</v>
      </c>
      <c r="AQ539" s="61">
        <v>3</v>
      </c>
      <c r="AR539" s="1">
        <v>3</v>
      </c>
      <c r="BP539" s="16"/>
      <c r="BQ539" s="16"/>
      <c r="BR539" s="16"/>
      <c r="BU539" s="16"/>
      <c r="DB539" s="15" t="s">
        <v>717</v>
      </c>
      <c r="DD539" s="15">
        <v>5000</v>
      </c>
      <c r="DE539" s="15">
        <f t="shared" si="490"/>
        <v>5000</v>
      </c>
      <c r="DF539" s="15" t="s">
        <v>766</v>
      </c>
      <c r="DK539" s="15">
        <f t="shared" si="511"/>
        <v>0.54</v>
      </c>
      <c r="DL539" s="15">
        <f t="shared" si="512"/>
        <v>0.39600000000000002</v>
      </c>
      <c r="DM539" s="15">
        <f t="shared" si="513"/>
        <v>9.6280000000000001</v>
      </c>
      <c r="DS539" s="15">
        <f>DE539</f>
        <v>5000</v>
      </c>
      <c r="DT539" s="15">
        <f t="shared" si="493"/>
        <v>8.3333333333333339</v>
      </c>
      <c r="DU539" s="15">
        <f t="shared" si="494"/>
        <v>1000</v>
      </c>
      <c r="FK539" s="16"/>
      <c r="FL539" s="16"/>
      <c r="HE539" s="15">
        <v>226.7</v>
      </c>
      <c r="HF539" s="15">
        <f t="shared" si="514"/>
        <v>11.335000000000001</v>
      </c>
      <c r="HG539" s="15">
        <f>HF539*SQRT(AR229)</f>
        <v>19.632795903793223</v>
      </c>
      <c r="HH539" s="15">
        <v>234.6</v>
      </c>
      <c r="HI539" s="15">
        <f t="shared" si="515"/>
        <v>11.73</v>
      </c>
      <c r="HJ539" s="15">
        <f>HI539*SQRT(AR229)</f>
        <v>20.316955972782932</v>
      </c>
      <c r="HK539" s="15">
        <f t="shared" si="502"/>
        <v>1.0348478164975738</v>
      </c>
      <c r="HL539" s="15">
        <f t="shared" si="503"/>
        <v>7.9000000000000057</v>
      </c>
      <c r="HM539" s="15">
        <f t="shared" si="504"/>
        <v>3.4254378705892208E-2</v>
      </c>
      <c r="HN539" s="15">
        <f>((HJ539*HJ539)/(AR229*HH539*HH539)+(HG539*HG539)/(AR229*HE539*HE539))</f>
        <v>5.000000000000001E-3</v>
      </c>
      <c r="HP539" s="15" t="s">
        <v>1379</v>
      </c>
      <c r="HV539" s="15">
        <f t="shared" si="505"/>
        <v>291.93348055908154</v>
      </c>
      <c r="HW539" s="15">
        <f t="shared" si="506"/>
        <v>3.4254378705892208E-2</v>
      </c>
      <c r="HX539" s="15">
        <f t="shared" si="516"/>
        <v>1000</v>
      </c>
      <c r="HY539" s="15">
        <f t="shared" si="517"/>
        <v>5000</v>
      </c>
      <c r="HZ539" s="15">
        <f t="shared" si="518"/>
        <v>8.3333333333333339</v>
      </c>
      <c r="IA539" s="15">
        <f t="shared" si="519"/>
        <v>1000</v>
      </c>
    </row>
    <row r="540" spans="1:235" s="15" customFormat="1" x14ac:dyDescent="0.25">
      <c r="A540" s="31">
        <v>538</v>
      </c>
      <c r="B540" s="1">
        <v>92</v>
      </c>
      <c r="C540" s="1">
        <v>110</v>
      </c>
      <c r="D540" s="15" t="s">
        <v>1370</v>
      </c>
      <c r="E540" s="1">
        <v>5</v>
      </c>
      <c r="F540" s="15" t="s">
        <v>798</v>
      </c>
      <c r="G540" s="15" t="s">
        <v>1380</v>
      </c>
      <c r="H540" s="15" t="s">
        <v>812</v>
      </c>
      <c r="I540" s="1">
        <v>2016</v>
      </c>
      <c r="J540" s="15" t="s">
        <v>1376</v>
      </c>
      <c r="K540" s="1" t="s">
        <v>1377</v>
      </c>
      <c r="L540" s="15" t="s">
        <v>1378</v>
      </c>
      <c r="M540" s="15" t="s">
        <v>480</v>
      </c>
      <c r="N540" s="15" t="s">
        <v>520</v>
      </c>
      <c r="O540" s="31">
        <v>2</v>
      </c>
      <c r="P540" s="15">
        <v>31.55</v>
      </c>
      <c r="Q540" s="15">
        <v>123.63</v>
      </c>
      <c r="S540" s="15">
        <v>683</v>
      </c>
      <c r="T540" s="15">
        <v>25.5</v>
      </c>
      <c r="U540" s="15" t="s">
        <v>807</v>
      </c>
      <c r="V540" s="31">
        <v>2</v>
      </c>
      <c r="W540" s="63" t="s">
        <v>1179</v>
      </c>
      <c r="X540" s="15" t="s">
        <v>689</v>
      </c>
      <c r="Y540" s="1">
        <v>1</v>
      </c>
      <c r="Z540" s="15">
        <v>5.8</v>
      </c>
      <c r="AA540" s="15" t="s">
        <v>574</v>
      </c>
      <c r="AB540" s="15">
        <f t="shared" si="489"/>
        <v>5.8</v>
      </c>
      <c r="AC540" s="1">
        <v>4</v>
      </c>
      <c r="AD540" s="15">
        <v>25.6</v>
      </c>
      <c r="AM540" s="1"/>
      <c r="AP540" s="15" t="s">
        <v>1334</v>
      </c>
      <c r="AQ540" s="61">
        <v>3</v>
      </c>
      <c r="AR540" s="1">
        <v>3</v>
      </c>
      <c r="BP540" s="16"/>
      <c r="BQ540" s="16"/>
      <c r="BR540" s="16"/>
      <c r="BU540" s="16"/>
      <c r="DB540" s="15" t="s">
        <v>717</v>
      </c>
      <c r="DD540" s="15">
        <v>5000</v>
      </c>
      <c r="DE540" s="15">
        <f t="shared" si="490"/>
        <v>5000</v>
      </c>
      <c r="DF540" s="15" t="s">
        <v>766</v>
      </c>
      <c r="DK540" s="15">
        <f t="shared" si="511"/>
        <v>0.54</v>
      </c>
      <c r="DL540" s="15">
        <f t="shared" si="512"/>
        <v>0.39600000000000002</v>
      </c>
      <c r="DM540" s="15">
        <f t="shared" si="513"/>
        <v>9.6280000000000001</v>
      </c>
      <c r="DS540" s="15">
        <f>DE540</f>
        <v>5000</v>
      </c>
      <c r="DT540" s="15">
        <f t="shared" si="493"/>
        <v>8.3333333333333339</v>
      </c>
      <c r="DU540" s="15">
        <f t="shared" si="494"/>
        <v>1000</v>
      </c>
      <c r="FK540" s="16"/>
      <c r="FL540" s="16"/>
      <c r="HE540" s="15">
        <v>244.5</v>
      </c>
      <c r="HF540" s="15">
        <f t="shared" si="514"/>
        <v>12.225000000000001</v>
      </c>
      <c r="HG540" s="15">
        <f>HF540*SQRT(AR230)</f>
        <v>21.174321122529527</v>
      </c>
      <c r="HH540" s="15">
        <v>257.3</v>
      </c>
      <c r="HI540" s="15">
        <f t="shared" si="515"/>
        <v>12.865000000000002</v>
      </c>
      <c r="HJ540" s="15">
        <f>HI540*SQRT(AR230)</f>
        <v>22.28283363937361</v>
      </c>
      <c r="HK540" s="15">
        <f t="shared" si="502"/>
        <v>1.0523517382413088</v>
      </c>
      <c r="HL540" s="15">
        <f t="shared" si="503"/>
        <v>12.800000000000011</v>
      </c>
      <c r="HM540" s="15">
        <f t="shared" si="504"/>
        <v>5.1027410372771698E-2</v>
      </c>
      <c r="HN540" s="15">
        <f>((HJ540*HJ540)/(AR230*HH540*HH540)+(HG540*HG540)/(AR230*HE540*HE540))</f>
        <v>5.000000000000001E-3</v>
      </c>
      <c r="HP540" s="15" t="s">
        <v>1379</v>
      </c>
      <c r="HV540" s="15">
        <f t="shared" si="505"/>
        <v>195.97310400325577</v>
      </c>
      <c r="HW540" s="15">
        <f t="shared" si="506"/>
        <v>5.1027410372771698E-2</v>
      </c>
      <c r="HX540" s="15">
        <f t="shared" si="516"/>
        <v>1000</v>
      </c>
      <c r="HY540" s="15">
        <f t="shared" si="517"/>
        <v>5000</v>
      </c>
      <c r="HZ540" s="15">
        <f t="shared" si="518"/>
        <v>8.3333333333333339</v>
      </c>
      <c r="IA540" s="15">
        <f t="shared" si="519"/>
        <v>1000</v>
      </c>
    </row>
    <row r="541" spans="1:235" s="15" customFormat="1" x14ac:dyDescent="0.25">
      <c r="A541" s="31">
        <v>539</v>
      </c>
      <c r="B541" s="1">
        <v>92</v>
      </c>
      <c r="C541" s="1">
        <v>110</v>
      </c>
      <c r="D541" s="15" t="s">
        <v>1371</v>
      </c>
      <c r="E541" s="1">
        <v>5</v>
      </c>
      <c r="F541" s="15" t="s">
        <v>798</v>
      </c>
      <c r="G541" s="15" t="s">
        <v>1380</v>
      </c>
      <c r="H541" s="15" t="s">
        <v>812</v>
      </c>
      <c r="I541" s="1">
        <v>2016</v>
      </c>
      <c r="J541" s="15" t="s">
        <v>1376</v>
      </c>
      <c r="K541" s="1" t="s">
        <v>1377</v>
      </c>
      <c r="L541" s="15" t="s">
        <v>1378</v>
      </c>
      <c r="M541" s="15" t="s">
        <v>480</v>
      </c>
      <c r="N541" s="15" t="s">
        <v>520</v>
      </c>
      <c r="O541" s="31">
        <v>2</v>
      </c>
      <c r="P541" s="15">
        <v>31.55</v>
      </c>
      <c r="Q541" s="15">
        <v>123.63</v>
      </c>
      <c r="S541" s="15">
        <v>683</v>
      </c>
      <c r="T541" s="15">
        <v>25.5</v>
      </c>
      <c r="U541" s="15" t="s">
        <v>807</v>
      </c>
      <c r="V541" s="31">
        <v>2</v>
      </c>
      <c r="W541" s="63" t="s">
        <v>1179</v>
      </c>
      <c r="X541" s="15" t="s">
        <v>689</v>
      </c>
      <c r="Y541" s="1">
        <v>1</v>
      </c>
      <c r="Z541" s="15">
        <v>5.8</v>
      </c>
      <c r="AA541" s="15" t="s">
        <v>574</v>
      </c>
      <c r="AB541" s="15">
        <f t="shared" si="489"/>
        <v>5.8</v>
      </c>
      <c r="AC541" s="1">
        <v>4</v>
      </c>
      <c r="AD541" s="15">
        <v>25.6</v>
      </c>
      <c r="AM541" s="1"/>
      <c r="AP541" s="15" t="s">
        <v>1334</v>
      </c>
      <c r="AQ541" s="61">
        <v>3</v>
      </c>
      <c r="AR541" s="1">
        <v>3</v>
      </c>
      <c r="BP541" s="16"/>
      <c r="BQ541" s="16"/>
      <c r="BR541" s="16"/>
      <c r="BU541" s="16"/>
      <c r="DB541" s="15" t="s">
        <v>717</v>
      </c>
      <c r="DD541" s="15">
        <v>5000</v>
      </c>
      <c r="DE541" s="15">
        <f t="shared" si="490"/>
        <v>5000</v>
      </c>
      <c r="DF541" s="15" t="s">
        <v>766</v>
      </c>
      <c r="DK541" s="15">
        <f t="shared" si="511"/>
        <v>0.54</v>
      </c>
      <c r="DL541" s="15">
        <f t="shared" si="512"/>
        <v>0.39600000000000002</v>
      </c>
      <c r="DM541" s="15">
        <f t="shared" si="513"/>
        <v>9.6280000000000001</v>
      </c>
      <c r="DS541" s="15">
        <f>DE541</f>
        <v>5000</v>
      </c>
      <c r="DT541" s="15">
        <f t="shared" si="493"/>
        <v>8.3333333333333339</v>
      </c>
      <c r="DU541" s="15">
        <f t="shared" si="494"/>
        <v>1000</v>
      </c>
      <c r="FK541" s="16"/>
      <c r="FL541" s="16"/>
      <c r="HE541" s="15">
        <v>204.4</v>
      </c>
      <c r="HF541" s="15">
        <f t="shared" si="514"/>
        <v>10.220000000000001</v>
      </c>
      <c r="HG541" s="15">
        <f>HF541*SQRT(AR231)</f>
        <v>17.701559253353928</v>
      </c>
      <c r="HH541" s="15">
        <v>208.9</v>
      </c>
      <c r="HI541" s="15">
        <f t="shared" si="515"/>
        <v>10.445</v>
      </c>
      <c r="HJ541" s="15">
        <f>HI541*SQRT(AR231)</f>
        <v>18.091270685056923</v>
      </c>
      <c r="HK541" s="15">
        <f t="shared" si="502"/>
        <v>1.0220156555772995</v>
      </c>
      <c r="HL541" s="15">
        <f t="shared" si="503"/>
        <v>4.5</v>
      </c>
      <c r="HM541" s="15">
        <f t="shared" si="504"/>
        <v>2.1776810232970512E-2</v>
      </c>
      <c r="HN541" s="15">
        <f>((HJ541*HJ541)/(AR231*HH541*HH541)+(HG541*HG541)/(AR231*HE541*HE541))</f>
        <v>4.9999999999999992E-3</v>
      </c>
      <c r="HP541" s="15" t="s">
        <v>1379</v>
      </c>
      <c r="HV541" s="15">
        <f t="shared" si="505"/>
        <v>459.20407502379783</v>
      </c>
      <c r="HW541" s="15">
        <f t="shared" si="506"/>
        <v>2.1776810232970512E-2</v>
      </c>
      <c r="HX541" s="15">
        <f t="shared" si="516"/>
        <v>1000</v>
      </c>
      <c r="HY541" s="15">
        <f t="shared" si="517"/>
        <v>5000</v>
      </c>
      <c r="HZ541" s="15">
        <f t="shared" si="518"/>
        <v>8.3333333333333339</v>
      </c>
      <c r="IA541" s="15">
        <f t="shared" si="519"/>
        <v>1000</v>
      </c>
    </row>
    <row r="542" spans="1:235" s="15" customFormat="1" x14ac:dyDescent="0.25">
      <c r="A542" s="31">
        <v>540</v>
      </c>
      <c r="B542" s="1">
        <v>92</v>
      </c>
      <c r="C542" s="1">
        <v>110</v>
      </c>
      <c r="D542" s="15" t="s">
        <v>1372</v>
      </c>
      <c r="E542" s="1">
        <v>5</v>
      </c>
      <c r="F542" s="15" t="s">
        <v>798</v>
      </c>
      <c r="G542" s="15" t="s">
        <v>1380</v>
      </c>
      <c r="H542" s="15" t="s">
        <v>812</v>
      </c>
      <c r="I542" s="1">
        <v>2016</v>
      </c>
      <c r="J542" s="15" t="s">
        <v>1376</v>
      </c>
      <c r="K542" s="1" t="s">
        <v>1377</v>
      </c>
      <c r="L542" s="15" t="s">
        <v>1378</v>
      </c>
      <c r="M542" s="15" t="s">
        <v>480</v>
      </c>
      <c r="N542" s="15" t="s">
        <v>520</v>
      </c>
      <c r="O542" s="31">
        <v>2</v>
      </c>
      <c r="P542" s="15">
        <v>31.55</v>
      </c>
      <c r="Q542" s="15">
        <v>123.63</v>
      </c>
      <c r="S542" s="15">
        <v>683</v>
      </c>
      <c r="T542" s="15">
        <v>25.5</v>
      </c>
      <c r="U542" s="15" t="s">
        <v>807</v>
      </c>
      <c r="V542" s="31">
        <v>2</v>
      </c>
      <c r="W542" s="63" t="s">
        <v>1179</v>
      </c>
      <c r="X542" s="15" t="s">
        <v>689</v>
      </c>
      <c r="Y542" s="1">
        <v>1</v>
      </c>
      <c r="Z542" s="15">
        <v>5.8</v>
      </c>
      <c r="AA542" s="15" t="s">
        <v>574</v>
      </c>
      <c r="AB542" s="15">
        <f t="shared" si="489"/>
        <v>5.8</v>
      </c>
      <c r="AC542" s="1">
        <v>4</v>
      </c>
      <c r="AD542" s="15">
        <v>25.6</v>
      </c>
      <c r="AM542" s="1"/>
      <c r="AP542" s="15" t="s">
        <v>1334</v>
      </c>
      <c r="AQ542" s="61">
        <v>3</v>
      </c>
      <c r="AR542" s="1">
        <v>3</v>
      </c>
      <c r="BP542" s="16"/>
      <c r="BQ542" s="16"/>
      <c r="BR542" s="16"/>
      <c r="BU542" s="16"/>
      <c r="DB542" s="15" t="s">
        <v>717</v>
      </c>
      <c r="DD542" s="15">
        <v>5000</v>
      </c>
      <c r="DE542" s="15">
        <f t="shared" si="490"/>
        <v>5000</v>
      </c>
      <c r="DF542" s="15" t="s">
        <v>766</v>
      </c>
      <c r="DK542" s="15">
        <f t="shared" si="511"/>
        <v>0.54</v>
      </c>
      <c r="DL542" s="15">
        <f t="shared" si="512"/>
        <v>0.39600000000000002</v>
      </c>
      <c r="DM542" s="15">
        <f t="shared" si="513"/>
        <v>9.6280000000000001</v>
      </c>
      <c r="DS542" s="15">
        <f>DE542</f>
        <v>5000</v>
      </c>
      <c r="DT542" s="15">
        <f t="shared" si="493"/>
        <v>8.3333333333333339</v>
      </c>
      <c r="DU542" s="15">
        <f t="shared" si="494"/>
        <v>1000</v>
      </c>
      <c r="FK542" s="16"/>
      <c r="FL542" s="16"/>
      <c r="HE542" s="15">
        <v>253</v>
      </c>
      <c r="HF542" s="15">
        <f t="shared" si="514"/>
        <v>12.65</v>
      </c>
      <c r="HG542" s="15">
        <f>HF542*SQRT(AR232)</f>
        <v>21.910442715746296</v>
      </c>
      <c r="HH542" s="15">
        <v>253.1</v>
      </c>
      <c r="HI542" s="15">
        <f t="shared" si="515"/>
        <v>12.655000000000001</v>
      </c>
      <c r="HJ542" s="15">
        <f>HI542*SQRT(AR232)</f>
        <v>21.919102969784142</v>
      </c>
      <c r="HK542" s="15">
        <f t="shared" si="502"/>
        <v>1.000395256916996</v>
      </c>
      <c r="HL542" s="15">
        <f t="shared" si="503"/>
        <v>9.9999999999994316E-2</v>
      </c>
      <c r="HM542" s="15">
        <f t="shared" si="504"/>
        <v>3.9517882355788458E-4</v>
      </c>
      <c r="HN542" s="15">
        <f>((HJ542*HJ542)/(AR232*HH542*HH542)+(HG542*HG542)/(AR232*HE542*HE542))</f>
        <v>4.9999999999999992E-3</v>
      </c>
      <c r="HP542" s="15" t="s">
        <v>1379</v>
      </c>
      <c r="HV542" s="15">
        <f t="shared" si="505"/>
        <v>25304.999670700297</v>
      </c>
      <c r="HW542" s="15">
        <f t="shared" si="506"/>
        <v>3.9517882355788458E-4</v>
      </c>
      <c r="HX542" s="15">
        <f t="shared" si="516"/>
        <v>1000</v>
      </c>
      <c r="HY542" s="15">
        <f t="shared" si="517"/>
        <v>5000</v>
      </c>
      <c r="HZ542" s="15">
        <f t="shared" si="518"/>
        <v>8.3333333333333339</v>
      </c>
      <c r="IA542" s="15">
        <f t="shared" si="519"/>
        <v>1000</v>
      </c>
    </row>
    <row r="543" spans="1:235" s="15" customFormat="1" x14ac:dyDescent="0.25">
      <c r="A543" s="31">
        <v>541</v>
      </c>
      <c r="B543" s="1">
        <v>92</v>
      </c>
      <c r="C543" s="1">
        <v>110</v>
      </c>
      <c r="D543" s="15" t="s">
        <v>1373</v>
      </c>
      <c r="E543" s="1">
        <v>5</v>
      </c>
      <c r="F543" s="15" t="s">
        <v>798</v>
      </c>
      <c r="G543" s="15" t="s">
        <v>1380</v>
      </c>
      <c r="H543" s="15" t="s">
        <v>812</v>
      </c>
      <c r="I543" s="1">
        <v>2016</v>
      </c>
      <c r="J543" s="15" t="s">
        <v>1376</v>
      </c>
      <c r="K543" s="1" t="s">
        <v>1377</v>
      </c>
      <c r="L543" s="15" t="s">
        <v>1378</v>
      </c>
      <c r="M543" s="15" t="s">
        <v>480</v>
      </c>
      <c r="N543" s="15" t="s">
        <v>520</v>
      </c>
      <c r="O543" s="31">
        <v>2</v>
      </c>
      <c r="P543" s="15">
        <v>31.55</v>
      </c>
      <c r="Q543" s="15">
        <v>123.63</v>
      </c>
      <c r="S543" s="15">
        <v>683</v>
      </c>
      <c r="T543" s="15">
        <v>25.5</v>
      </c>
      <c r="U543" s="15" t="s">
        <v>807</v>
      </c>
      <c r="V543" s="31">
        <v>2</v>
      </c>
      <c r="W543" s="63" t="s">
        <v>1179</v>
      </c>
      <c r="X543" s="15" t="s">
        <v>689</v>
      </c>
      <c r="Y543" s="1">
        <v>1</v>
      </c>
      <c r="Z543" s="15">
        <v>5.8</v>
      </c>
      <c r="AA543" s="15" t="s">
        <v>574</v>
      </c>
      <c r="AB543" s="15">
        <f t="shared" si="489"/>
        <v>5.8</v>
      </c>
      <c r="AC543" s="1">
        <v>4</v>
      </c>
      <c r="AD543" s="15">
        <v>25.6</v>
      </c>
      <c r="AM543" s="1"/>
      <c r="AP543" s="15" t="s">
        <v>1334</v>
      </c>
      <c r="AQ543" s="61">
        <v>3</v>
      </c>
      <c r="AR543" s="1">
        <v>3</v>
      </c>
      <c r="BP543" s="16"/>
      <c r="BQ543" s="16"/>
      <c r="BR543" s="16"/>
      <c r="BU543" s="16"/>
      <c r="DB543" s="15" t="s">
        <v>717</v>
      </c>
      <c r="DD543" s="15">
        <v>5000</v>
      </c>
      <c r="DE543" s="15">
        <f t="shared" si="490"/>
        <v>5000</v>
      </c>
      <c r="DF543" s="15" t="s">
        <v>766</v>
      </c>
      <c r="DK543" s="15">
        <f t="shared" si="511"/>
        <v>0.54</v>
      </c>
      <c r="DL543" s="15">
        <f t="shared" si="512"/>
        <v>0.39600000000000002</v>
      </c>
      <c r="DM543" s="15">
        <f t="shared" si="513"/>
        <v>9.6280000000000001</v>
      </c>
      <c r="DS543" s="15">
        <f>DE543</f>
        <v>5000</v>
      </c>
      <c r="DT543" s="15">
        <f t="shared" si="493"/>
        <v>8.3333333333333339</v>
      </c>
      <c r="DU543" s="15">
        <f t="shared" si="494"/>
        <v>1000</v>
      </c>
      <c r="FK543" s="16"/>
      <c r="FL543" s="16"/>
      <c r="HE543" s="15">
        <v>254.1</v>
      </c>
      <c r="HF543" s="15">
        <f t="shared" si="514"/>
        <v>12.705</v>
      </c>
      <c r="HG543" s="15">
        <f>HF543*SQRT(AR233)</f>
        <v>22.005705510162585</v>
      </c>
      <c r="HH543" s="15">
        <v>290.10000000000002</v>
      </c>
      <c r="HI543" s="15">
        <f t="shared" si="515"/>
        <v>14.505000000000003</v>
      </c>
      <c r="HJ543" s="15">
        <f>HI543*SQRT(AR233)</f>
        <v>25.123396963786568</v>
      </c>
      <c r="HK543" s="15">
        <f t="shared" si="502"/>
        <v>1.141676505312869</v>
      </c>
      <c r="HL543" s="15">
        <f t="shared" si="503"/>
        <v>36.000000000000028</v>
      </c>
      <c r="HM543" s="15">
        <f t="shared" si="504"/>
        <v>0.1324978008012403</v>
      </c>
      <c r="HN543" s="15">
        <f>((HJ543*HJ543)/(AR233*HH543*HH543)+(HG543*HG543)/(AR233*HE543*HE543))</f>
        <v>5.000000000000001E-3</v>
      </c>
      <c r="HP543" s="15" t="s">
        <v>1379</v>
      </c>
      <c r="HV543" s="15">
        <f t="shared" si="505"/>
        <v>75.472950792602063</v>
      </c>
      <c r="HW543" s="15">
        <f t="shared" si="506"/>
        <v>0.1324978008012403</v>
      </c>
      <c r="HX543" s="15">
        <f t="shared" si="516"/>
        <v>1000</v>
      </c>
      <c r="HY543" s="15">
        <f t="shared" si="517"/>
        <v>5000</v>
      </c>
      <c r="HZ543" s="15">
        <f t="shared" si="518"/>
        <v>8.3333333333333339</v>
      </c>
      <c r="IA543" s="15">
        <f t="shared" si="519"/>
        <v>1000</v>
      </c>
    </row>
    <row r="544" spans="1:235" s="15" customFormat="1" x14ac:dyDescent="0.25">
      <c r="A544" s="31">
        <v>542</v>
      </c>
      <c r="B544" s="1">
        <v>92</v>
      </c>
      <c r="C544" s="1">
        <v>110</v>
      </c>
      <c r="D544" s="15" t="s">
        <v>1374</v>
      </c>
      <c r="E544" s="1">
        <v>5</v>
      </c>
      <c r="F544" s="15" t="s">
        <v>798</v>
      </c>
      <c r="G544" s="15" t="s">
        <v>1380</v>
      </c>
      <c r="H544" s="15" t="s">
        <v>812</v>
      </c>
      <c r="I544" s="1">
        <v>2016</v>
      </c>
      <c r="J544" s="15" t="s">
        <v>1376</v>
      </c>
      <c r="K544" s="1" t="s">
        <v>1377</v>
      </c>
      <c r="L544" s="15" t="s">
        <v>1378</v>
      </c>
      <c r="M544" s="15" t="s">
        <v>480</v>
      </c>
      <c r="N544" s="15" t="s">
        <v>520</v>
      </c>
      <c r="O544" s="31">
        <v>2</v>
      </c>
      <c r="P544" s="15">
        <v>31.55</v>
      </c>
      <c r="Q544" s="15">
        <v>123.63</v>
      </c>
      <c r="S544" s="15">
        <v>683</v>
      </c>
      <c r="T544" s="15">
        <v>25.5</v>
      </c>
      <c r="U544" s="15" t="s">
        <v>807</v>
      </c>
      <c r="V544" s="31">
        <v>2</v>
      </c>
      <c r="W544" s="63" t="s">
        <v>1179</v>
      </c>
      <c r="X544" s="15" t="s">
        <v>689</v>
      </c>
      <c r="Y544" s="1">
        <v>1</v>
      </c>
      <c r="Z544" s="15">
        <v>5.8</v>
      </c>
      <c r="AA544" s="15" t="s">
        <v>574</v>
      </c>
      <c r="AB544" s="15">
        <f t="shared" si="489"/>
        <v>5.8</v>
      </c>
      <c r="AC544" s="1">
        <v>4</v>
      </c>
      <c r="AD544" s="15">
        <v>25.6</v>
      </c>
      <c r="AM544" s="1"/>
      <c r="AP544" s="15" t="s">
        <v>1334</v>
      </c>
      <c r="AQ544" s="61">
        <v>3</v>
      </c>
      <c r="AR544" s="1">
        <v>3</v>
      </c>
      <c r="BP544" s="16"/>
      <c r="BQ544" s="16"/>
      <c r="BR544" s="16"/>
      <c r="BU544" s="16"/>
      <c r="DB544" s="15" t="s">
        <v>717</v>
      </c>
      <c r="DD544" s="15">
        <v>5000</v>
      </c>
      <c r="DE544" s="15">
        <f t="shared" si="490"/>
        <v>5000</v>
      </c>
      <c r="DF544" s="15" t="s">
        <v>766</v>
      </c>
      <c r="DK544" s="15">
        <f t="shared" si="511"/>
        <v>0.54</v>
      </c>
      <c r="DL544" s="15">
        <f t="shared" si="512"/>
        <v>0.39600000000000002</v>
      </c>
      <c r="DM544" s="15">
        <f t="shared" si="513"/>
        <v>9.6280000000000001</v>
      </c>
      <c r="DS544" s="15">
        <f>DE544</f>
        <v>5000</v>
      </c>
      <c r="DT544" s="15">
        <f t="shared" si="493"/>
        <v>8.3333333333333339</v>
      </c>
      <c r="DU544" s="15">
        <f t="shared" si="494"/>
        <v>1000</v>
      </c>
      <c r="FK544" s="16"/>
      <c r="FL544" s="16"/>
      <c r="HE544" s="15">
        <v>210.3</v>
      </c>
      <c r="HF544" s="15">
        <f t="shared" si="514"/>
        <v>10.515000000000001</v>
      </c>
      <c r="HG544" s="15">
        <f>HF544*SQRT(AR234)</f>
        <v>18.212514241586746</v>
      </c>
      <c r="HH544" s="15">
        <v>224.7</v>
      </c>
      <c r="HI544" s="15">
        <f t="shared" si="515"/>
        <v>11.234999999999999</v>
      </c>
      <c r="HJ544" s="15">
        <f>HI544*SQRT(AR234)</f>
        <v>19.459590823036333</v>
      </c>
      <c r="HK544" s="15">
        <f t="shared" si="502"/>
        <v>1.0684736091298144</v>
      </c>
      <c r="HL544" s="15">
        <f t="shared" si="503"/>
        <v>14.399999999999977</v>
      </c>
      <c r="HM544" s="15">
        <f t="shared" si="504"/>
        <v>6.6231096482629148E-2</v>
      </c>
      <c r="HN544" s="15">
        <f>((HJ544*HJ544)/(AR234*HH544*HH544)+(HG544*HG544)/(AR234*HE544*HE544))</f>
        <v>4.9999999999999992E-3</v>
      </c>
      <c r="HP544" s="15" t="s">
        <v>1379</v>
      </c>
      <c r="HV544" s="15">
        <f t="shared" si="505"/>
        <v>150.98647812093469</v>
      </c>
      <c r="HW544" s="15">
        <f t="shared" si="506"/>
        <v>6.6231096482629148E-2</v>
      </c>
      <c r="HX544" s="15">
        <f t="shared" si="516"/>
        <v>1000</v>
      </c>
      <c r="HY544" s="15">
        <f t="shared" si="517"/>
        <v>5000</v>
      </c>
      <c r="HZ544" s="15">
        <f t="shared" si="518"/>
        <v>8.3333333333333339</v>
      </c>
      <c r="IA544" s="15">
        <f t="shared" si="519"/>
        <v>1000</v>
      </c>
    </row>
    <row r="545" spans="1:235" s="15" customFormat="1" x14ac:dyDescent="0.25">
      <c r="A545" s="31">
        <v>543</v>
      </c>
      <c r="B545" s="1">
        <v>92</v>
      </c>
      <c r="C545" s="1">
        <v>110</v>
      </c>
      <c r="D545" s="15" t="s">
        <v>1375</v>
      </c>
      <c r="E545" s="1">
        <v>5</v>
      </c>
      <c r="F545" s="15" t="s">
        <v>798</v>
      </c>
      <c r="G545" s="15" t="s">
        <v>1380</v>
      </c>
      <c r="H545" s="15" t="s">
        <v>812</v>
      </c>
      <c r="I545" s="1">
        <v>2016</v>
      </c>
      <c r="J545" s="15" t="s">
        <v>1376</v>
      </c>
      <c r="K545" s="1" t="s">
        <v>1377</v>
      </c>
      <c r="L545" s="15" t="s">
        <v>1378</v>
      </c>
      <c r="M545" s="15" t="s">
        <v>480</v>
      </c>
      <c r="N545" s="15" t="s">
        <v>520</v>
      </c>
      <c r="O545" s="31">
        <v>2</v>
      </c>
      <c r="P545" s="15">
        <v>31.55</v>
      </c>
      <c r="Q545" s="15">
        <v>123.63</v>
      </c>
      <c r="S545" s="15">
        <v>683</v>
      </c>
      <c r="T545" s="15">
        <v>25.5</v>
      </c>
      <c r="U545" s="15" t="s">
        <v>807</v>
      </c>
      <c r="V545" s="31">
        <v>2</v>
      </c>
      <c r="W545" s="63" t="s">
        <v>1179</v>
      </c>
      <c r="X545" s="15" t="s">
        <v>689</v>
      </c>
      <c r="Y545" s="1">
        <v>1</v>
      </c>
      <c r="Z545" s="15">
        <v>5.8</v>
      </c>
      <c r="AA545" s="15" t="s">
        <v>574</v>
      </c>
      <c r="AB545" s="15">
        <f t="shared" si="489"/>
        <v>5.8</v>
      </c>
      <c r="AC545" s="1">
        <v>4</v>
      </c>
      <c r="AD545" s="15">
        <v>25.6</v>
      </c>
      <c r="AM545" s="1"/>
      <c r="AP545" s="15" t="s">
        <v>1334</v>
      </c>
      <c r="AQ545" s="61">
        <v>3</v>
      </c>
      <c r="AR545" s="1">
        <v>3</v>
      </c>
      <c r="BP545" s="16"/>
      <c r="BQ545" s="16"/>
      <c r="BR545" s="16"/>
      <c r="BU545" s="16"/>
      <c r="DB545" s="15" t="s">
        <v>717</v>
      </c>
      <c r="DD545" s="15">
        <v>5000</v>
      </c>
      <c r="DE545" s="15">
        <f t="shared" si="490"/>
        <v>5000</v>
      </c>
      <c r="DF545" s="15" t="s">
        <v>766</v>
      </c>
      <c r="DK545" s="15">
        <f t="shared" si="511"/>
        <v>0.54</v>
      </c>
      <c r="DL545" s="15">
        <f t="shared" si="512"/>
        <v>0.39600000000000002</v>
      </c>
      <c r="DM545" s="15">
        <f t="shared" si="513"/>
        <v>9.6280000000000001</v>
      </c>
      <c r="DS545" s="15">
        <f>DE545</f>
        <v>5000</v>
      </c>
      <c r="DT545" s="15">
        <f t="shared" si="493"/>
        <v>8.3333333333333339</v>
      </c>
      <c r="DU545" s="15">
        <f t="shared" si="494"/>
        <v>1000</v>
      </c>
      <c r="EZ545" s="16"/>
      <c r="FA545" s="16"/>
      <c r="FB545" s="16"/>
      <c r="FC545" s="16"/>
      <c r="FD545" s="16"/>
      <c r="FE545" s="16"/>
      <c r="FF545" s="16"/>
      <c r="FG545" s="16"/>
      <c r="FH545" s="16"/>
      <c r="FI545" s="16"/>
      <c r="FJ545" s="16"/>
      <c r="FK545" s="16"/>
      <c r="FL545" s="16"/>
      <c r="HE545" s="15">
        <v>256.39999999999998</v>
      </c>
      <c r="HF545" s="15">
        <f t="shared" si="514"/>
        <v>12.82</v>
      </c>
      <c r="HG545" s="15">
        <f>HF545*SQRT(AR235)</f>
        <v>22.204891353033005</v>
      </c>
      <c r="HH545" s="15">
        <v>301</v>
      </c>
      <c r="HI545" s="15">
        <f t="shared" si="515"/>
        <v>15.05</v>
      </c>
      <c r="HJ545" s="15">
        <f>HI545*SQRT(AR235)</f>
        <v>26.067364653911604</v>
      </c>
      <c r="HK545" s="15">
        <f t="shared" si="502"/>
        <v>1.1739469578783153</v>
      </c>
      <c r="HL545" s="15">
        <f t="shared" si="503"/>
        <v>44.600000000000023</v>
      </c>
      <c r="HM545" s="15">
        <f t="shared" si="504"/>
        <v>0.16037153970236062</v>
      </c>
      <c r="HN545" s="15">
        <f>((HJ545*HJ545)/(AR235*HH545*HH545)+(HG545*HG545)/(AR235*HE545*HE545))</f>
        <v>5.0000000000000001E-3</v>
      </c>
      <c r="HP545" s="15" t="s">
        <v>1379</v>
      </c>
      <c r="HV545" s="15">
        <f t="shared" si="505"/>
        <v>62.355203538978074</v>
      </c>
      <c r="HW545" s="15">
        <f t="shared" si="506"/>
        <v>0.16037153970236062</v>
      </c>
      <c r="HX545" s="15">
        <f t="shared" si="516"/>
        <v>1000</v>
      </c>
      <c r="HY545" s="15">
        <f t="shared" si="517"/>
        <v>5000</v>
      </c>
      <c r="HZ545" s="15">
        <f t="shared" si="518"/>
        <v>8.3333333333333339</v>
      </c>
      <c r="IA545" s="15">
        <f t="shared" si="519"/>
        <v>1000</v>
      </c>
    </row>
    <row r="546" spans="1:235" s="63" customFormat="1" x14ac:dyDescent="0.25">
      <c r="A546" s="31">
        <v>544</v>
      </c>
      <c r="B546" s="65">
        <v>93</v>
      </c>
      <c r="C546" s="65">
        <v>111</v>
      </c>
      <c r="D546" s="63" t="s">
        <v>1381</v>
      </c>
      <c r="E546" s="65">
        <v>2</v>
      </c>
      <c r="F546" s="63" t="s">
        <v>777</v>
      </c>
      <c r="G546" s="63" t="s">
        <v>2380</v>
      </c>
      <c r="H546" s="63" t="s">
        <v>839</v>
      </c>
      <c r="I546" s="65">
        <v>2012</v>
      </c>
      <c r="J546" s="63" t="s">
        <v>1076</v>
      </c>
      <c r="K546" s="65" t="s">
        <v>593</v>
      </c>
      <c r="L546" s="63" t="s">
        <v>2381</v>
      </c>
      <c r="M546" s="63" t="s">
        <v>480</v>
      </c>
      <c r="N546" s="63" t="s">
        <v>520</v>
      </c>
      <c r="O546" s="31">
        <v>2</v>
      </c>
      <c r="P546" s="63">
        <v>35</v>
      </c>
      <c r="Q546" s="63">
        <v>114.4</v>
      </c>
      <c r="S546" s="63">
        <v>625</v>
      </c>
      <c r="T546" s="63">
        <v>14</v>
      </c>
      <c r="U546" s="63" t="s">
        <v>549</v>
      </c>
      <c r="V546" s="66">
        <v>1</v>
      </c>
      <c r="W546" s="63" t="s">
        <v>1153</v>
      </c>
      <c r="X546" s="63" t="s">
        <v>729</v>
      </c>
      <c r="Y546" s="61">
        <v>11</v>
      </c>
      <c r="Z546" s="63">
        <v>8.3000000000000007</v>
      </c>
      <c r="AA546" s="63" t="s">
        <v>574</v>
      </c>
      <c r="AB546" s="15">
        <f t="shared" si="489"/>
        <v>8.3000000000000007</v>
      </c>
      <c r="AC546" s="60">
        <v>6</v>
      </c>
      <c r="AD546" s="63">
        <v>11.2</v>
      </c>
      <c r="AJ546" s="63">
        <v>22.6</v>
      </c>
      <c r="AK546" s="63">
        <v>31.1</v>
      </c>
      <c r="AL546" s="63">
        <v>46.3</v>
      </c>
      <c r="AM546" s="65">
        <v>3</v>
      </c>
      <c r="AP546" s="63" t="s">
        <v>2378</v>
      </c>
      <c r="AQ546" s="1">
        <v>5</v>
      </c>
      <c r="AR546" s="65">
        <v>3</v>
      </c>
      <c r="CC546" s="63" t="s">
        <v>689</v>
      </c>
      <c r="CE546" s="63">
        <v>2250</v>
      </c>
      <c r="CF546" s="15">
        <f t="shared" ref="CF546:CF551" si="520">CE546</f>
        <v>2250</v>
      </c>
      <c r="CG546" s="63" t="s">
        <v>766</v>
      </c>
      <c r="CH546" s="63">
        <v>10.5</v>
      </c>
      <c r="CI546" s="63">
        <v>500</v>
      </c>
      <c r="CK546" s="63">
        <v>515</v>
      </c>
      <c r="CL546" s="63">
        <v>10.3</v>
      </c>
      <c r="CM546" s="63">
        <v>40.1</v>
      </c>
      <c r="CO546" s="63">
        <v>60.4</v>
      </c>
      <c r="CP546" s="63">
        <v>10.1</v>
      </c>
      <c r="CQ546" s="63">
        <v>3.82</v>
      </c>
      <c r="CS546" s="63">
        <v>3.22</v>
      </c>
      <c r="CW546" s="63">
        <v>37.1</v>
      </c>
      <c r="CY546" s="25">
        <f t="shared" ref="CY546:CY551" si="521">CF546</f>
        <v>2250</v>
      </c>
      <c r="CZ546" s="25">
        <f t="shared" ref="CZ546:CZ551" si="522">CY546/0.78/1000</f>
        <v>2.8846153846153841</v>
      </c>
      <c r="DA546" s="25">
        <f t="shared" ref="DA546:DA551" si="523">CY546*3</f>
        <v>6750</v>
      </c>
      <c r="EZ546" s="63">
        <v>1.34</v>
      </c>
      <c r="FA546" s="63">
        <v>0.05</v>
      </c>
      <c r="FB546" s="15">
        <f>FA546*SQRT(AR546)</f>
        <v>8.6602540378443865E-2</v>
      </c>
      <c r="FC546" s="63">
        <v>1.33</v>
      </c>
      <c r="FD546" s="63">
        <v>7.0000000000000007E-2</v>
      </c>
      <c r="FE546" s="15">
        <f>FD546*SQRT(AR546)</f>
        <v>0.12124355652982141</v>
      </c>
      <c r="FF546" s="63">
        <f t="shared" ref="FF546:FF551" si="524">FC546/EZ546</f>
        <v>0.9925373134328358</v>
      </c>
      <c r="FG546" s="63">
        <f t="shared" ref="FG546:FG551" si="525">FC546-EZ546</f>
        <v>-1.0000000000000009E-2</v>
      </c>
      <c r="FH546" s="15">
        <f t="shared" ref="FH546:FH551" si="526">LN(FC546)-LN(EZ546)</f>
        <v>-7.490671729157572E-3</v>
      </c>
      <c r="FI546" s="15">
        <f>((FE546*FE546)/(AR546*FC546*FC546)+(FB546*FB546)/(AR546*EZ546*EZ546))</f>
        <v>4.1623753724863918E-3</v>
      </c>
      <c r="FJ546" s="15"/>
      <c r="FK546" s="16">
        <f t="shared" ref="FK546:FK609" si="527">FM546</f>
        <v>8.32</v>
      </c>
      <c r="FL546" s="16">
        <f t="shared" ref="FL546:FL609" si="528">FP546</f>
        <v>8.31</v>
      </c>
      <c r="FM546" s="63">
        <v>8.32</v>
      </c>
      <c r="FN546" s="63">
        <v>0.06</v>
      </c>
      <c r="FO546" s="15">
        <f>FN546*SQRT(AR546)</f>
        <v>0.10392304845413262</v>
      </c>
      <c r="FP546" s="63">
        <v>8.31</v>
      </c>
      <c r="FQ546" s="63">
        <v>0.06</v>
      </c>
      <c r="FR546" s="15">
        <f>FQ546*SQRT(AR546)</f>
        <v>0.10392304845413262</v>
      </c>
      <c r="FS546" s="63">
        <f t="shared" ref="FS546:FS582" si="529">FP546/FM546</f>
        <v>0.99879807692307698</v>
      </c>
      <c r="FT546" s="63">
        <f t="shared" ref="FT546:FT582" si="530">FP546-FM546</f>
        <v>-9.9999999999997868E-3</v>
      </c>
      <c r="FU546" s="15">
        <f t="shared" ref="FU546:FU609" si="531">LN(FP546)-LN(FM546)</f>
        <v>-1.2026459657605848E-3</v>
      </c>
      <c r="FV546" s="15">
        <f>((FR546*FR546)/(AR546*FP546*FP546)+(FO546*FO546)/(AR546*FM546*FM546))</f>
        <v>1.0413781482700079E-4</v>
      </c>
      <c r="HE546" s="63">
        <v>5780</v>
      </c>
      <c r="HF546" s="63">
        <v>240</v>
      </c>
      <c r="HG546" s="15">
        <f>HF546*SQRT(AR236)</f>
        <v>415.69219381653051</v>
      </c>
      <c r="HH546" s="63">
        <v>5810</v>
      </c>
      <c r="HI546" s="63">
        <v>20</v>
      </c>
      <c r="HJ546" s="15">
        <f>HI546*SQRT(AR236)</f>
        <v>34.641016151377542</v>
      </c>
      <c r="HK546" s="63">
        <f t="shared" si="502"/>
        <v>1.0051903114186851</v>
      </c>
      <c r="HL546" s="15">
        <f t="shared" si="503"/>
        <v>30</v>
      </c>
      <c r="HM546" s="15">
        <f t="shared" si="504"/>
        <v>5.1768881795339894E-3</v>
      </c>
      <c r="HN546" s="15">
        <f>((HJ546*HJ546)/(AR236*HH546*HH546)+(HG546*HG546)/(AR236*HE546*HE546))</f>
        <v>1.7359669979941878E-3</v>
      </c>
      <c r="HP546" s="63" t="s">
        <v>766</v>
      </c>
      <c r="HV546" s="15">
        <f t="shared" si="505"/>
        <v>13038.720880016417</v>
      </c>
      <c r="HW546" s="15">
        <f t="shared" si="506"/>
        <v>5.1768881795339894E-3</v>
      </c>
      <c r="HX546" s="25">
        <f>DA546</f>
        <v>6750</v>
      </c>
      <c r="HY546" s="25">
        <f>CY546</f>
        <v>2250</v>
      </c>
      <c r="HZ546" s="25">
        <f>CZ546</f>
        <v>2.8846153846153841</v>
      </c>
      <c r="IA546" s="25">
        <f>DA546</f>
        <v>6750</v>
      </c>
    </row>
    <row r="547" spans="1:235" s="63" customFormat="1" x14ac:dyDescent="0.25">
      <c r="A547" s="31">
        <v>545</v>
      </c>
      <c r="B547" s="65">
        <v>93</v>
      </c>
      <c r="C547" s="65">
        <v>111</v>
      </c>
      <c r="D547" s="63" t="s">
        <v>1382</v>
      </c>
      <c r="E547" s="65">
        <v>2</v>
      </c>
      <c r="F547" s="63" t="s">
        <v>777</v>
      </c>
      <c r="G547" s="63" t="s">
        <v>2380</v>
      </c>
      <c r="H547" s="63" t="s">
        <v>839</v>
      </c>
      <c r="I547" s="65">
        <v>2012</v>
      </c>
      <c r="J547" s="63" t="s">
        <v>1076</v>
      </c>
      <c r="K547" s="65" t="s">
        <v>593</v>
      </c>
      <c r="L547" s="63" t="s">
        <v>2381</v>
      </c>
      <c r="M547" s="63" t="s">
        <v>480</v>
      </c>
      <c r="N547" s="63" t="s">
        <v>520</v>
      </c>
      <c r="O547" s="31">
        <v>2</v>
      </c>
      <c r="P547" s="63">
        <v>35</v>
      </c>
      <c r="Q547" s="63">
        <v>114.4</v>
      </c>
      <c r="S547" s="63">
        <v>625</v>
      </c>
      <c r="T547" s="63">
        <v>14</v>
      </c>
      <c r="U547" s="63" t="s">
        <v>549</v>
      </c>
      <c r="V547" s="66">
        <v>1</v>
      </c>
      <c r="W547" s="63" t="s">
        <v>1153</v>
      </c>
      <c r="X547" s="63" t="s">
        <v>729</v>
      </c>
      <c r="Y547" s="61">
        <v>11</v>
      </c>
      <c r="Z547" s="63">
        <v>8.3000000000000007</v>
      </c>
      <c r="AA547" s="63" t="s">
        <v>574</v>
      </c>
      <c r="AB547" s="15">
        <f t="shared" si="489"/>
        <v>8.3000000000000007</v>
      </c>
      <c r="AC547" s="60">
        <v>6</v>
      </c>
      <c r="AD547" s="63">
        <v>11.2</v>
      </c>
      <c r="AJ547" s="63">
        <v>22.6</v>
      </c>
      <c r="AK547" s="63">
        <v>31.1</v>
      </c>
      <c r="AL547" s="63">
        <v>46.3</v>
      </c>
      <c r="AM547" s="65">
        <v>3</v>
      </c>
      <c r="AP547" s="63" t="s">
        <v>2378</v>
      </c>
      <c r="AQ547" s="1">
        <v>5</v>
      </c>
      <c r="AR547" s="65">
        <v>3</v>
      </c>
      <c r="CC547" s="63" t="s">
        <v>689</v>
      </c>
      <c r="CE547" s="63">
        <v>6750</v>
      </c>
      <c r="CF547" s="15">
        <f t="shared" si="520"/>
        <v>6750</v>
      </c>
      <c r="CG547" s="63" t="s">
        <v>766</v>
      </c>
      <c r="CH547" s="63">
        <v>10.5</v>
      </c>
      <c r="CI547" s="63">
        <v>500</v>
      </c>
      <c r="CK547" s="63">
        <v>515</v>
      </c>
      <c r="CL547" s="63">
        <v>10.3</v>
      </c>
      <c r="CM547" s="63">
        <v>40.1</v>
      </c>
      <c r="CO547" s="63">
        <v>60.4</v>
      </c>
      <c r="CP547" s="63">
        <v>10.1</v>
      </c>
      <c r="CQ547" s="63">
        <v>3.82</v>
      </c>
      <c r="CS547" s="63">
        <v>3.22</v>
      </c>
      <c r="CW547" s="63">
        <v>37.1</v>
      </c>
      <c r="CY547" s="25">
        <f t="shared" si="521"/>
        <v>6750</v>
      </c>
      <c r="CZ547" s="25">
        <f t="shared" si="522"/>
        <v>8.6538461538461551</v>
      </c>
      <c r="DA547" s="25">
        <f t="shared" si="523"/>
        <v>20250</v>
      </c>
      <c r="EZ547" s="63">
        <v>1.34</v>
      </c>
      <c r="FA547" s="63">
        <v>0.05</v>
      </c>
      <c r="FB547" s="15">
        <f>FA547*SQRT(AR547)</f>
        <v>8.6602540378443865E-2</v>
      </c>
      <c r="FC547" s="63">
        <v>1.3</v>
      </c>
      <c r="FD547" s="63">
        <v>7.0000000000000007E-2</v>
      </c>
      <c r="FE547" s="15">
        <f>FD547*SQRT(AR547)</f>
        <v>0.12124355652982141</v>
      </c>
      <c r="FF547" s="63">
        <f t="shared" si="524"/>
        <v>0.97014925373134331</v>
      </c>
      <c r="FG547" s="63">
        <f t="shared" si="525"/>
        <v>-4.0000000000000036E-2</v>
      </c>
      <c r="FH547" s="15">
        <f t="shared" si="526"/>
        <v>-3.0305349495328981E-2</v>
      </c>
      <c r="FI547" s="15">
        <f>((FE547*FE547)/(AR547*FC547*FC547)+(FB547*FB547)/(AR547*EZ547*EZ547))</f>
        <v>4.2917005540169849E-3</v>
      </c>
      <c r="FJ547" s="15"/>
      <c r="FK547" s="16">
        <f t="shared" si="527"/>
        <v>8.32</v>
      </c>
      <c r="FL547" s="16">
        <f t="shared" si="528"/>
        <v>8.34</v>
      </c>
      <c r="FM547" s="63">
        <v>8.32</v>
      </c>
      <c r="FN547" s="63">
        <v>0.06</v>
      </c>
      <c r="FO547" s="15">
        <f>FN547*SQRT(AR547)</f>
        <v>0.10392304845413262</v>
      </c>
      <c r="FP547" s="63">
        <v>8.34</v>
      </c>
      <c r="FQ547" s="63">
        <v>0.06</v>
      </c>
      <c r="FR547" s="15">
        <f>FQ547*SQRT(AR547)</f>
        <v>0.10392304845413262</v>
      </c>
      <c r="FS547" s="63">
        <f t="shared" si="529"/>
        <v>1.002403846153846</v>
      </c>
      <c r="FT547" s="63">
        <f t="shared" si="530"/>
        <v>1.9999999999999574E-2</v>
      </c>
      <c r="FU547" s="15">
        <f t="shared" si="531"/>
        <v>2.4009615375382154E-3</v>
      </c>
      <c r="FV547" s="15">
        <f>((FR547*FR547)/(AR547*FP547*FP547)+(FO547*FO547)/(AR547*FM547*FM547))</f>
        <v>1.0376344240898624E-4</v>
      </c>
      <c r="HE547" s="63">
        <v>5780</v>
      </c>
      <c r="HF547" s="63">
        <v>240</v>
      </c>
      <c r="HG547" s="15">
        <f>HF547*SQRT(AR237)</f>
        <v>415.69219381653051</v>
      </c>
      <c r="HH547" s="63">
        <v>6040</v>
      </c>
      <c r="HI547" s="63">
        <v>70</v>
      </c>
      <c r="HJ547" s="15">
        <f>HI547*SQRT(AR237)</f>
        <v>121.2435565298214</v>
      </c>
      <c r="HK547" s="63">
        <f t="shared" si="502"/>
        <v>1.0449826989619377</v>
      </c>
      <c r="HL547" s="15">
        <f t="shared" si="503"/>
        <v>260</v>
      </c>
      <c r="HM547" s="15">
        <f t="shared" si="504"/>
        <v>4.4000329262438242E-2</v>
      </c>
      <c r="HN547" s="15">
        <f>((HJ547*HJ547)/(AR237*HH547*HH547)+(HG547*HG547)/(AR237*HE547*HE547))</f>
        <v>1.8584315723289295E-3</v>
      </c>
      <c r="HP547" s="63" t="s">
        <v>766</v>
      </c>
      <c r="HV547" s="15">
        <f t="shared" si="505"/>
        <v>4602.2382876318188</v>
      </c>
      <c r="HW547" s="15">
        <f t="shared" si="506"/>
        <v>4.4000329262438242E-2</v>
      </c>
      <c r="HX547" s="25">
        <f>DA547</f>
        <v>20250</v>
      </c>
      <c r="HY547" s="25">
        <f>CY547</f>
        <v>6750</v>
      </c>
      <c r="HZ547" s="25">
        <f>CZ547</f>
        <v>8.6538461538461551</v>
      </c>
      <c r="IA547" s="25">
        <f>DA547</f>
        <v>20250</v>
      </c>
    </row>
    <row r="548" spans="1:235" s="63" customFormat="1" x14ac:dyDescent="0.25">
      <c r="A548" s="31">
        <v>546</v>
      </c>
      <c r="B548" s="65">
        <v>93</v>
      </c>
      <c r="C548" s="65">
        <v>111</v>
      </c>
      <c r="D548" s="63" t="s">
        <v>1383</v>
      </c>
      <c r="E548" s="65">
        <v>2</v>
      </c>
      <c r="F548" s="63" t="s">
        <v>777</v>
      </c>
      <c r="G548" s="63" t="s">
        <v>2380</v>
      </c>
      <c r="H548" s="63" t="s">
        <v>839</v>
      </c>
      <c r="I548" s="65">
        <v>2012</v>
      </c>
      <c r="J548" s="63" t="s">
        <v>1076</v>
      </c>
      <c r="K548" s="65" t="s">
        <v>593</v>
      </c>
      <c r="L548" s="63" t="s">
        <v>2381</v>
      </c>
      <c r="M548" s="63" t="s">
        <v>480</v>
      </c>
      <c r="N548" s="63" t="s">
        <v>520</v>
      </c>
      <c r="O548" s="31">
        <v>2</v>
      </c>
      <c r="P548" s="63">
        <v>35</v>
      </c>
      <c r="Q548" s="63">
        <v>114.4</v>
      </c>
      <c r="S548" s="63">
        <v>625</v>
      </c>
      <c r="T548" s="63">
        <v>14</v>
      </c>
      <c r="U548" s="63" t="s">
        <v>549</v>
      </c>
      <c r="V548" s="66">
        <v>1</v>
      </c>
      <c r="W548" s="63" t="s">
        <v>1153</v>
      </c>
      <c r="X548" s="63" t="s">
        <v>729</v>
      </c>
      <c r="Y548" s="61">
        <v>11</v>
      </c>
      <c r="Z548" s="63">
        <v>8.3000000000000007</v>
      </c>
      <c r="AA548" s="63" t="s">
        <v>574</v>
      </c>
      <c r="AB548" s="15">
        <f t="shared" si="489"/>
        <v>8.3000000000000007</v>
      </c>
      <c r="AC548" s="60">
        <v>6</v>
      </c>
      <c r="AD548" s="63">
        <v>11.2</v>
      </c>
      <c r="AJ548" s="63">
        <v>22.6</v>
      </c>
      <c r="AK548" s="63">
        <v>31.1</v>
      </c>
      <c r="AL548" s="63">
        <v>46.3</v>
      </c>
      <c r="AM548" s="65">
        <v>3</v>
      </c>
      <c r="AP548" s="63" t="s">
        <v>2378</v>
      </c>
      <c r="AQ548" s="1">
        <v>5</v>
      </c>
      <c r="AR548" s="65">
        <v>3</v>
      </c>
      <c r="CC548" s="63" t="s">
        <v>689</v>
      </c>
      <c r="CE548" s="63">
        <v>1130</v>
      </c>
      <c r="CF548" s="15">
        <f t="shared" si="520"/>
        <v>1130</v>
      </c>
      <c r="CG548" s="63" t="s">
        <v>766</v>
      </c>
      <c r="CH548" s="63">
        <v>10.5</v>
      </c>
      <c r="CI548" s="63">
        <v>500</v>
      </c>
      <c r="CK548" s="63">
        <v>515</v>
      </c>
      <c r="CL548" s="63">
        <v>10.3</v>
      </c>
      <c r="CM548" s="63">
        <v>40.1</v>
      </c>
      <c r="CO548" s="63">
        <v>60.4</v>
      </c>
      <c r="CP548" s="63">
        <v>10.1</v>
      </c>
      <c r="CQ548" s="63">
        <v>3.82</v>
      </c>
      <c r="CS548" s="63">
        <v>3.22</v>
      </c>
      <c r="CW548" s="63">
        <v>37.1</v>
      </c>
      <c r="CY548" s="25">
        <f t="shared" si="521"/>
        <v>1130</v>
      </c>
      <c r="CZ548" s="25">
        <f t="shared" si="522"/>
        <v>1.4487179487179487</v>
      </c>
      <c r="DA548" s="25">
        <f t="shared" si="523"/>
        <v>3390</v>
      </c>
      <c r="EZ548" s="63">
        <v>1.34</v>
      </c>
      <c r="FA548" s="63">
        <v>0.05</v>
      </c>
      <c r="FB548" s="15">
        <f>FA548*SQRT(AR548)</f>
        <v>8.6602540378443865E-2</v>
      </c>
      <c r="FC548" s="63">
        <v>1.2</v>
      </c>
      <c r="FD548" s="63">
        <v>0.05</v>
      </c>
      <c r="FE548" s="15">
        <f>FD548*SQRT(AR548)</f>
        <v>8.6602540378443865E-2</v>
      </c>
      <c r="FF548" s="63">
        <f t="shared" si="524"/>
        <v>0.89552238805970141</v>
      </c>
      <c r="FG548" s="63">
        <f t="shared" si="525"/>
        <v>-0.14000000000000012</v>
      </c>
      <c r="FH548" s="15">
        <f t="shared" si="526"/>
        <v>-0.11034805716886545</v>
      </c>
      <c r="FI548" s="15">
        <f>((FE548*FE548)/(AR548*FC548*FC548)+(FB548*FB548)/(AR548*EZ548*EZ548))</f>
        <v>3.1284033811044276E-3</v>
      </c>
      <c r="FJ548" s="15"/>
      <c r="FK548" s="16">
        <f t="shared" si="527"/>
        <v>8.32</v>
      </c>
      <c r="FL548" s="16">
        <f t="shared" si="528"/>
        <v>8.41</v>
      </c>
      <c r="FM548" s="63">
        <v>8.32</v>
      </c>
      <c r="FN548" s="63">
        <v>0.06</v>
      </c>
      <c r="FO548" s="15">
        <f>FN548*SQRT(AR548)</f>
        <v>0.10392304845413262</v>
      </c>
      <c r="FP548" s="63">
        <v>8.41</v>
      </c>
      <c r="FQ548" s="63">
        <v>0.06</v>
      </c>
      <c r="FR548" s="15">
        <f>FQ548*SQRT(AR548)</f>
        <v>0.10392304845413262</v>
      </c>
      <c r="FS548" s="63">
        <f t="shared" si="529"/>
        <v>1.0108173076923077</v>
      </c>
      <c r="FT548" s="63">
        <f t="shared" si="530"/>
        <v>8.9999999999999858E-2</v>
      </c>
      <c r="FU548" s="15">
        <f t="shared" si="531"/>
        <v>1.0759219151739163E-2</v>
      </c>
      <c r="FV548" s="15">
        <f>((FR548*FR548)/(AR548*FP548*FP548)+(FO548*FO548)/(AR548*FM548*FM548))</f>
        <v>1.0290543456291303E-4</v>
      </c>
      <c r="HE548" s="63">
        <v>5780</v>
      </c>
      <c r="HF548" s="63">
        <v>240</v>
      </c>
      <c r="HG548" s="15">
        <f>HF548*SQRT(AR238)</f>
        <v>415.69219381653051</v>
      </c>
      <c r="HH548" s="63">
        <v>5700</v>
      </c>
      <c r="HI548" s="63">
        <v>36</v>
      </c>
      <c r="HJ548" s="15">
        <f>HI548*SQRT(AR238)</f>
        <v>62.353829072479577</v>
      </c>
      <c r="HK548" s="63">
        <f t="shared" si="502"/>
        <v>0.98615916955017302</v>
      </c>
      <c r="HL548" s="15">
        <f t="shared" si="503"/>
        <v>-80</v>
      </c>
      <c r="HM548" s="15">
        <f t="shared" si="504"/>
        <v>-1.393750784378156E-2</v>
      </c>
      <c r="HN548" s="15">
        <f>((HJ548*HJ548)/(AR238*HH548*HH548)+(HG548*HG548)/(AR238*HE548*HE548))</f>
        <v>1.7640064845436221E-3</v>
      </c>
      <c r="HP548" s="63" t="s">
        <v>766</v>
      </c>
      <c r="HV548" s="15">
        <f t="shared" si="505"/>
        <v>-2432.2856266678277</v>
      </c>
      <c r="HW548" s="15">
        <f t="shared" si="506"/>
        <v>-1.393750784378156E-2</v>
      </c>
      <c r="HX548" s="25">
        <f>DA548</f>
        <v>3390</v>
      </c>
      <c r="HY548" s="25">
        <f>CY548</f>
        <v>1130</v>
      </c>
      <c r="HZ548" s="25">
        <f>CZ548</f>
        <v>1.4487179487179487</v>
      </c>
      <c r="IA548" s="25">
        <f>DA548</f>
        <v>3390</v>
      </c>
    </row>
    <row r="549" spans="1:235" s="63" customFormat="1" x14ac:dyDescent="0.25">
      <c r="A549" s="31">
        <v>547</v>
      </c>
      <c r="B549" s="65">
        <v>93</v>
      </c>
      <c r="C549" s="65">
        <v>111</v>
      </c>
      <c r="D549" s="63" t="s">
        <v>1384</v>
      </c>
      <c r="E549" s="65">
        <v>2</v>
      </c>
      <c r="F549" s="63" t="s">
        <v>777</v>
      </c>
      <c r="G549" s="63" t="s">
        <v>2380</v>
      </c>
      <c r="H549" s="63" t="s">
        <v>839</v>
      </c>
      <c r="I549" s="65">
        <v>2012</v>
      </c>
      <c r="J549" s="63" t="s">
        <v>1076</v>
      </c>
      <c r="K549" s="65" t="s">
        <v>593</v>
      </c>
      <c r="L549" s="63" t="s">
        <v>2381</v>
      </c>
      <c r="M549" s="63" t="s">
        <v>480</v>
      </c>
      <c r="N549" s="63" t="s">
        <v>520</v>
      </c>
      <c r="O549" s="31">
        <v>2</v>
      </c>
      <c r="P549" s="63">
        <v>35</v>
      </c>
      <c r="Q549" s="63">
        <v>114.4</v>
      </c>
      <c r="S549" s="63">
        <v>625</v>
      </c>
      <c r="T549" s="63">
        <v>14</v>
      </c>
      <c r="U549" s="63" t="s">
        <v>549</v>
      </c>
      <c r="V549" s="66">
        <v>1</v>
      </c>
      <c r="W549" s="63" t="s">
        <v>1153</v>
      </c>
      <c r="X549" s="63" t="s">
        <v>731</v>
      </c>
      <c r="Y549" s="1">
        <v>12</v>
      </c>
      <c r="Z549" s="63">
        <v>8.3000000000000007</v>
      </c>
      <c r="AA549" s="63" t="s">
        <v>574</v>
      </c>
      <c r="AB549" s="15">
        <f t="shared" si="489"/>
        <v>8.3000000000000007</v>
      </c>
      <c r="AC549" s="60">
        <v>6</v>
      </c>
      <c r="AD549" s="63">
        <v>11.2</v>
      </c>
      <c r="AJ549" s="63">
        <v>22.6</v>
      </c>
      <c r="AK549" s="63">
        <v>31.1</v>
      </c>
      <c r="AL549" s="63">
        <v>46.3</v>
      </c>
      <c r="AM549" s="65">
        <v>3</v>
      </c>
      <c r="AP549" s="63" t="s">
        <v>2378</v>
      </c>
      <c r="AQ549" s="1">
        <v>5</v>
      </c>
      <c r="AR549" s="65">
        <v>3</v>
      </c>
      <c r="CC549" s="63" t="s">
        <v>689</v>
      </c>
      <c r="CE549" s="63">
        <v>2250</v>
      </c>
      <c r="CF549" s="15">
        <f t="shared" si="520"/>
        <v>2250</v>
      </c>
      <c r="CG549" s="63" t="s">
        <v>766</v>
      </c>
      <c r="CH549" s="63">
        <v>10.5</v>
      </c>
      <c r="CI549" s="63">
        <v>500</v>
      </c>
      <c r="CK549" s="63">
        <v>515</v>
      </c>
      <c r="CL549" s="63">
        <v>10.3</v>
      </c>
      <c r="CM549" s="63">
        <v>40.1</v>
      </c>
      <c r="CO549" s="63">
        <v>60.4</v>
      </c>
      <c r="CP549" s="63">
        <v>10.1</v>
      </c>
      <c r="CQ549" s="63">
        <v>3.82</v>
      </c>
      <c r="CS549" s="63">
        <v>3.22</v>
      </c>
      <c r="CW549" s="63">
        <v>37.1</v>
      </c>
      <c r="CY549" s="25">
        <f t="shared" si="521"/>
        <v>2250</v>
      </c>
      <c r="CZ549" s="25">
        <f t="shared" si="522"/>
        <v>2.8846153846153841</v>
      </c>
      <c r="DA549" s="25">
        <f t="shared" si="523"/>
        <v>6750</v>
      </c>
      <c r="EZ549" s="63">
        <v>1.34</v>
      </c>
      <c r="FA549" s="63">
        <v>0.05</v>
      </c>
      <c r="FB549" s="15">
        <f>FA549*SQRT(AR549)</f>
        <v>8.6602540378443865E-2</v>
      </c>
      <c r="FC549" s="63">
        <v>1.33</v>
      </c>
      <c r="FD549" s="63">
        <v>7.0000000000000007E-2</v>
      </c>
      <c r="FE549" s="15">
        <f>FD549*SQRT(AR549)</f>
        <v>0.12124355652982141</v>
      </c>
      <c r="FF549" s="63">
        <f t="shared" si="524"/>
        <v>0.9925373134328358</v>
      </c>
      <c r="FG549" s="63">
        <f t="shared" si="525"/>
        <v>-1.0000000000000009E-2</v>
      </c>
      <c r="FH549" s="15">
        <f t="shared" si="526"/>
        <v>-7.490671729157572E-3</v>
      </c>
      <c r="FI549" s="15">
        <f>((FE549*FE549)/(AR549*FC549*FC549)+(FB549*FB549)/(AR549*EZ549*EZ549))</f>
        <v>4.1623753724863918E-3</v>
      </c>
      <c r="FJ549" s="15"/>
      <c r="FK549" s="16">
        <f t="shared" si="527"/>
        <v>8.32</v>
      </c>
      <c r="FL549" s="16">
        <f t="shared" si="528"/>
        <v>8.31</v>
      </c>
      <c r="FM549" s="63">
        <v>8.32</v>
      </c>
      <c r="FN549" s="63">
        <v>0.06</v>
      </c>
      <c r="FO549" s="15">
        <f>FN549*SQRT(AR549)</f>
        <v>0.10392304845413262</v>
      </c>
      <c r="FP549" s="63">
        <v>8.31</v>
      </c>
      <c r="FQ549" s="63">
        <v>0.06</v>
      </c>
      <c r="FR549" s="15">
        <f>FQ549*SQRT(AR549)</f>
        <v>0.10392304845413262</v>
      </c>
      <c r="FS549" s="63">
        <f t="shared" si="529"/>
        <v>0.99879807692307698</v>
      </c>
      <c r="FT549" s="63">
        <f t="shared" si="530"/>
        <v>-9.9999999999997868E-3</v>
      </c>
      <c r="FU549" s="15">
        <f t="shared" si="531"/>
        <v>-1.2026459657605848E-3</v>
      </c>
      <c r="FV549" s="15">
        <f>((FR549*FR549)/(AR549*FP549*FP549)+(FO549*FO549)/(AR549*FM549*FM549))</f>
        <v>1.0413781482700079E-4</v>
      </c>
      <c r="HE549" s="63">
        <v>7240</v>
      </c>
      <c r="HF549" s="63">
        <v>330</v>
      </c>
      <c r="HG549" s="15">
        <f>HF549*SQRT(AR239)</f>
        <v>571.57676649772952</v>
      </c>
      <c r="HH549" s="63">
        <v>7720</v>
      </c>
      <c r="HI549" s="63">
        <v>370</v>
      </c>
      <c r="HJ549" s="15">
        <f>HI549*SQRT(AR239)</f>
        <v>640.85879880048458</v>
      </c>
      <c r="HK549" s="63">
        <f t="shared" si="502"/>
        <v>1.0662983425414365</v>
      </c>
      <c r="HL549" s="15">
        <f t="shared" si="503"/>
        <v>480</v>
      </c>
      <c r="HM549" s="15">
        <f t="shared" si="504"/>
        <v>6.419315763905864E-2</v>
      </c>
      <c r="HN549" s="15">
        <f>((HJ549*HJ549)/(AR239*HH549*HH549)+(HG549*HG549)/(AR239*HE549*HE549))</f>
        <v>4.3745880042566632E-3</v>
      </c>
      <c r="HP549" s="63" t="s">
        <v>766</v>
      </c>
      <c r="HV549" s="15">
        <f t="shared" si="505"/>
        <v>1051.5139382850564</v>
      </c>
      <c r="HW549" s="15">
        <f t="shared" si="506"/>
        <v>6.419315763905864E-2</v>
      </c>
      <c r="HX549" s="25">
        <f>DA549</f>
        <v>6750</v>
      </c>
      <c r="HY549" s="25">
        <f>CY549</f>
        <v>2250</v>
      </c>
      <c r="HZ549" s="25">
        <f>CZ549</f>
        <v>2.8846153846153841</v>
      </c>
      <c r="IA549" s="25">
        <f>DA549</f>
        <v>6750</v>
      </c>
    </row>
    <row r="550" spans="1:235" s="63" customFormat="1" x14ac:dyDescent="0.25">
      <c r="A550" s="31">
        <v>548</v>
      </c>
      <c r="B550" s="65">
        <v>93</v>
      </c>
      <c r="C550" s="65">
        <v>111</v>
      </c>
      <c r="D550" s="63" t="s">
        <v>1385</v>
      </c>
      <c r="E550" s="65">
        <v>2</v>
      </c>
      <c r="F550" s="63" t="s">
        <v>777</v>
      </c>
      <c r="G550" s="63" t="s">
        <v>2380</v>
      </c>
      <c r="H550" s="63" t="s">
        <v>839</v>
      </c>
      <c r="I550" s="65">
        <v>2012</v>
      </c>
      <c r="J550" s="63" t="s">
        <v>1076</v>
      </c>
      <c r="K550" s="65" t="s">
        <v>593</v>
      </c>
      <c r="L550" s="63" t="s">
        <v>2381</v>
      </c>
      <c r="M550" s="63" t="s">
        <v>480</v>
      </c>
      <c r="N550" s="63" t="s">
        <v>520</v>
      </c>
      <c r="O550" s="31">
        <v>2</v>
      </c>
      <c r="P550" s="63">
        <v>35</v>
      </c>
      <c r="Q550" s="63">
        <v>114.4</v>
      </c>
      <c r="S550" s="63">
        <v>625</v>
      </c>
      <c r="T550" s="63">
        <v>14</v>
      </c>
      <c r="U550" s="63" t="s">
        <v>549</v>
      </c>
      <c r="V550" s="66">
        <v>1</v>
      </c>
      <c r="W550" s="63" t="s">
        <v>1153</v>
      </c>
      <c r="X550" s="63" t="s">
        <v>731</v>
      </c>
      <c r="Y550" s="1">
        <v>12</v>
      </c>
      <c r="Z550" s="63">
        <v>8.3000000000000007</v>
      </c>
      <c r="AA550" s="63" t="s">
        <v>574</v>
      </c>
      <c r="AB550" s="15">
        <f t="shared" si="489"/>
        <v>8.3000000000000007</v>
      </c>
      <c r="AC550" s="60">
        <v>6</v>
      </c>
      <c r="AD550" s="63">
        <v>11.2</v>
      </c>
      <c r="AJ550" s="63">
        <v>22.6</v>
      </c>
      <c r="AK550" s="63">
        <v>31.1</v>
      </c>
      <c r="AL550" s="63">
        <v>46.3</v>
      </c>
      <c r="AM550" s="65">
        <v>3</v>
      </c>
      <c r="AP550" s="63" t="s">
        <v>2378</v>
      </c>
      <c r="AQ550" s="1">
        <v>5</v>
      </c>
      <c r="AR550" s="65">
        <v>3</v>
      </c>
      <c r="CC550" s="63" t="s">
        <v>689</v>
      </c>
      <c r="CE550" s="63">
        <v>6750</v>
      </c>
      <c r="CF550" s="15">
        <f t="shared" si="520"/>
        <v>6750</v>
      </c>
      <c r="CG550" s="63" t="s">
        <v>766</v>
      </c>
      <c r="CH550" s="63">
        <v>10.5</v>
      </c>
      <c r="CI550" s="63">
        <v>500</v>
      </c>
      <c r="CK550" s="63">
        <v>515</v>
      </c>
      <c r="CL550" s="63">
        <v>10.3</v>
      </c>
      <c r="CM550" s="63">
        <v>40.1</v>
      </c>
      <c r="CO550" s="63">
        <v>60.4</v>
      </c>
      <c r="CP550" s="63">
        <v>10.1</v>
      </c>
      <c r="CQ550" s="63">
        <v>3.82</v>
      </c>
      <c r="CS550" s="63">
        <v>3.22</v>
      </c>
      <c r="CW550" s="63">
        <v>37.1</v>
      </c>
      <c r="CY550" s="25">
        <f t="shared" si="521"/>
        <v>6750</v>
      </c>
      <c r="CZ550" s="25">
        <f t="shared" si="522"/>
        <v>8.6538461538461551</v>
      </c>
      <c r="DA550" s="25">
        <f t="shared" si="523"/>
        <v>20250</v>
      </c>
      <c r="EZ550" s="63">
        <v>1.34</v>
      </c>
      <c r="FA550" s="63">
        <v>0.05</v>
      </c>
      <c r="FB550" s="15">
        <f>FA550*SQRT(AR550)</f>
        <v>8.6602540378443865E-2</v>
      </c>
      <c r="FC550" s="63">
        <v>1.3</v>
      </c>
      <c r="FD550" s="63">
        <v>7.0000000000000007E-2</v>
      </c>
      <c r="FE550" s="15">
        <f>FD550*SQRT(AR550)</f>
        <v>0.12124355652982141</v>
      </c>
      <c r="FF550" s="63">
        <f t="shared" si="524"/>
        <v>0.97014925373134331</v>
      </c>
      <c r="FG550" s="63">
        <f t="shared" si="525"/>
        <v>-4.0000000000000036E-2</v>
      </c>
      <c r="FH550" s="15">
        <f t="shared" si="526"/>
        <v>-3.0305349495328981E-2</v>
      </c>
      <c r="FI550" s="15">
        <f>((FE550*FE550)/(AR550*FC550*FC550)+(FB550*FB550)/(AR550*EZ550*EZ550))</f>
        <v>4.2917005540169849E-3</v>
      </c>
      <c r="FJ550" s="15"/>
      <c r="FK550" s="16">
        <f t="shared" si="527"/>
        <v>8.32</v>
      </c>
      <c r="FL550" s="16">
        <f t="shared" si="528"/>
        <v>8.34</v>
      </c>
      <c r="FM550" s="63">
        <v>8.32</v>
      </c>
      <c r="FN550" s="63">
        <v>0.06</v>
      </c>
      <c r="FO550" s="15">
        <f>FN550*SQRT(AR550)</f>
        <v>0.10392304845413262</v>
      </c>
      <c r="FP550" s="63">
        <v>8.34</v>
      </c>
      <c r="FQ550" s="63">
        <v>0.06</v>
      </c>
      <c r="FR550" s="15">
        <f>FQ550*SQRT(AR550)</f>
        <v>0.10392304845413262</v>
      </c>
      <c r="FS550" s="63">
        <f t="shared" si="529"/>
        <v>1.002403846153846</v>
      </c>
      <c r="FT550" s="63">
        <f t="shared" si="530"/>
        <v>1.9999999999999574E-2</v>
      </c>
      <c r="FU550" s="15">
        <f t="shared" si="531"/>
        <v>2.4009615375382154E-3</v>
      </c>
      <c r="FV550" s="15">
        <f>((FR550*FR550)/(AR550*FP550*FP550)+(FO550*FO550)/(AR550*FM550*FM550))</f>
        <v>1.0376344240898624E-4</v>
      </c>
      <c r="HE550" s="63">
        <v>7240</v>
      </c>
      <c r="HF550" s="63">
        <v>330</v>
      </c>
      <c r="HG550" s="15">
        <f>HF550*SQRT(AR240)</f>
        <v>571.57676649772952</v>
      </c>
      <c r="HH550" s="63">
        <v>7850</v>
      </c>
      <c r="HI550" s="63">
        <v>280</v>
      </c>
      <c r="HJ550" s="15">
        <f>HI550*SQRT(AR240)</f>
        <v>484.97422611928562</v>
      </c>
      <c r="HK550" s="63">
        <f t="shared" si="502"/>
        <v>1.0842541436464088</v>
      </c>
      <c r="HL550" s="15">
        <f t="shared" si="503"/>
        <v>610</v>
      </c>
      <c r="HM550" s="15">
        <f t="shared" si="504"/>
        <v>8.0892325396691334E-2</v>
      </c>
      <c r="HN550" s="15">
        <f>((HJ550*HJ550)/(AR240*HH550*HH550)+(HG550*HG550)/(AR240*HE550*HE550))</f>
        <v>3.3498090393731016E-3</v>
      </c>
      <c r="HP550" s="63" t="s">
        <v>766</v>
      </c>
      <c r="HV550" s="15">
        <f t="shared" si="505"/>
        <v>2503.3277138090862</v>
      </c>
      <c r="HW550" s="15">
        <f t="shared" si="506"/>
        <v>8.0892325396691334E-2</v>
      </c>
      <c r="HX550" s="25">
        <f>DA550</f>
        <v>20250</v>
      </c>
      <c r="HY550" s="25">
        <f>CY550</f>
        <v>6750</v>
      </c>
      <c r="HZ550" s="25">
        <f>CZ550</f>
        <v>8.6538461538461551</v>
      </c>
      <c r="IA550" s="25">
        <f>DA550</f>
        <v>20250</v>
      </c>
    </row>
    <row r="551" spans="1:235" s="63" customFormat="1" x14ac:dyDescent="0.25">
      <c r="A551" s="31">
        <v>549</v>
      </c>
      <c r="B551" s="65">
        <v>93</v>
      </c>
      <c r="C551" s="65">
        <v>111</v>
      </c>
      <c r="D551" s="63" t="s">
        <v>1386</v>
      </c>
      <c r="E551" s="65">
        <v>2</v>
      </c>
      <c r="F551" s="63" t="s">
        <v>777</v>
      </c>
      <c r="G551" s="63" t="s">
        <v>2380</v>
      </c>
      <c r="H551" s="63" t="s">
        <v>839</v>
      </c>
      <c r="I551" s="65">
        <v>2012</v>
      </c>
      <c r="J551" s="63" t="s">
        <v>1076</v>
      </c>
      <c r="K551" s="65" t="s">
        <v>593</v>
      </c>
      <c r="L551" s="63" t="s">
        <v>2381</v>
      </c>
      <c r="M551" s="63" t="s">
        <v>480</v>
      </c>
      <c r="N551" s="63" t="s">
        <v>520</v>
      </c>
      <c r="O551" s="31">
        <v>2</v>
      </c>
      <c r="P551" s="63">
        <v>35</v>
      </c>
      <c r="Q551" s="63">
        <v>114.4</v>
      </c>
      <c r="S551" s="63">
        <v>625</v>
      </c>
      <c r="T551" s="63">
        <v>14</v>
      </c>
      <c r="U551" s="63" t="s">
        <v>549</v>
      </c>
      <c r="V551" s="66">
        <v>1</v>
      </c>
      <c r="W551" s="63" t="s">
        <v>1153</v>
      </c>
      <c r="X551" s="63" t="s">
        <v>731</v>
      </c>
      <c r="Y551" s="1">
        <v>12</v>
      </c>
      <c r="Z551" s="63">
        <v>8.3000000000000007</v>
      </c>
      <c r="AA551" s="63" t="s">
        <v>574</v>
      </c>
      <c r="AB551" s="15">
        <f t="shared" si="489"/>
        <v>8.3000000000000007</v>
      </c>
      <c r="AC551" s="60">
        <v>6</v>
      </c>
      <c r="AD551" s="63">
        <v>11.2</v>
      </c>
      <c r="AJ551" s="63">
        <v>22.6</v>
      </c>
      <c r="AK551" s="63">
        <v>31.1</v>
      </c>
      <c r="AL551" s="63">
        <v>46.3</v>
      </c>
      <c r="AM551" s="65">
        <v>3</v>
      </c>
      <c r="AP551" s="63" t="s">
        <v>2378</v>
      </c>
      <c r="AQ551" s="1">
        <v>5</v>
      </c>
      <c r="AR551" s="65">
        <v>3</v>
      </c>
      <c r="CC551" s="63" t="s">
        <v>689</v>
      </c>
      <c r="CE551" s="63">
        <v>1130</v>
      </c>
      <c r="CF551" s="15">
        <f t="shared" si="520"/>
        <v>1130</v>
      </c>
      <c r="CG551" s="63" t="s">
        <v>766</v>
      </c>
      <c r="CH551" s="63">
        <v>10.5</v>
      </c>
      <c r="CI551" s="63">
        <v>500</v>
      </c>
      <c r="CK551" s="63">
        <v>515</v>
      </c>
      <c r="CL551" s="63">
        <v>10.3</v>
      </c>
      <c r="CM551" s="63">
        <v>40.1</v>
      </c>
      <c r="CO551" s="63">
        <v>60.4</v>
      </c>
      <c r="CP551" s="63">
        <v>10.1</v>
      </c>
      <c r="CQ551" s="63">
        <v>3.82</v>
      </c>
      <c r="CS551" s="63">
        <v>3.22</v>
      </c>
      <c r="CW551" s="63">
        <v>37.1</v>
      </c>
      <c r="CY551" s="25">
        <f t="shared" si="521"/>
        <v>1130</v>
      </c>
      <c r="CZ551" s="25">
        <f t="shared" si="522"/>
        <v>1.4487179487179487</v>
      </c>
      <c r="DA551" s="25">
        <f t="shared" si="523"/>
        <v>3390</v>
      </c>
      <c r="EZ551" s="63">
        <v>1.34</v>
      </c>
      <c r="FA551" s="63">
        <v>0.05</v>
      </c>
      <c r="FB551" s="15">
        <f>FA551*SQRT(AR551)</f>
        <v>8.6602540378443865E-2</v>
      </c>
      <c r="FC551" s="63">
        <v>1.2</v>
      </c>
      <c r="FD551" s="63">
        <v>0.05</v>
      </c>
      <c r="FE551" s="15">
        <f>FD551*SQRT(AR551)</f>
        <v>8.6602540378443865E-2</v>
      </c>
      <c r="FF551" s="63">
        <f t="shared" si="524"/>
        <v>0.89552238805970141</v>
      </c>
      <c r="FG551" s="63">
        <f t="shared" si="525"/>
        <v>-0.14000000000000012</v>
      </c>
      <c r="FH551" s="15">
        <f t="shared" si="526"/>
        <v>-0.11034805716886545</v>
      </c>
      <c r="FI551" s="15">
        <f>((FE551*FE551)/(AR551*FC551*FC551)+(FB551*FB551)/(AR551*EZ551*EZ551))</f>
        <v>3.1284033811044276E-3</v>
      </c>
      <c r="FJ551" s="15"/>
      <c r="FK551" s="16">
        <f t="shared" si="527"/>
        <v>8.32</v>
      </c>
      <c r="FL551" s="16">
        <f t="shared" si="528"/>
        <v>8.41</v>
      </c>
      <c r="FM551" s="63">
        <v>8.32</v>
      </c>
      <c r="FN551" s="63">
        <v>0.06</v>
      </c>
      <c r="FO551" s="15">
        <f>FN551*SQRT(AR551)</f>
        <v>0.10392304845413262</v>
      </c>
      <c r="FP551" s="63">
        <v>8.41</v>
      </c>
      <c r="FQ551" s="63">
        <v>0.06</v>
      </c>
      <c r="FR551" s="15">
        <f>FQ551*SQRT(AR551)</f>
        <v>0.10392304845413262</v>
      </c>
      <c r="FS551" s="63">
        <f t="shared" si="529"/>
        <v>1.0108173076923077</v>
      </c>
      <c r="FT551" s="63">
        <f t="shared" si="530"/>
        <v>8.9999999999999858E-2</v>
      </c>
      <c r="FU551" s="15">
        <f t="shared" si="531"/>
        <v>1.0759219151739163E-2</v>
      </c>
      <c r="FV551" s="15">
        <f>((FR551*FR551)/(AR551*FP551*FP551)+(FO551*FO551)/(AR551*FM551*FM551))</f>
        <v>1.0290543456291303E-4</v>
      </c>
      <c r="HE551" s="63">
        <v>7240</v>
      </c>
      <c r="HF551" s="63">
        <v>330</v>
      </c>
      <c r="HG551" s="15">
        <f>HF551*SQRT(AR241)</f>
        <v>571.57676649772952</v>
      </c>
      <c r="HH551" s="63">
        <v>7790</v>
      </c>
      <c r="HI551" s="63">
        <v>190</v>
      </c>
      <c r="HJ551" s="15">
        <f>HI551*SQRT(AR241)</f>
        <v>329.08965343808666</v>
      </c>
      <c r="HK551" s="63">
        <f t="shared" si="502"/>
        <v>1.0759668508287292</v>
      </c>
      <c r="HL551" s="15">
        <f t="shared" si="503"/>
        <v>550</v>
      </c>
      <c r="HM551" s="15">
        <f t="shared" si="504"/>
        <v>7.3219653485031344E-2</v>
      </c>
      <c r="HN551" s="15">
        <f>((HJ551*HJ551)/(AR241*HH551*HH551)+(HG551*HG551)/(AR241*HE551*HE551))</f>
        <v>2.6724304705608506E-3</v>
      </c>
      <c r="HP551" s="63" t="s">
        <v>766</v>
      </c>
      <c r="HV551" s="15">
        <f t="shared" si="505"/>
        <v>462.9904456858751</v>
      </c>
      <c r="HW551" s="15">
        <f t="shared" si="506"/>
        <v>7.3219653485031344E-2</v>
      </c>
      <c r="HX551" s="25">
        <f>DA551</f>
        <v>3390</v>
      </c>
      <c r="HY551" s="25">
        <f>CY551</f>
        <v>1130</v>
      </c>
      <c r="HZ551" s="25">
        <f>CZ551</f>
        <v>1.4487179487179487</v>
      </c>
      <c r="IA551" s="25">
        <f>DA551</f>
        <v>3390</v>
      </c>
    </row>
    <row r="552" spans="1:235" s="15" customFormat="1" ht="14.4" x14ac:dyDescent="0.25">
      <c r="A552" s="31">
        <v>550</v>
      </c>
      <c r="B552" s="1">
        <v>94</v>
      </c>
      <c r="C552" s="65">
        <v>112</v>
      </c>
      <c r="D552" s="63" t="s">
        <v>1388</v>
      </c>
      <c r="E552" s="65">
        <v>1</v>
      </c>
      <c r="F552" s="15" t="s">
        <v>761</v>
      </c>
      <c r="G552" s="15" t="s">
        <v>1387</v>
      </c>
      <c r="H552" s="15" t="s">
        <v>806</v>
      </c>
      <c r="I552" s="65">
        <v>2021</v>
      </c>
      <c r="J552" s="15" t="s">
        <v>1392</v>
      </c>
      <c r="K552" s="1">
        <v>2020</v>
      </c>
      <c r="L552" s="15" t="s">
        <v>1391</v>
      </c>
      <c r="M552" s="63" t="s">
        <v>480</v>
      </c>
      <c r="N552" s="63" t="s">
        <v>520</v>
      </c>
      <c r="O552" s="31">
        <v>2</v>
      </c>
      <c r="P552" s="15">
        <v>25.72</v>
      </c>
      <c r="Q552" s="15">
        <v>119.38</v>
      </c>
      <c r="R552" s="15">
        <v>109</v>
      </c>
      <c r="S552" s="15">
        <v>1500</v>
      </c>
      <c r="T552" s="15">
        <v>20.100000000000001</v>
      </c>
      <c r="U552" s="63" t="s">
        <v>549</v>
      </c>
      <c r="V552" s="66">
        <v>1</v>
      </c>
      <c r="W552" s="16" t="s">
        <v>1158</v>
      </c>
      <c r="X552" s="15" t="s">
        <v>1393</v>
      </c>
      <c r="Y552" s="1">
        <v>4</v>
      </c>
      <c r="Z552" s="15">
        <v>5.19</v>
      </c>
      <c r="AA552" s="63" t="s">
        <v>574</v>
      </c>
      <c r="AB552" s="15">
        <f t="shared" si="489"/>
        <v>5.19</v>
      </c>
      <c r="AC552" s="1">
        <v>3</v>
      </c>
      <c r="AD552" s="15">
        <v>47.5</v>
      </c>
      <c r="AK552" s="15" t="s">
        <v>1519</v>
      </c>
      <c r="AM552" s="1">
        <v>2</v>
      </c>
      <c r="AP552" s="15" t="s">
        <v>1395</v>
      </c>
      <c r="AQ552" s="1">
        <v>2</v>
      </c>
      <c r="AR552" s="65">
        <v>3</v>
      </c>
      <c r="AS552" s="15">
        <v>9.5</v>
      </c>
      <c r="AT552" s="15" t="s">
        <v>545</v>
      </c>
      <c r="AU552" s="15">
        <v>45</v>
      </c>
      <c r="AW552" s="15">
        <v>1500</v>
      </c>
      <c r="AX552" s="15">
        <f>AW552*1.78</f>
        <v>2670</v>
      </c>
      <c r="AY552" s="15" t="s">
        <v>766</v>
      </c>
      <c r="AZ552" s="15">
        <f t="shared" ref="AZ552:AZ615" si="532">AX552</f>
        <v>2670</v>
      </c>
      <c r="BA552" s="15">
        <f t="shared" ref="BA552:BA615" si="533">AZ552/2.93/1000</f>
        <v>0.9112627986348123</v>
      </c>
      <c r="BB552" s="15">
        <f t="shared" ref="BB552:BB615" si="534">AZ552*0.6</f>
        <v>1602</v>
      </c>
      <c r="BP552" s="16"/>
      <c r="BQ552" s="16"/>
      <c r="BR552" s="16"/>
      <c r="BU552" s="16"/>
      <c r="EZ552" s="16"/>
      <c r="FA552" s="16"/>
      <c r="FB552" s="16"/>
      <c r="FC552" s="16"/>
      <c r="FD552" s="16"/>
      <c r="FE552" s="16"/>
      <c r="FF552" s="16"/>
      <c r="FG552" s="16"/>
      <c r="FH552" s="16"/>
      <c r="FI552" s="16"/>
      <c r="FJ552" s="16"/>
      <c r="FK552" s="16">
        <f t="shared" si="527"/>
        <v>5.21</v>
      </c>
      <c r="FL552" s="16">
        <f t="shared" si="528"/>
        <v>5.98</v>
      </c>
      <c r="FM552" s="15">
        <v>5.21</v>
      </c>
      <c r="FN552" s="15">
        <f t="shared" ref="FN552:FN582" si="535">FM552*0.05</f>
        <v>0.26050000000000001</v>
      </c>
      <c r="FO552" s="15">
        <f>FN552*SQRT(AR552)</f>
        <v>0.45119923537169254</v>
      </c>
      <c r="FP552" s="15">
        <v>5.98</v>
      </c>
      <c r="FQ552" s="15">
        <f t="shared" ref="FQ552:FQ582" si="536">FP552*0.05</f>
        <v>0.29900000000000004</v>
      </c>
      <c r="FR552" s="15">
        <f>FQ552*SQRT(AR552)</f>
        <v>0.51788319146309436</v>
      </c>
      <c r="FS552" s="15">
        <f t="shared" si="529"/>
        <v>1.1477927063339732</v>
      </c>
      <c r="FT552" s="15">
        <f t="shared" si="530"/>
        <v>0.77000000000000046</v>
      </c>
      <c r="FU552" s="15">
        <f t="shared" si="531"/>
        <v>0.1378407121972649</v>
      </c>
      <c r="FV552" s="15">
        <f>((FR552*FR552)/(AR552*FP552*FP552)+(FO552*FO552)/(AR552*FM552*FM552))</f>
        <v>5.0000000000000001E-3</v>
      </c>
      <c r="FX552" s="15">
        <v>41.2</v>
      </c>
      <c r="FY552" s="15">
        <f>FX552*0.05</f>
        <v>2.06</v>
      </c>
      <c r="FZ552" s="15">
        <f>FY552*SQRT(AR552)</f>
        <v>3.5680246635918871</v>
      </c>
      <c r="GA552" s="15">
        <v>35</v>
      </c>
      <c r="GB552" s="15">
        <f>GA552*0.05</f>
        <v>1.75</v>
      </c>
      <c r="GC552" s="15">
        <f>GB552*SQRT(AR552)</f>
        <v>3.0310889132455352</v>
      </c>
      <c r="GD552" s="15">
        <f>GA552/FX552</f>
        <v>0.84951456310679607</v>
      </c>
      <c r="GE552" s="15">
        <f>GA552-FX552</f>
        <v>-6.2000000000000028</v>
      </c>
      <c r="GF552" s="15">
        <f>LN(GA552)-LN(FX552)</f>
        <v>-0.16309019486606724</v>
      </c>
      <c r="GG552" s="15">
        <f>((GC552*GC552)/(AR552*GA552*GA552)+(FZ552*FZ552)/(AR552*FX552*FX552))</f>
        <v>4.9999999999999992E-3</v>
      </c>
      <c r="HE552" s="15">
        <f>2599*15</f>
        <v>38985</v>
      </c>
      <c r="HF552" s="15">
        <f t="shared" ref="HF552:HF615" si="537">HE552*0.05</f>
        <v>1949.25</v>
      </c>
      <c r="HG552" s="15">
        <f>HF552*SQRT(AR242)</f>
        <v>3376.200036653634</v>
      </c>
      <c r="HH552" s="15">
        <f>2663*15</f>
        <v>39945</v>
      </c>
      <c r="HI552" s="15">
        <f t="shared" ref="HI552:HI615" si="538">HH552*0.05</f>
        <v>1997.25</v>
      </c>
      <c r="HJ552" s="15">
        <f>HI552*SQRT(AR242)</f>
        <v>3459.3384754169401</v>
      </c>
      <c r="HK552" s="63">
        <f t="shared" si="502"/>
        <v>1.0246248557137361</v>
      </c>
      <c r="HL552" s="15">
        <f t="shared" si="503"/>
        <v>960</v>
      </c>
      <c r="HM552" s="15">
        <f t="shared" si="504"/>
        <v>2.4326551172441313E-2</v>
      </c>
      <c r="HN552" s="15">
        <f>((HJ552*HJ552)/(AR242*HH552*HH552)+(HG552*HG552)/(AR242*HE552*HE552))</f>
        <v>5.0000000000000001E-3</v>
      </c>
      <c r="HP552" s="63" t="s">
        <v>766</v>
      </c>
      <c r="HV552" s="15">
        <f t="shared" si="505"/>
        <v>658.53971187450895</v>
      </c>
      <c r="HW552" s="15">
        <f t="shared" si="506"/>
        <v>2.4326551172441313E-2</v>
      </c>
      <c r="HX552" s="15">
        <f>BB552</f>
        <v>1602</v>
      </c>
      <c r="HY552" s="15">
        <f>AZ552</f>
        <v>2670</v>
      </c>
      <c r="HZ552" s="15">
        <f>BA552</f>
        <v>0.9112627986348123</v>
      </c>
      <c r="IA552" s="15">
        <f>BB552</f>
        <v>1602</v>
      </c>
    </row>
    <row r="553" spans="1:235" s="15" customFormat="1" ht="14.4" x14ac:dyDescent="0.25">
      <c r="A553" s="31">
        <v>551</v>
      </c>
      <c r="B553" s="1">
        <v>94</v>
      </c>
      <c r="C553" s="65">
        <v>112</v>
      </c>
      <c r="D553" s="63" t="s">
        <v>1389</v>
      </c>
      <c r="E553" s="65">
        <v>1</v>
      </c>
      <c r="F553" s="15" t="s">
        <v>761</v>
      </c>
      <c r="G553" s="15" t="s">
        <v>1387</v>
      </c>
      <c r="H553" s="15" t="s">
        <v>806</v>
      </c>
      <c r="I553" s="65">
        <v>2021</v>
      </c>
      <c r="J553" s="15" t="s">
        <v>1392</v>
      </c>
      <c r="K553" s="1">
        <v>2020</v>
      </c>
      <c r="L553" s="15" t="s">
        <v>1391</v>
      </c>
      <c r="M553" s="63" t="s">
        <v>480</v>
      </c>
      <c r="N553" s="63" t="s">
        <v>520</v>
      </c>
      <c r="O553" s="31">
        <v>2</v>
      </c>
      <c r="P553" s="15">
        <v>25.72</v>
      </c>
      <c r="Q553" s="15">
        <v>119.38</v>
      </c>
      <c r="R553" s="15">
        <v>109</v>
      </c>
      <c r="S553" s="15">
        <v>1500</v>
      </c>
      <c r="T553" s="15">
        <v>20.100000000000001</v>
      </c>
      <c r="U553" s="63" t="s">
        <v>549</v>
      </c>
      <c r="V553" s="66">
        <v>1</v>
      </c>
      <c r="W553" s="16" t="s">
        <v>1158</v>
      </c>
      <c r="X553" s="15" t="s">
        <v>1393</v>
      </c>
      <c r="Y553" s="1">
        <v>4</v>
      </c>
      <c r="Z553" s="15">
        <v>5.19</v>
      </c>
      <c r="AA553" s="63" t="s">
        <v>574</v>
      </c>
      <c r="AB553" s="15">
        <f t="shared" si="489"/>
        <v>5.19</v>
      </c>
      <c r="AC553" s="1">
        <v>3</v>
      </c>
      <c r="AD553" s="15">
        <v>47.5</v>
      </c>
      <c r="AK553" s="15" t="s">
        <v>1519</v>
      </c>
      <c r="AM553" s="1">
        <v>2</v>
      </c>
      <c r="AP553" s="15" t="s">
        <v>1395</v>
      </c>
      <c r="AQ553" s="1">
        <v>2</v>
      </c>
      <c r="AR553" s="65">
        <v>3</v>
      </c>
      <c r="AS553" s="15">
        <v>9.5</v>
      </c>
      <c r="AT553" s="15" t="s">
        <v>545</v>
      </c>
      <c r="AU553" s="15">
        <v>45</v>
      </c>
      <c r="AW553" s="15">
        <v>3000</v>
      </c>
      <c r="AX553" s="15">
        <f>AW553*1.78</f>
        <v>5340</v>
      </c>
      <c r="AY553" s="15" t="s">
        <v>766</v>
      </c>
      <c r="AZ553" s="15">
        <f t="shared" si="532"/>
        <v>5340</v>
      </c>
      <c r="BA553" s="15">
        <f t="shared" si="533"/>
        <v>1.8225255972696246</v>
      </c>
      <c r="BB553" s="15">
        <f t="shared" si="534"/>
        <v>3204</v>
      </c>
      <c r="BP553" s="16"/>
      <c r="BQ553" s="16"/>
      <c r="BR553" s="16"/>
      <c r="BU553" s="16"/>
      <c r="EZ553" s="16"/>
      <c r="FA553" s="16"/>
      <c r="FB553" s="16"/>
      <c r="FC553" s="16"/>
      <c r="FD553" s="16"/>
      <c r="FE553" s="16"/>
      <c r="FF553" s="16"/>
      <c r="FG553" s="16"/>
      <c r="FH553" s="16"/>
      <c r="FI553" s="16"/>
      <c r="FJ553" s="16"/>
      <c r="FK553" s="16">
        <f t="shared" si="527"/>
        <v>5.21</v>
      </c>
      <c r="FL553" s="16">
        <f t="shared" si="528"/>
        <v>6.3</v>
      </c>
      <c r="FM553" s="15">
        <v>5.21</v>
      </c>
      <c r="FN553" s="15">
        <f t="shared" si="535"/>
        <v>0.26050000000000001</v>
      </c>
      <c r="FO553" s="15">
        <f>FN553*SQRT(AR553)</f>
        <v>0.45119923537169254</v>
      </c>
      <c r="FP553" s="15">
        <v>6.3</v>
      </c>
      <c r="FQ553" s="15">
        <f t="shared" si="536"/>
        <v>0.315</v>
      </c>
      <c r="FR553" s="15">
        <f>FQ553*SQRT(AR553)</f>
        <v>0.54559600438419631</v>
      </c>
      <c r="FS553" s="15">
        <f t="shared" si="529"/>
        <v>1.2092130518234165</v>
      </c>
      <c r="FT553" s="15">
        <f t="shared" si="530"/>
        <v>1.0899999999999999</v>
      </c>
      <c r="FU553" s="15">
        <f t="shared" si="531"/>
        <v>0.18996977763221135</v>
      </c>
      <c r="FV553" s="15">
        <f>((FR553*FR553)/(AR553*FP553*FP553)+(FO553*FO553)/(AR553*FM553*FM553))</f>
        <v>5.0000000000000001E-3</v>
      </c>
      <c r="FX553" s="15">
        <v>41.2</v>
      </c>
      <c r="FY553" s="15">
        <f>FX553*0.05</f>
        <v>2.06</v>
      </c>
      <c r="FZ553" s="15">
        <f>FY553*SQRT(AR553)</f>
        <v>3.5680246635918871</v>
      </c>
      <c r="GA553" s="15">
        <v>37.4</v>
      </c>
      <c r="GB553" s="15">
        <f>GA553*0.05</f>
        <v>1.87</v>
      </c>
      <c r="GC553" s="15">
        <f>GB553*SQRT(AR553)</f>
        <v>3.2389350101538006</v>
      </c>
      <c r="GD553" s="15">
        <f>GA553/FX553</f>
        <v>0.90776699029126207</v>
      </c>
      <c r="GE553" s="15">
        <f>GA553-FX553</f>
        <v>-3.8000000000000043</v>
      </c>
      <c r="GF553" s="15">
        <f>LN(GA553)-LN(FX553)</f>
        <v>-9.6767551934994422E-2</v>
      </c>
      <c r="GG553" s="15">
        <f>((GC553*GC553)/(AR553*GA553*GA553)+(FZ553*FZ553)/(AR553*FX553*FX553))</f>
        <v>4.9999999999999992E-3</v>
      </c>
      <c r="HE553" s="15">
        <f>2599*15</f>
        <v>38985</v>
      </c>
      <c r="HF553" s="15">
        <f t="shared" si="537"/>
        <v>1949.25</v>
      </c>
      <c r="HG553" s="15">
        <f>HF553*SQRT(AR243)</f>
        <v>3376.200036653634</v>
      </c>
      <c r="HH553" s="15">
        <f>2726.9*15</f>
        <v>40903.5</v>
      </c>
      <c r="HI553" s="15">
        <f t="shared" si="538"/>
        <v>2045.1750000000002</v>
      </c>
      <c r="HJ553" s="15">
        <f>HI553*SQRT(AR243)</f>
        <v>3542.3470103696786</v>
      </c>
      <c r="HK553" s="63">
        <f t="shared" si="502"/>
        <v>1.0492112350904195</v>
      </c>
      <c r="HL553" s="15">
        <f t="shared" si="503"/>
        <v>1918.5</v>
      </c>
      <c r="HM553" s="15">
        <f t="shared" si="504"/>
        <v>4.8038677198023905E-2</v>
      </c>
      <c r="HN553" s="15">
        <f>((HJ553*HJ553)/(AR243*HH553*HH553)+(HG553*HG553)/(AR243*HE553*HE553))</f>
        <v>5.0000000000000001E-3</v>
      </c>
      <c r="HP553" s="63" t="s">
        <v>766</v>
      </c>
      <c r="HV553" s="15">
        <f t="shared" si="505"/>
        <v>666.96257825596376</v>
      </c>
      <c r="HW553" s="15">
        <f t="shared" si="506"/>
        <v>4.8038677198023905E-2</v>
      </c>
      <c r="HX553" s="15">
        <f>BB553</f>
        <v>3204</v>
      </c>
      <c r="HY553" s="15">
        <f>AZ553</f>
        <v>5340</v>
      </c>
      <c r="HZ553" s="15">
        <f>BA553</f>
        <v>1.8225255972696246</v>
      </c>
      <c r="IA553" s="15">
        <f>BB553</f>
        <v>3204</v>
      </c>
    </row>
    <row r="554" spans="1:235" s="15" customFormat="1" ht="14.4" x14ac:dyDescent="0.25">
      <c r="A554" s="31">
        <v>552</v>
      </c>
      <c r="B554" s="1">
        <v>94</v>
      </c>
      <c r="C554" s="65">
        <v>112</v>
      </c>
      <c r="D554" s="63" t="s">
        <v>1390</v>
      </c>
      <c r="E554" s="65">
        <v>1</v>
      </c>
      <c r="F554" s="15" t="s">
        <v>761</v>
      </c>
      <c r="G554" s="15" t="s">
        <v>1387</v>
      </c>
      <c r="H554" s="15" t="s">
        <v>806</v>
      </c>
      <c r="I554" s="65">
        <v>2021</v>
      </c>
      <c r="J554" s="15" t="s">
        <v>1392</v>
      </c>
      <c r="K554" s="1">
        <v>2020</v>
      </c>
      <c r="L554" s="15" t="s">
        <v>1391</v>
      </c>
      <c r="M554" s="63" t="s">
        <v>480</v>
      </c>
      <c r="N554" s="63" t="s">
        <v>520</v>
      </c>
      <c r="O554" s="31">
        <v>2</v>
      </c>
      <c r="P554" s="15">
        <v>25.72</v>
      </c>
      <c r="Q554" s="15">
        <v>119.38</v>
      </c>
      <c r="R554" s="15">
        <v>109</v>
      </c>
      <c r="S554" s="15">
        <v>1500</v>
      </c>
      <c r="T554" s="15">
        <v>20.100000000000001</v>
      </c>
      <c r="U554" s="63" t="s">
        <v>549</v>
      </c>
      <c r="V554" s="66">
        <v>1</v>
      </c>
      <c r="W554" s="16" t="s">
        <v>1158</v>
      </c>
      <c r="X554" s="15" t="s">
        <v>1393</v>
      </c>
      <c r="Y554" s="1">
        <v>4</v>
      </c>
      <c r="Z554" s="15">
        <v>5.19</v>
      </c>
      <c r="AA554" s="63" t="s">
        <v>574</v>
      </c>
      <c r="AB554" s="15">
        <f t="shared" si="489"/>
        <v>5.19</v>
      </c>
      <c r="AC554" s="1">
        <v>3</v>
      </c>
      <c r="AD554" s="15">
        <v>47.5</v>
      </c>
      <c r="AK554" s="69" t="s">
        <v>1394</v>
      </c>
      <c r="AM554" s="1">
        <v>2</v>
      </c>
      <c r="AP554" s="15" t="s">
        <v>1395</v>
      </c>
      <c r="AQ554" s="1">
        <v>2</v>
      </c>
      <c r="AR554" s="65">
        <v>3</v>
      </c>
      <c r="AS554" s="15">
        <v>9.5</v>
      </c>
      <c r="AT554" s="15" t="s">
        <v>545</v>
      </c>
      <c r="AU554" s="15">
        <v>45</v>
      </c>
      <c r="AW554" s="15">
        <v>4500</v>
      </c>
      <c r="AX554" s="15">
        <f>AW554*1.78</f>
        <v>8010</v>
      </c>
      <c r="AY554" s="15" t="s">
        <v>766</v>
      </c>
      <c r="AZ554" s="15">
        <f t="shared" si="532"/>
        <v>8010</v>
      </c>
      <c r="BA554" s="15">
        <f t="shared" si="533"/>
        <v>2.7337883959044365</v>
      </c>
      <c r="BB554" s="15">
        <f t="shared" si="534"/>
        <v>4806</v>
      </c>
      <c r="BP554" s="16"/>
      <c r="BQ554" s="16"/>
      <c r="BR554" s="16"/>
      <c r="BU554" s="16"/>
      <c r="EZ554" s="16"/>
      <c r="FA554" s="16"/>
      <c r="FB554" s="16"/>
      <c r="FC554" s="16"/>
      <c r="FD554" s="16"/>
      <c r="FE554" s="16"/>
      <c r="FF554" s="16"/>
      <c r="FG554" s="16"/>
      <c r="FH554" s="16"/>
      <c r="FI554" s="16"/>
      <c r="FJ554" s="16"/>
      <c r="FK554" s="16">
        <f t="shared" si="527"/>
        <v>5.21</v>
      </c>
      <c r="FL554" s="16">
        <f t="shared" si="528"/>
        <v>6.73</v>
      </c>
      <c r="FM554" s="15">
        <v>5.21</v>
      </c>
      <c r="FN554" s="15">
        <f t="shared" si="535"/>
        <v>0.26050000000000001</v>
      </c>
      <c r="FO554" s="15">
        <f>FN554*SQRT(AR554)</f>
        <v>0.45119923537169254</v>
      </c>
      <c r="FP554" s="15">
        <v>6.73</v>
      </c>
      <c r="FQ554" s="15">
        <f t="shared" si="536"/>
        <v>0.33650000000000002</v>
      </c>
      <c r="FR554" s="15">
        <f>FQ554*SQRT(AR554)</f>
        <v>0.58283509674692724</v>
      </c>
      <c r="FS554" s="15">
        <f t="shared" si="529"/>
        <v>1.2917466410748562</v>
      </c>
      <c r="FT554" s="15">
        <f t="shared" si="530"/>
        <v>1.5200000000000005</v>
      </c>
      <c r="FU554" s="15">
        <f t="shared" si="531"/>
        <v>0.25599528789136095</v>
      </c>
      <c r="FV554" s="15">
        <f>((FR554*FR554)/(AR554*FP554*FP554)+(FO554*FO554)/(AR554*FM554*FM554))</f>
        <v>5.0000000000000001E-3</v>
      </c>
      <c r="FX554" s="15">
        <v>41.2</v>
      </c>
      <c r="FY554" s="15">
        <f>FX554*0.05</f>
        <v>2.06</v>
      </c>
      <c r="FZ554" s="15">
        <f>FY554*SQRT(AR554)</f>
        <v>3.5680246635918871</v>
      </c>
      <c r="GA554" s="15">
        <v>39</v>
      </c>
      <c r="GB554" s="15">
        <f>GA554*0.05</f>
        <v>1.9500000000000002</v>
      </c>
      <c r="GC554" s="15">
        <f>GB554*SQRT(AR554)</f>
        <v>3.377499074759311</v>
      </c>
      <c r="GD554" s="15">
        <f>GA554/FX554</f>
        <v>0.94660194174757273</v>
      </c>
      <c r="GE554" s="15">
        <f>GA554-FX554</f>
        <v>-2.2000000000000028</v>
      </c>
      <c r="GF554" s="15">
        <f>LN(GA554)-LN(FX554)</f>
        <v>-5.4876610225834455E-2</v>
      </c>
      <c r="GG554" s="15">
        <f>((GC554*GC554)/(AR554*GA554*GA554)+(FZ554*FZ554)/(AR554*FX554*FX554))</f>
        <v>5.0000000000000001E-3</v>
      </c>
      <c r="HE554" s="15">
        <f>2599*15</f>
        <v>38985</v>
      </c>
      <c r="HF554" s="15">
        <f t="shared" si="537"/>
        <v>1949.25</v>
      </c>
      <c r="HG554" s="15">
        <f>HF554*SQRT(AR244)</f>
        <v>3376.200036653634</v>
      </c>
      <c r="HH554" s="15">
        <f>2698*15</f>
        <v>40470</v>
      </c>
      <c r="HI554" s="15">
        <f t="shared" si="538"/>
        <v>2023.5</v>
      </c>
      <c r="HJ554" s="15">
        <f>HI554*SQRT(AR244)</f>
        <v>3504.8048091156229</v>
      </c>
      <c r="HK554" s="63">
        <f t="shared" si="502"/>
        <v>1.0380915736821854</v>
      </c>
      <c r="HL554" s="15">
        <f t="shared" si="503"/>
        <v>1485</v>
      </c>
      <c r="HM554" s="15">
        <f t="shared" si="504"/>
        <v>3.7384002126209737E-2</v>
      </c>
      <c r="HN554" s="15">
        <f>((HJ554*HJ554)/(AR244*HH554*HH554)+(HG554*HG554)/(AR244*HE554*HE554))</f>
        <v>4.9999999999999992E-3</v>
      </c>
      <c r="HP554" s="63" t="s">
        <v>766</v>
      </c>
      <c r="HV554" s="15">
        <f t="shared" si="505"/>
        <v>1285.5766441952285</v>
      </c>
      <c r="HW554" s="15">
        <f t="shared" si="506"/>
        <v>3.7384002126209737E-2</v>
      </c>
      <c r="HX554" s="15">
        <f>BB554</f>
        <v>4806</v>
      </c>
      <c r="HY554" s="15">
        <f>AZ554</f>
        <v>8010</v>
      </c>
      <c r="HZ554" s="15">
        <f>BA554</f>
        <v>2.7337883959044365</v>
      </c>
      <c r="IA554" s="15">
        <f>BB554</f>
        <v>4806</v>
      </c>
    </row>
    <row r="555" spans="1:235" s="15" customFormat="1" x14ac:dyDescent="0.25">
      <c r="A555" s="31">
        <v>553</v>
      </c>
      <c r="B555" s="1">
        <v>95</v>
      </c>
      <c r="C555" s="1">
        <v>113</v>
      </c>
      <c r="D555" s="15" t="s">
        <v>1396</v>
      </c>
      <c r="E555" s="1">
        <v>1</v>
      </c>
      <c r="F555" s="15" t="s">
        <v>761</v>
      </c>
      <c r="G555" s="15" t="s">
        <v>1427</v>
      </c>
      <c r="H555" s="15" t="s">
        <v>1428</v>
      </c>
      <c r="I555" s="1">
        <v>2004</v>
      </c>
      <c r="J555" s="15" t="s">
        <v>1263</v>
      </c>
      <c r="K555" s="1" t="s">
        <v>1429</v>
      </c>
      <c r="L555" s="15" t="s">
        <v>1362</v>
      </c>
      <c r="M555" s="15" t="s">
        <v>480</v>
      </c>
      <c r="N555" s="15" t="s">
        <v>520</v>
      </c>
      <c r="O555" s="31">
        <v>2</v>
      </c>
      <c r="P555" s="15">
        <v>29.17</v>
      </c>
      <c r="Q555" s="15">
        <v>119.18</v>
      </c>
      <c r="S555" s="15">
        <v>1333</v>
      </c>
      <c r="T555" s="15">
        <v>17.100000000000001</v>
      </c>
      <c r="U555" s="15" t="s">
        <v>549</v>
      </c>
      <c r="V555" s="31">
        <v>1</v>
      </c>
      <c r="W555" s="15" t="s">
        <v>1430</v>
      </c>
      <c r="X555" s="15" t="s">
        <v>1147</v>
      </c>
      <c r="Y555" s="1">
        <v>5</v>
      </c>
      <c r="Z555" s="15">
        <v>4.8600000000000003</v>
      </c>
      <c r="AA555" s="15" t="s">
        <v>574</v>
      </c>
      <c r="AB555" s="15">
        <f t="shared" si="489"/>
        <v>4.8600000000000003</v>
      </c>
      <c r="AC555" s="1">
        <v>2</v>
      </c>
      <c r="AD555" s="15">
        <v>3.3</v>
      </c>
      <c r="AF555" s="15">
        <v>5.76</v>
      </c>
      <c r="AH555" s="15">
        <v>6</v>
      </c>
      <c r="AJ555" s="15">
        <v>44.2</v>
      </c>
      <c r="AM555" s="1">
        <v>1</v>
      </c>
      <c r="AP555" s="15" t="s">
        <v>1431</v>
      </c>
      <c r="AQ555" s="1">
        <v>1</v>
      </c>
      <c r="AR555" s="1">
        <v>3</v>
      </c>
      <c r="AT555" s="15" t="s">
        <v>576</v>
      </c>
      <c r="AW555" s="15">
        <v>3750</v>
      </c>
      <c r="AX555" s="15">
        <f t="shared" ref="AX555:AX618" si="539">AW555</f>
        <v>3750</v>
      </c>
      <c r="AY555" s="15" t="s">
        <v>766</v>
      </c>
      <c r="AZ555" s="15">
        <f t="shared" si="532"/>
        <v>3750</v>
      </c>
      <c r="BA555" s="15">
        <f t="shared" si="533"/>
        <v>1.2798634812286689</v>
      </c>
      <c r="BB555" s="15">
        <f t="shared" si="534"/>
        <v>2250</v>
      </c>
      <c r="FK555" s="16">
        <f t="shared" si="527"/>
        <v>4.96</v>
      </c>
      <c r="FL555" s="16">
        <f t="shared" si="528"/>
        <v>6.29</v>
      </c>
      <c r="FM555" s="15">
        <v>4.96</v>
      </c>
      <c r="FN555" s="15">
        <f t="shared" si="535"/>
        <v>0.248</v>
      </c>
      <c r="FO555" s="15">
        <f>FN555*SQRT(AR555)</f>
        <v>0.42954860027708153</v>
      </c>
      <c r="FP555" s="15">
        <v>6.29</v>
      </c>
      <c r="FQ555" s="15">
        <f t="shared" si="536"/>
        <v>0.3145</v>
      </c>
      <c r="FR555" s="15">
        <f>FQ555*SQRT(AR555)</f>
        <v>0.54472997898041187</v>
      </c>
      <c r="FS555" s="15">
        <f t="shared" si="529"/>
        <v>1.2681451612903225</v>
      </c>
      <c r="FT555" s="15">
        <f t="shared" si="530"/>
        <v>1.33</v>
      </c>
      <c r="FU555" s="15">
        <f t="shared" si="531"/>
        <v>0.2375553299755131</v>
      </c>
      <c r="FV555" s="15">
        <f>((FR555*FR555)/(AR555*FP555*FP555)+(FO555*FO555)/(AR555*FM555*FM555))</f>
        <v>4.9999999999999984E-3</v>
      </c>
      <c r="HE555" s="15">
        <v>780</v>
      </c>
      <c r="HF555" s="15">
        <f t="shared" si="537"/>
        <v>39</v>
      </c>
      <c r="HG555" s="15">
        <f>HF555*SQRT(AR245)</f>
        <v>67.549981495186216</v>
      </c>
      <c r="HH555" s="15">
        <v>860</v>
      </c>
      <c r="HI555" s="15">
        <f t="shared" si="538"/>
        <v>43</v>
      </c>
      <c r="HJ555" s="15">
        <f>HI555*SQRT(AR245)</f>
        <v>74.478184725461716</v>
      </c>
      <c r="HK555" s="15">
        <f t="shared" si="502"/>
        <v>1.1025641025641026</v>
      </c>
      <c r="HL555" s="15">
        <f t="shared" si="503"/>
        <v>80</v>
      </c>
      <c r="HM555" s="15">
        <f t="shared" si="504"/>
        <v>9.7638469563915642E-2</v>
      </c>
      <c r="HN555" s="15">
        <f>((HJ555*HJ555)/(AR245*HH555*HH555)+(HG555*HG555)/(AR245*HE555*HE555))</f>
        <v>4.9999999999999992E-3</v>
      </c>
      <c r="HP555" s="15" t="s">
        <v>766</v>
      </c>
      <c r="HV555" s="15">
        <f t="shared" si="505"/>
        <v>230.44195695090403</v>
      </c>
      <c r="HW555" s="15">
        <f t="shared" si="506"/>
        <v>9.7638469563915642E-2</v>
      </c>
      <c r="HX555" s="15">
        <f>BB555</f>
        <v>2250</v>
      </c>
      <c r="HY555" s="15">
        <f>AZ555</f>
        <v>3750</v>
      </c>
      <c r="HZ555" s="15">
        <f>BA555</f>
        <v>1.2798634812286689</v>
      </c>
      <c r="IA555" s="15">
        <f>BB555</f>
        <v>2250</v>
      </c>
    </row>
    <row r="556" spans="1:235" s="15" customFormat="1" x14ac:dyDescent="0.25">
      <c r="A556" s="31">
        <v>554</v>
      </c>
      <c r="B556" s="1">
        <v>95</v>
      </c>
      <c r="C556" s="1">
        <v>113</v>
      </c>
      <c r="D556" s="15" t="s">
        <v>1397</v>
      </c>
      <c r="E556" s="1">
        <v>1</v>
      </c>
      <c r="F556" s="15" t="s">
        <v>761</v>
      </c>
      <c r="G556" s="15" t="s">
        <v>1427</v>
      </c>
      <c r="H556" s="15" t="s">
        <v>1428</v>
      </c>
      <c r="I556" s="1">
        <v>2004</v>
      </c>
      <c r="J556" s="15" t="s">
        <v>1263</v>
      </c>
      <c r="K556" s="1" t="s">
        <v>1429</v>
      </c>
      <c r="L556" s="15" t="s">
        <v>1362</v>
      </c>
      <c r="M556" s="15" t="s">
        <v>480</v>
      </c>
      <c r="N556" s="15" t="s">
        <v>520</v>
      </c>
      <c r="O556" s="31">
        <v>2</v>
      </c>
      <c r="P556" s="15">
        <v>29.17</v>
      </c>
      <c r="Q556" s="15">
        <v>119.18</v>
      </c>
      <c r="S556" s="15">
        <v>1333</v>
      </c>
      <c r="T556" s="15">
        <v>17.100000000000001</v>
      </c>
      <c r="U556" s="15" t="s">
        <v>549</v>
      </c>
      <c r="V556" s="31">
        <v>1</v>
      </c>
      <c r="W556" s="15" t="s">
        <v>1430</v>
      </c>
      <c r="X556" s="15" t="s">
        <v>1147</v>
      </c>
      <c r="Y556" s="1">
        <v>5</v>
      </c>
      <c r="Z556" s="15">
        <v>4.8600000000000003</v>
      </c>
      <c r="AA556" s="15" t="s">
        <v>574</v>
      </c>
      <c r="AB556" s="15">
        <f t="shared" si="489"/>
        <v>4.8600000000000003</v>
      </c>
      <c r="AC556" s="1">
        <v>2</v>
      </c>
      <c r="AD556" s="15">
        <v>3.3</v>
      </c>
      <c r="AF556" s="15">
        <v>5.76</v>
      </c>
      <c r="AH556" s="15">
        <v>6</v>
      </c>
      <c r="AJ556" s="15">
        <v>44.2</v>
      </c>
      <c r="AM556" s="1">
        <v>1</v>
      </c>
      <c r="AP556" s="15" t="s">
        <v>1431</v>
      </c>
      <c r="AQ556" s="1">
        <v>1</v>
      </c>
      <c r="AR556" s="1">
        <v>3</v>
      </c>
      <c r="AT556" s="15" t="s">
        <v>576</v>
      </c>
      <c r="AW556" s="15">
        <v>7500</v>
      </c>
      <c r="AX556" s="15">
        <f t="shared" si="539"/>
        <v>7500</v>
      </c>
      <c r="AY556" s="15" t="s">
        <v>766</v>
      </c>
      <c r="AZ556" s="15">
        <f t="shared" si="532"/>
        <v>7500</v>
      </c>
      <c r="BA556" s="15">
        <f t="shared" si="533"/>
        <v>2.5597269624573378</v>
      </c>
      <c r="BB556" s="15">
        <f t="shared" si="534"/>
        <v>4500</v>
      </c>
      <c r="FK556" s="16">
        <f t="shared" si="527"/>
        <v>4.96</v>
      </c>
      <c r="FL556" s="16">
        <f t="shared" si="528"/>
        <v>7.35</v>
      </c>
      <c r="FM556" s="15">
        <v>4.96</v>
      </c>
      <c r="FN556" s="15">
        <f t="shared" si="535"/>
        <v>0.248</v>
      </c>
      <c r="FO556" s="15">
        <f>FN556*SQRT(AR556)</f>
        <v>0.42954860027708153</v>
      </c>
      <c r="FP556" s="15">
        <v>7.35</v>
      </c>
      <c r="FQ556" s="15">
        <f t="shared" si="536"/>
        <v>0.36749999999999999</v>
      </c>
      <c r="FR556" s="15">
        <f>FQ556*SQRT(AR556)</f>
        <v>0.63652867178156236</v>
      </c>
      <c r="FS556" s="15">
        <f t="shared" si="529"/>
        <v>1.4818548387096773</v>
      </c>
      <c r="FT556" s="15">
        <f t="shared" si="530"/>
        <v>2.3899999999999997</v>
      </c>
      <c r="FU556" s="15">
        <f t="shared" si="531"/>
        <v>0.39329457248790911</v>
      </c>
      <c r="FV556" s="15">
        <f>((FR556*FR556)/(AR556*FP556*FP556)+(FO556*FO556)/(AR556*FM556*FM556))</f>
        <v>4.9999999999999992E-3</v>
      </c>
      <c r="HE556" s="15">
        <v>780</v>
      </c>
      <c r="HF556" s="15">
        <f t="shared" si="537"/>
        <v>39</v>
      </c>
      <c r="HG556" s="15">
        <f>HF556*SQRT(AR246)</f>
        <v>67.549981495186216</v>
      </c>
      <c r="HH556" s="15">
        <v>800</v>
      </c>
      <c r="HI556" s="15">
        <f t="shared" si="538"/>
        <v>40</v>
      </c>
      <c r="HJ556" s="15">
        <f>HI556*SQRT(AR246)</f>
        <v>69.282032302755084</v>
      </c>
      <c r="HK556" s="15">
        <f t="shared" si="502"/>
        <v>1.0256410256410255</v>
      </c>
      <c r="HL556" s="15">
        <f t="shared" si="503"/>
        <v>20</v>
      </c>
      <c r="HM556" s="15">
        <f t="shared" si="504"/>
        <v>2.5317807984289509E-2</v>
      </c>
      <c r="HN556" s="15">
        <f>((HJ556*HJ556)/(AR246*HH556*HH556)+(HG556*HG556)/(AR246*HE556*HE556))</f>
        <v>4.9999999999999992E-3</v>
      </c>
      <c r="HP556" s="15" t="s">
        <v>766</v>
      </c>
      <c r="HV556" s="15">
        <f t="shared" si="505"/>
        <v>1777.4050592343503</v>
      </c>
      <c r="HW556" s="15">
        <f t="shared" si="506"/>
        <v>2.5317807984289509E-2</v>
      </c>
      <c r="HX556" s="15">
        <f>BB556</f>
        <v>4500</v>
      </c>
      <c r="HY556" s="15">
        <f>AZ556</f>
        <v>7500</v>
      </c>
      <c r="HZ556" s="15">
        <f>BA556</f>
        <v>2.5597269624573378</v>
      </c>
      <c r="IA556" s="15">
        <f>BB556</f>
        <v>4500</v>
      </c>
    </row>
    <row r="557" spans="1:235" s="15" customFormat="1" x14ac:dyDescent="0.25">
      <c r="A557" s="31">
        <v>555</v>
      </c>
      <c r="B557" s="1">
        <v>95</v>
      </c>
      <c r="C557" s="1">
        <v>113</v>
      </c>
      <c r="D557" s="15" t="s">
        <v>1398</v>
      </c>
      <c r="E557" s="1">
        <v>1</v>
      </c>
      <c r="F557" s="15" t="s">
        <v>761</v>
      </c>
      <c r="G557" s="15" t="s">
        <v>1427</v>
      </c>
      <c r="H557" s="15" t="s">
        <v>1428</v>
      </c>
      <c r="I557" s="1">
        <v>2004</v>
      </c>
      <c r="J557" s="15" t="s">
        <v>1263</v>
      </c>
      <c r="K557" s="1" t="s">
        <v>1429</v>
      </c>
      <c r="L557" s="15" t="s">
        <v>1362</v>
      </c>
      <c r="M557" s="15" t="s">
        <v>480</v>
      </c>
      <c r="N557" s="15" t="s">
        <v>520</v>
      </c>
      <c r="O557" s="31">
        <v>2</v>
      </c>
      <c r="P557" s="15">
        <v>29.17</v>
      </c>
      <c r="Q557" s="15">
        <v>119.18</v>
      </c>
      <c r="S557" s="15">
        <v>1333</v>
      </c>
      <c r="T557" s="15">
        <v>17.100000000000001</v>
      </c>
      <c r="U557" s="15" t="s">
        <v>549</v>
      </c>
      <c r="V557" s="31">
        <v>1</v>
      </c>
      <c r="W557" s="15" t="s">
        <v>1430</v>
      </c>
      <c r="X557" s="15" t="s">
        <v>1147</v>
      </c>
      <c r="Y557" s="1">
        <v>5</v>
      </c>
      <c r="Z557" s="15">
        <v>4.8600000000000003</v>
      </c>
      <c r="AA557" s="15" t="s">
        <v>574</v>
      </c>
      <c r="AB557" s="15">
        <f t="shared" si="489"/>
        <v>4.8600000000000003</v>
      </c>
      <c r="AC557" s="1">
        <v>2</v>
      </c>
      <c r="AD557" s="15">
        <v>3.3</v>
      </c>
      <c r="AF557" s="15">
        <v>5.76</v>
      </c>
      <c r="AH557" s="15">
        <v>6</v>
      </c>
      <c r="AJ557" s="15">
        <v>44.2</v>
      </c>
      <c r="AM557" s="1">
        <v>1</v>
      </c>
      <c r="AP557" s="15" t="s">
        <v>1431</v>
      </c>
      <c r="AQ557" s="1">
        <v>1</v>
      </c>
      <c r="AR557" s="1">
        <v>3</v>
      </c>
      <c r="AT557" s="15" t="s">
        <v>576</v>
      </c>
      <c r="AW557" s="15">
        <v>11250</v>
      </c>
      <c r="AX557" s="15">
        <f t="shared" si="539"/>
        <v>11250</v>
      </c>
      <c r="AY557" s="15" t="s">
        <v>766</v>
      </c>
      <c r="AZ557" s="15">
        <f t="shared" si="532"/>
        <v>11250</v>
      </c>
      <c r="BA557" s="15">
        <f t="shared" si="533"/>
        <v>3.8395904436860064</v>
      </c>
      <c r="BB557" s="15">
        <f t="shared" si="534"/>
        <v>6750</v>
      </c>
      <c r="FK557" s="16">
        <f t="shared" si="527"/>
        <v>4.96</v>
      </c>
      <c r="FL557" s="16">
        <f t="shared" si="528"/>
        <v>7.81</v>
      </c>
      <c r="FM557" s="15">
        <v>4.96</v>
      </c>
      <c r="FN557" s="15">
        <f t="shared" si="535"/>
        <v>0.248</v>
      </c>
      <c r="FO557" s="15">
        <f>FN557*SQRT(AR557)</f>
        <v>0.42954860027708153</v>
      </c>
      <c r="FP557" s="15">
        <v>7.81</v>
      </c>
      <c r="FQ557" s="15">
        <f t="shared" si="536"/>
        <v>0.39050000000000001</v>
      </c>
      <c r="FR557" s="15">
        <f>FQ557*SQRT(AR557)</f>
        <v>0.67636584035564662</v>
      </c>
      <c r="FS557" s="15">
        <f t="shared" si="529"/>
        <v>1.5745967741935483</v>
      </c>
      <c r="FT557" s="15">
        <f t="shared" si="530"/>
        <v>2.8499999999999996</v>
      </c>
      <c r="FU557" s="15">
        <f t="shared" si="531"/>
        <v>0.45399922311475871</v>
      </c>
      <c r="FV557" s="15">
        <f>((FR557*FR557)/(AR557*FP557*FP557)+(FO557*FO557)/(AR557*FM557*FM557))</f>
        <v>4.9999999999999992E-3</v>
      </c>
      <c r="HE557" s="15">
        <v>780</v>
      </c>
      <c r="HF557" s="15">
        <f t="shared" si="537"/>
        <v>39</v>
      </c>
      <c r="HG557" s="15">
        <f>HF557*SQRT(AR247)</f>
        <v>67.549981495186216</v>
      </c>
      <c r="HH557" s="15">
        <v>800</v>
      </c>
      <c r="HI557" s="15">
        <f t="shared" si="538"/>
        <v>40</v>
      </c>
      <c r="HJ557" s="15">
        <f>HI557*SQRT(AR247)</f>
        <v>69.282032302755084</v>
      </c>
      <c r="HK557" s="15">
        <f t="shared" si="502"/>
        <v>1.0256410256410255</v>
      </c>
      <c r="HL557" s="15">
        <f t="shared" si="503"/>
        <v>20</v>
      </c>
      <c r="HM557" s="15">
        <f t="shared" si="504"/>
        <v>2.5317807984289509E-2</v>
      </c>
      <c r="HN557" s="15">
        <f>((HJ557*HJ557)/(AR247*HH557*HH557)+(HG557*HG557)/(AR247*HE557*HE557))</f>
        <v>4.9999999999999992E-3</v>
      </c>
      <c r="HP557" s="15" t="s">
        <v>766</v>
      </c>
      <c r="HV557" s="15">
        <f t="shared" si="505"/>
        <v>2666.1075888515252</v>
      </c>
      <c r="HW557" s="15">
        <f t="shared" ref="HW557:HW588" si="540">HM557</f>
        <v>2.5317807984289509E-2</v>
      </c>
      <c r="HX557" s="15">
        <f>BB557</f>
        <v>6750</v>
      </c>
      <c r="HY557" s="15">
        <f>AZ557</f>
        <v>11250</v>
      </c>
      <c r="HZ557" s="15">
        <f>BA557</f>
        <v>3.8395904436860064</v>
      </c>
      <c r="IA557" s="15">
        <f>BB557</f>
        <v>6750</v>
      </c>
    </row>
    <row r="558" spans="1:235" s="15" customFormat="1" x14ac:dyDescent="0.25">
      <c r="A558" s="31">
        <v>556</v>
      </c>
      <c r="B558" s="1">
        <v>95</v>
      </c>
      <c r="C558" s="1">
        <v>113</v>
      </c>
      <c r="D558" s="15" t="s">
        <v>1399</v>
      </c>
      <c r="E558" s="1">
        <v>1</v>
      </c>
      <c r="F558" s="15" t="s">
        <v>761</v>
      </c>
      <c r="G558" s="15" t="s">
        <v>1427</v>
      </c>
      <c r="H558" s="15" t="s">
        <v>1428</v>
      </c>
      <c r="I558" s="1">
        <v>2004</v>
      </c>
      <c r="J558" s="15" t="s">
        <v>1263</v>
      </c>
      <c r="K558" s="1" t="s">
        <v>1429</v>
      </c>
      <c r="L558" s="15" t="s">
        <v>1362</v>
      </c>
      <c r="M558" s="15" t="s">
        <v>480</v>
      </c>
      <c r="N558" s="15" t="s">
        <v>520</v>
      </c>
      <c r="O558" s="31">
        <v>2</v>
      </c>
      <c r="P558" s="15">
        <v>29.17</v>
      </c>
      <c r="Q558" s="15">
        <v>119.18</v>
      </c>
      <c r="S558" s="15">
        <v>1333</v>
      </c>
      <c r="T558" s="15">
        <v>17.100000000000001</v>
      </c>
      <c r="U558" s="15" t="s">
        <v>549</v>
      </c>
      <c r="V558" s="31">
        <v>1</v>
      </c>
      <c r="W558" s="15" t="s">
        <v>1430</v>
      </c>
      <c r="X558" s="15" t="s">
        <v>1147</v>
      </c>
      <c r="Y558" s="1">
        <v>5</v>
      </c>
      <c r="Z558" s="15">
        <v>4.8600000000000003</v>
      </c>
      <c r="AA558" s="15" t="s">
        <v>574</v>
      </c>
      <c r="AB558" s="15">
        <f t="shared" si="489"/>
        <v>4.8600000000000003</v>
      </c>
      <c r="AC558" s="1">
        <v>2</v>
      </c>
      <c r="AD558" s="15">
        <v>3.3</v>
      </c>
      <c r="AF558" s="15">
        <v>5.76</v>
      </c>
      <c r="AH558" s="15">
        <v>6</v>
      </c>
      <c r="AJ558" s="15">
        <v>44.2</v>
      </c>
      <c r="AM558" s="1">
        <v>1</v>
      </c>
      <c r="AP558" s="15" t="s">
        <v>1431</v>
      </c>
      <c r="AQ558" s="1">
        <v>1</v>
      </c>
      <c r="AR558" s="1">
        <v>3</v>
      </c>
      <c r="AT558" s="15" t="s">
        <v>576</v>
      </c>
      <c r="AW558" s="15">
        <v>15000</v>
      </c>
      <c r="AX558" s="15">
        <f t="shared" si="539"/>
        <v>15000</v>
      </c>
      <c r="AY558" s="15" t="s">
        <v>766</v>
      </c>
      <c r="AZ558" s="15">
        <f t="shared" si="532"/>
        <v>15000</v>
      </c>
      <c r="BA558" s="15">
        <f t="shared" si="533"/>
        <v>5.1194539249146755</v>
      </c>
      <c r="BB558" s="15">
        <f t="shared" si="534"/>
        <v>9000</v>
      </c>
      <c r="FK558" s="16">
        <f t="shared" si="527"/>
        <v>4.96</v>
      </c>
      <c r="FL558" s="16">
        <f t="shared" si="528"/>
        <v>8.2799999999999994</v>
      </c>
      <c r="FM558" s="15">
        <v>4.96</v>
      </c>
      <c r="FN558" s="15">
        <f t="shared" si="535"/>
        <v>0.248</v>
      </c>
      <c r="FO558" s="15">
        <f>FN558*SQRT(AR558)</f>
        <v>0.42954860027708153</v>
      </c>
      <c r="FP558" s="15">
        <v>8.2799999999999994</v>
      </c>
      <c r="FQ558" s="15">
        <f t="shared" si="536"/>
        <v>0.41399999999999998</v>
      </c>
      <c r="FR558" s="15">
        <f>FQ558*SQRT(AR558)</f>
        <v>0.7170690343335151</v>
      </c>
      <c r="FS558" s="15">
        <f t="shared" si="529"/>
        <v>1.6693548387096773</v>
      </c>
      <c r="FT558" s="15">
        <f t="shared" si="530"/>
        <v>3.3199999999999994</v>
      </c>
      <c r="FU558" s="15">
        <f t="shared" si="531"/>
        <v>0.51243722766033217</v>
      </c>
      <c r="FV558" s="15">
        <f>((FR558*FR558)/(AR558*FP558*FP558)+(FO558*FO558)/(AR558*FM558*FM558))</f>
        <v>4.9999999999999992E-3</v>
      </c>
      <c r="HE558" s="15">
        <v>780</v>
      </c>
      <c r="HF558" s="15">
        <f t="shared" si="537"/>
        <v>39</v>
      </c>
      <c r="HG558" s="15">
        <f>HF558*SQRT(AR248)</f>
        <v>67.549981495186216</v>
      </c>
      <c r="HH558" s="15">
        <v>810</v>
      </c>
      <c r="HI558" s="15">
        <f t="shared" si="538"/>
        <v>40.5</v>
      </c>
      <c r="HJ558" s="15">
        <f>HI558*SQRT(AR248)</f>
        <v>70.148057706539532</v>
      </c>
      <c r="HK558" s="15">
        <f t="shared" si="502"/>
        <v>1.0384615384615385</v>
      </c>
      <c r="HL558" s="15">
        <f t="shared" si="503"/>
        <v>30</v>
      </c>
      <c r="HM558" s="15">
        <f t="shared" si="504"/>
        <v>3.7740327982846544E-2</v>
      </c>
      <c r="HN558" s="15">
        <f>((HJ558*HJ558)/(AR248*HH558*HH558)+(HG558*HG558)/(AR248*HE558*HE558))</f>
        <v>5.0000000000000001E-3</v>
      </c>
      <c r="HP558" s="15" t="s">
        <v>766</v>
      </c>
      <c r="HV558" s="15">
        <f t="shared" si="505"/>
        <v>2384.7169542592774</v>
      </c>
      <c r="HW558" s="15">
        <f t="shared" si="540"/>
        <v>3.7740327982846544E-2</v>
      </c>
      <c r="HX558" s="15">
        <f>BB558</f>
        <v>9000</v>
      </c>
      <c r="HY558" s="15">
        <f>AZ558</f>
        <v>15000</v>
      </c>
      <c r="HZ558" s="15">
        <f>BA558</f>
        <v>5.1194539249146755</v>
      </c>
      <c r="IA558" s="15">
        <f>BB558</f>
        <v>9000</v>
      </c>
    </row>
    <row r="559" spans="1:235" s="15" customFormat="1" x14ac:dyDescent="0.25">
      <c r="A559" s="31">
        <v>557</v>
      </c>
      <c r="B559" s="1">
        <v>95</v>
      </c>
      <c r="C559" s="1">
        <v>113</v>
      </c>
      <c r="D559" s="15" t="s">
        <v>1400</v>
      </c>
      <c r="E559" s="1">
        <v>1</v>
      </c>
      <c r="F559" s="15" t="s">
        <v>761</v>
      </c>
      <c r="G559" s="15" t="s">
        <v>1427</v>
      </c>
      <c r="H559" s="15" t="s">
        <v>1428</v>
      </c>
      <c r="I559" s="1">
        <v>2004</v>
      </c>
      <c r="J559" s="15" t="s">
        <v>1263</v>
      </c>
      <c r="K559" s="1" t="s">
        <v>1429</v>
      </c>
      <c r="L559" s="15" t="s">
        <v>1362</v>
      </c>
      <c r="M559" s="15" t="s">
        <v>480</v>
      </c>
      <c r="N559" s="15" t="s">
        <v>520</v>
      </c>
      <c r="O559" s="31">
        <v>2</v>
      </c>
      <c r="P559" s="15">
        <v>29.17</v>
      </c>
      <c r="Q559" s="15">
        <v>119.18</v>
      </c>
      <c r="S559" s="15">
        <v>1333</v>
      </c>
      <c r="T559" s="15">
        <v>17.100000000000001</v>
      </c>
      <c r="U559" s="15" t="s">
        <v>549</v>
      </c>
      <c r="V559" s="31">
        <v>1</v>
      </c>
      <c r="W559" s="15" t="s">
        <v>1430</v>
      </c>
      <c r="X559" s="15" t="s">
        <v>729</v>
      </c>
      <c r="Y559" s="61">
        <v>11</v>
      </c>
      <c r="Z559" s="15">
        <v>4.8600000000000003</v>
      </c>
      <c r="AA559" s="15" t="s">
        <v>574</v>
      </c>
      <c r="AB559" s="15">
        <f t="shared" si="489"/>
        <v>4.8600000000000003</v>
      </c>
      <c r="AC559" s="1">
        <v>2</v>
      </c>
      <c r="AD559" s="15">
        <v>3.3</v>
      </c>
      <c r="AF559" s="15">
        <v>5.76</v>
      </c>
      <c r="AH559" s="15">
        <v>6</v>
      </c>
      <c r="AJ559" s="15">
        <v>44.2</v>
      </c>
      <c r="AM559" s="1">
        <v>1</v>
      </c>
      <c r="AP559" s="15" t="s">
        <v>1431</v>
      </c>
      <c r="AQ559" s="1">
        <v>1</v>
      </c>
      <c r="AR559" s="1">
        <v>3</v>
      </c>
      <c r="AT559" s="15" t="s">
        <v>576</v>
      </c>
      <c r="AW559" s="15">
        <v>3750</v>
      </c>
      <c r="AX559" s="15">
        <f t="shared" si="539"/>
        <v>3750</v>
      </c>
      <c r="AY559" s="15" t="s">
        <v>766</v>
      </c>
      <c r="AZ559" s="15">
        <f t="shared" si="532"/>
        <v>3750</v>
      </c>
      <c r="BA559" s="15">
        <f t="shared" si="533"/>
        <v>1.2798634812286689</v>
      </c>
      <c r="BB559" s="15">
        <f t="shared" si="534"/>
        <v>2250</v>
      </c>
      <c r="FK559" s="16">
        <f t="shared" si="527"/>
        <v>4.96</v>
      </c>
      <c r="FL559" s="16">
        <f t="shared" si="528"/>
        <v>6.29</v>
      </c>
      <c r="FM559" s="15">
        <v>4.96</v>
      </c>
      <c r="FN559" s="15">
        <f t="shared" si="535"/>
        <v>0.248</v>
      </c>
      <c r="FO559" s="15">
        <f>FN559*SQRT(AR559)</f>
        <v>0.42954860027708153</v>
      </c>
      <c r="FP559" s="15">
        <v>6.29</v>
      </c>
      <c r="FQ559" s="15">
        <f t="shared" si="536"/>
        <v>0.3145</v>
      </c>
      <c r="FR559" s="15">
        <f>FQ559*SQRT(AR559)</f>
        <v>0.54472997898041187</v>
      </c>
      <c r="FS559" s="15">
        <f t="shared" si="529"/>
        <v>1.2681451612903225</v>
      </c>
      <c r="FT559" s="15">
        <f t="shared" si="530"/>
        <v>1.33</v>
      </c>
      <c r="FU559" s="15">
        <f t="shared" si="531"/>
        <v>0.2375553299755131</v>
      </c>
      <c r="FV559" s="15">
        <f>((FR559*FR559)/(AR559*FP559*FP559)+(FO559*FO559)/(AR559*FM559*FM559))</f>
        <v>4.9999999999999984E-3</v>
      </c>
      <c r="HE559" s="15">
        <v>1550</v>
      </c>
      <c r="HF559" s="15">
        <f t="shared" si="537"/>
        <v>77.5</v>
      </c>
      <c r="HG559" s="15">
        <f>HF559*SQRT(AR249)</f>
        <v>134.23393758658798</v>
      </c>
      <c r="HH559" s="15">
        <v>2400</v>
      </c>
      <c r="HI559" s="15">
        <f t="shared" si="538"/>
        <v>120</v>
      </c>
      <c r="HJ559" s="15">
        <f>HI559*SQRT(AR249)</f>
        <v>207.84609690826525</v>
      </c>
      <c r="HK559" s="15">
        <f t="shared" si="502"/>
        <v>1.5483870967741935</v>
      </c>
      <c r="HL559" s="15">
        <f t="shared" si="503"/>
        <v>850</v>
      </c>
      <c r="HM559" s="15">
        <f t="shared" si="504"/>
        <v>0.43721380642274443</v>
      </c>
      <c r="HN559" s="15">
        <f>((HJ559*HJ559)/(AR249*HH559*HH559)+(HG559*HG559)/(AR249*HE559*HE559))</f>
        <v>4.9999999999999992E-3</v>
      </c>
      <c r="HP559" s="15" t="s">
        <v>766</v>
      </c>
      <c r="HV559" s="15">
        <f t="shared" si="505"/>
        <v>51.462235797386114</v>
      </c>
      <c r="HW559" s="15">
        <f t="shared" si="540"/>
        <v>0.43721380642274443</v>
      </c>
      <c r="HX559" s="15">
        <f>BB559</f>
        <v>2250</v>
      </c>
      <c r="HY559" s="15">
        <f>AZ559</f>
        <v>3750</v>
      </c>
      <c r="HZ559" s="15">
        <f>BA559</f>
        <v>1.2798634812286689</v>
      </c>
      <c r="IA559" s="15">
        <f>BB559</f>
        <v>2250</v>
      </c>
    </row>
    <row r="560" spans="1:235" s="15" customFormat="1" x14ac:dyDescent="0.25">
      <c r="A560" s="31">
        <v>558</v>
      </c>
      <c r="B560" s="1">
        <v>95</v>
      </c>
      <c r="C560" s="1">
        <v>113</v>
      </c>
      <c r="D560" s="15" t="s">
        <v>1401</v>
      </c>
      <c r="E560" s="1">
        <v>1</v>
      </c>
      <c r="F560" s="15" t="s">
        <v>761</v>
      </c>
      <c r="G560" s="15" t="s">
        <v>1427</v>
      </c>
      <c r="H560" s="15" t="s">
        <v>1428</v>
      </c>
      <c r="I560" s="1">
        <v>2004</v>
      </c>
      <c r="J560" s="15" t="s">
        <v>1263</v>
      </c>
      <c r="K560" s="1" t="s">
        <v>1429</v>
      </c>
      <c r="L560" s="15" t="s">
        <v>1362</v>
      </c>
      <c r="M560" s="15" t="s">
        <v>480</v>
      </c>
      <c r="N560" s="15" t="s">
        <v>520</v>
      </c>
      <c r="O560" s="31">
        <v>2</v>
      </c>
      <c r="P560" s="15">
        <v>29.17</v>
      </c>
      <c r="Q560" s="15">
        <v>119.18</v>
      </c>
      <c r="S560" s="15">
        <v>1333</v>
      </c>
      <c r="T560" s="15">
        <v>17.100000000000001</v>
      </c>
      <c r="U560" s="15" t="s">
        <v>549</v>
      </c>
      <c r="V560" s="31">
        <v>1</v>
      </c>
      <c r="W560" s="15" t="s">
        <v>1430</v>
      </c>
      <c r="X560" s="15" t="s">
        <v>729</v>
      </c>
      <c r="Y560" s="61">
        <v>11</v>
      </c>
      <c r="Z560" s="15">
        <v>4.8600000000000003</v>
      </c>
      <c r="AA560" s="15" t="s">
        <v>574</v>
      </c>
      <c r="AB560" s="15">
        <f t="shared" si="489"/>
        <v>4.8600000000000003</v>
      </c>
      <c r="AC560" s="1">
        <v>2</v>
      </c>
      <c r="AD560" s="15">
        <v>3.3</v>
      </c>
      <c r="AF560" s="15">
        <v>5.76</v>
      </c>
      <c r="AH560" s="15">
        <v>6</v>
      </c>
      <c r="AJ560" s="15">
        <v>44.2</v>
      </c>
      <c r="AM560" s="1">
        <v>1</v>
      </c>
      <c r="AP560" s="15" t="s">
        <v>1431</v>
      </c>
      <c r="AQ560" s="1">
        <v>1</v>
      </c>
      <c r="AR560" s="1">
        <v>3</v>
      </c>
      <c r="AT560" s="15" t="s">
        <v>576</v>
      </c>
      <c r="AW560" s="15">
        <v>7500</v>
      </c>
      <c r="AX560" s="15">
        <f t="shared" si="539"/>
        <v>7500</v>
      </c>
      <c r="AY560" s="15" t="s">
        <v>766</v>
      </c>
      <c r="AZ560" s="15">
        <f t="shared" si="532"/>
        <v>7500</v>
      </c>
      <c r="BA560" s="15">
        <f t="shared" si="533"/>
        <v>2.5597269624573378</v>
      </c>
      <c r="BB560" s="15">
        <f t="shared" si="534"/>
        <v>4500</v>
      </c>
      <c r="FK560" s="16">
        <f t="shared" si="527"/>
        <v>4.96</v>
      </c>
      <c r="FL560" s="16">
        <f t="shared" si="528"/>
        <v>7.35</v>
      </c>
      <c r="FM560" s="15">
        <v>4.96</v>
      </c>
      <c r="FN560" s="15">
        <f t="shared" si="535"/>
        <v>0.248</v>
      </c>
      <c r="FO560" s="15">
        <f>FN560*SQRT(AR560)</f>
        <v>0.42954860027708153</v>
      </c>
      <c r="FP560" s="15">
        <v>7.35</v>
      </c>
      <c r="FQ560" s="15">
        <f t="shared" si="536"/>
        <v>0.36749999999999999</v>
      </c>
      <c r="FR560" s="15">
        <f>FQ560*SQRT(AR560)</f>
        <v>0.63652867178156236</v>
      </c>
      <c r="FS560" s="15">
        <f t="shared" si="529"/>
        <v>1.4818548387096773</v>
      </c>
      <c r="FT560" s="15">
        <f t="shared" si="530"/>
        <v>2.3899999999999997</v>
      </c>
      <c r="FU560" s="15">
        <f t="shared" si="531"/>
        <v>0.39329457248790911</v>
      </c>
      <c r="FV560" s="15">
        <f>((FR560*FR560)/(AR560*FP560*FP560)+(FO560*FO560)/(AR560*FM560*FM560))</f>
        <v>4.9999999999999992E-3</v>
      </c>
      <c r="HE560" s="15">
        <v>1550</v>
      </c>
      <c r="HF560" s="15">
        <f t="shared" si="537"/>
        <v>77.5</v>
      </c>
      <c r="HG560" s="15">
        <f>HF560*SQRT(AR250)</f>
        <v>134.23393758658798</v>
      </c>
      <c r="HH560" s="15">
        <v>2780</v>
      </c>
      <c r="HI560" s="15">
        <f t="shared" si="538"/>
        <v>139</v>
      </c>
      <c r="HJ560" s="15">
        <f>HI560*SQRT(AR250)</f>
        <v>240.75506225207394</v>
      </c>
      <c r="HK560" s="15">
        <f t="shared" si="502"/>
        <v>1.7935483870967741</v>
      </c>
      <c r="HL560" s="15">
        <f t="shared" si="503"/>
        <v>1230</v>
      </c>
      <c r="HM560" s="15">
        <f t="shared" si="504"/>
        <v>0.58419599677139011</v>
      </c>
      <c r="HN560" s="15">
        <f>((HJ560*HJ560)/(AR250*HH560*HH560)+(HG560*HG560)/(AR250*HE560*HE560))</f>
        <v>5.0000000000000001E-3</v>
      </c>
      <c r="HP560" s="15" t="s">
        <v>766</v>
      </c>
      <c r="HV560" s="15">
        <f t="shared" si="505"/>
        <v>77.028942766976158</v>
      </c>
      <c r="HW560" s="15">
        <f t="shared" si="540"/>
        <v>0.58419599677139011</v>
      </c>
      <c r="HX560" s="15">
        <f>BB560</f>
        <v>4500</v>
      </c>
      <c r="HY560" s="15">
        <f>AZ560</f>
        <v>7500</v>
      </c>
      <c r="HZ560" s="15">
        <f>BA560</f>
        <v>2.5597269624573378</v>
      </c>
      <c r="IA560" s="15">
        <f>BB560</f>
        <v>4500</v>
      </c>
    </row>
    <row r="561" spans="1:235" s="15" customFormat="1" x14ac:dyDescent="0.25">
      <c r="A561" s="31">
        <v>559</v>
      </c>
      <c r="B561" s="1">
        <v>95</v>
      </c>
      <c r="C561" s="1">
        <v>113</v>
      </c>
      <c r="D561" s="15" t="s">
        <v>1402</v>
      </c>
      <c r="E561" s="1">
        <v>1</v>
      </c>
      <c r="F561" s="15" t="s">
        <v>761</v>
      </c>
      <c r="G561" s="15" t="s">
        <v>1427</v>
      </c>
      <c r="H561" s="15" t="s">
        <v>1428</v>
      </c>
      <c r="I561" s="1">
        <v>2004</v>
      </c>
      <c r="J561" s="15" t="s">
        <v>1263</v>
      </c>
      <c r="K561" s="1" t="s">
        <v>1429</v>
      </c>
      <c r="L561" s="15" t="s">
        <v>1362</v>
      </c>
      <c r="M561" s="15" t="s">
        <v>480</v>
      </c>
      <c r="N561" s="15" t="s">
        <v>520</v>
      </c>
      <c r="O561" s="31">
        <v>2</v>
      </c>
      <c r="P561" s="15">
        <v>29.17</v>
      </c>
      <c r="Q561" s="15">
        <v>119.18</v>
      </c>
      <c r="S561" s="15">
        <v>1333</v>
      </c>
      <c r="T561" s="15">
        <v>17.100000000000001</v>
      </c>
      <c r="U561" s="15" t="s">
        <v>549</v>
      </c>
      <c r="V561" s="31">
        <v>1</v>
      </c>
      <c r="W561" s="15" t="s">
        <v>1430</v>
      </c>
      <c r="X561" s="15" t="s">
        <v>729</v>
      </c>
      <c r="Y561" s="61">
        <v>11</v>
      </c>
      <c r="Z561" s="15">
        <v>4.8600000000000003</v>
      </c>
      <c r="AA561" s="15" t="s">
        <v>574</v>
      </c>
      <c r="AB561" s="15">
        <f t="shared" si="489"/>
        <v>4.8600000000000003</v>
      </c>
      <c r="AC561" s="1">
        <v>2</v>
      </c>
      <c r="AD561" s="15">
        <v>3.3</v>
      </c>
      <c r="AF561" s="15">
        <v>5.76</v>
      </c>
      <c r="AH561" s="15">
        <v>6</v>
      </c>
      <c r="AJ561" s="15">
        <v>44.2</v>
      </c>
      <c r="AM561" s="1">
        <v>1</v>
      </c>
      <c r="AP561" s="15" t="s">
        <v>1431</v>
      </c>
      <c r="AQ561" s="1">
        <v>1</v>
      </c>
      <c r="AR561" s="1">
        <v>3</v>
      </c>
      <c r="AT561" s="15" t="s">
        <v>576</v>
      </c>
      <c r="AW561" s="15">
        <v>11250</v>
      </c>
      <c r="AX561" s="15">
        <f t="shared" si="539"/>
        <v>11250</v>
      </c>
      <c r="AY561" s="15" t="s">
        <v>766</v>
      </c>
      <c r="AZ561" s="15">
        <f t="shared" si="532"/>
        <v>11250</v>
      </c>
      <c r="BA561" s="15">
        <f t="shared" si="533"/>
        <v>3.8395904436860064</v>
      </c>
      <c r="BB561" s="15">
        <f t="shared" si="534"/>
        <v>6750</v>
      </c>
      <c r="FK561" s="16">
        <f t="shared" si="527"/>
        <v>4.96</v>
      </c>
      <c r="FL561" s="16">
        <f t="shared" si="528"/>
        <v>7.81</v>
      </c>
      <c r="FM561" s="15">
        <v>4.96</v>
      </c>
      <c r="FN561" s="15">
        <f t="shared" si="535"/>
        <v>0.248</v>
      </c>
      <c r="FO561" s="15">
        <f>FN561*SQRT(AR561)</f>
        <v>0.42954860027708153</v>
      </c>
      <c r="FP561" s="15">
        <v>7.81</v>
      </c>
      <c r="FQ561" s="15">
        <f t="shared" si="536"/>
        <v>0.39050000000000001</v>
      </c>
      <c r="FR561" s="15">
        <f>FQ561*SQRT(AR561)</f>
        <v>0.67636584035564662</v>
      </c>
      <c r="FS561" s="15">
        <f t="shared" si="529"/>
        <v>1.5745967741935483</v>
      </c>
      <c r="FT561" s="15">
        <f t="shared" si="530"/>
        <v>2.8499999999999996</v>
      </c>
      <c r="FU561" s="15">
        <f t="shared" si="531"/>
        <v>0.45399922311475871</v>
      </c>
      <c r="FV561" s="15">
        <f>((FR561*FR561)/(AR561*FP561*FP561)+(FO561*FO561)/(AR561*FM561*FM561))</f>
        <v>4.9999999999999992E-3</v>
      </c>
      <c r="HE561" s="15">
        <v>1550</v>
      </c>
      <c r="HF561" s="15">
        <f t="shared" si="537"/>
        <v>77.5</v>
      </c>
      <c r="HG561" s="15">
        <f>HF561*SQRT(AR251)</f>
        <v>134.23393758658798</v>
      </c>
      <c r="HH561" s="15">
        <v>2810</v>
      </c>
      <c r="HI561" s="15">
        <f t="shared" si="538"/>
        <v>140.5</v>
      </c>
      <c r="HJ561" s="15">
        <f>HI561*SQRT(AR251)</f>
        <v>243.35313846342726</v>
      </c>
      <c r="HK561" s="15">
        <f t="shared" si="502"/>
        <v>1.8129032258064517</v>
      </c>
      <c r="HL561" s="15">
        <f t="shared" si="503"/>
        <v>1260</v>
      </c>
      <c r="HM561" s="15">
        <f t="shared" si="504"/>
        <v>0.59492955241449863</v>
      </c>
      <c r="HN561" s="15">
        <f>((HJ561*HJ561)/(AR251*HH561*HH561)+(HG561*HG561)/(AR251*HE561*HE561))</f>
        <v>5.0000000000000001E-3</v>
      </c>
      <c r="HP561" s="15" t="s">
        <v>766</v>
      </c>
      <c r="HV561" s="15">
        <f t="shared" si="505"/>
        <v>113.45881159551389</v>
      </c>
      <c r="HW561" s="15">
        <f t="shared" si="540"/>
        <v>0.59492955241449863</v>
      </c>
      <c r="HX561" s="15">
        <f>BB561</f>
        <v>6750</v>
      </c>
      <c r="HY561" s="15">
        <f>AZ561</f>
        <v>11250</v>
      </c>
      <c r="HZ561" s="15">
        <f>BA561</f>
        <v>3.8395904436860064</v>
      </c>
      <c r="IA561" s="15">
        <f>BB561</f>
        <v>6750</v>
      </c>
    </row>
    <row r="562" spans="1:235" s="15" customFormat="1" x14ac:dyDescent="0.25">
      <c r="A562" s="31">
        <v>560</v>
      </c>
      <c r="B562" s="1">
        <v>95</v>
      </c>
      <c r="C562" s="1">
        <v>113</v>
      </c>
      <c r="D562" s="15" t="s">
        <v>1403</v>
      </c>
      <c r="E562" s="1">
        <v>1</v>
      </c>
      <c r="F562" s="15" t="s">
        <v>761</v>
      </c>
      <c r="G562" s="15" t="s">
        <v>1427</v>
      </c>
      <c r="H562" s="15" t="s">
        <v>1428</v>
      </c>
      <c r="I562" s="1">
        <v>2004</v>
      </c>
      <c r="J562" s="15" t="s">
        <v>1263</v>
      </c>
      <c r="K562" s="1" t="s">
        <v>1429</v>
      </c>
      <c r="L562" s="15" t="s">
        <v>1362</v>
      </c>
      <c r="M562" s="15" t="s">
        <v>480</v>
      </c>
      <c r="N562" s="15" t="s">
        <v>520</v>
      </c>
      <c r="O562" s="31">
        <v>2</v>
      </c>
      <c r="P562" s="15">
        <v>29.17</v>
      </c>
      <c r="Q562" s="15">
        <v>119.18</v>
      </c>
      <c r="S562" s="15">
        <v>1333</v>
      </c>
      <c r="T562" s="15">
        <v>17.100000000000001</v>
      </c>
      <c r="U562" s="15" t="s">
        <v>549</v>
      </c>
      <c r="V562" s="31">
        <v>1</v>
      </c>
      <c r="W562" s="15" t="s">
        <v>1430</v>
      </c>
      <c r="X562" s="15" t="s">
        <v>729</v>
      </c>
      <c r="Y562" s="61">
        <v>11</v>
      </c>
      <c r="Z562" s="15">
        <v>4.8600000000000003</v>
      </c>
      <c r="AA562" s="15" t="s">
        <v>574</v>
      </c>
      <c r="AB562" s="15">
        <f t="shared" si="489"/>
        <v>4.8600000000000003</v>
      </c>
      <c r="AC562" s="1">
        <v>2</v>
      </c>
      <c r="AD562" s="15">
        <v>3.3</v>
      </c>
      <c r="AF562" s="15">
        <v>5.76</v>
      </c>
      <c r="AH562" s="15">
        <v>6</v>
      </c>
      <c r="AJ562" s="15">
        <v>44.2</v>
      </c>
      <c r="AM562" s="1">
        <v>1</v>
      </c>
      <c r="AP562" s="15" t="s">
        <v>1431</v>
      </c>
      <c r="AQ562" s="1">
        <v>1</v>
      </c>
      <c r="AR562" s="1">
        <v>3</v>
      </c>
      <c r="AT562" s="15" t="s">
        <v>576</v>
      </c>
      <c r="AW562" s="15">
        <v>15000</v>
      </c>
      <c r="AX562" s="15">
        <f t="shared" si="539"/>
        <v>15000</v>
      </c>
      <c r="AY562" s="15" t="s">
        <v>766</v>
      </c>
      <c r="AZ562" s="15">
        <f t="shared" si="532"/>
        <v>15000</v>
      </c>
      <c r="BA562" s="15">
        <f t="shared" si="533"/>
        <v>5.1194539249146755</v>
      </c>
      <c r="BB562" s="15">
        <f t="shared" si="534"/>
        <v>9000</v>
      </c>
      <c r="FK562" s="16">
        <f t="shared" si="527"/>
        <v>4.96</v>
      </c>
      <c r="FL562" s="16">
        <f t="shared" si="528"/>
        <v>8.2799999999999994</v>
      </c>
      <c r="FM562" s="15">
        <v>4.96</v>
      </c>
      <c r="FN562" s="15">
        <f t="shared" si="535"/>
        <v>0.248</v>
      </c>
      <c r="FO562" s="15">
        <f>FN562*SQRT(AR562)</f>
        <v>0.42954860027708153</v>
      </c>
      <c r="FP562" s="15">
        <v>8.2799999999999994</v>
      </c>
      <c r="FQ562" s="15">
        <f t="shared" si="536"/>
        <v>0.41399999999999998</v>
      </c>
      <c r="FR562" s="15">
        <f>FQ562*SQRT(AR562)</f>
        <v>0.7170690343335151</v>
      </c>
      <c r="FS562" s="15">
        <f t="shared" si="529"/>
        <v>1.6693548387096773</v>
      </c>
      <c r="FT562" s="15">
        <f t="shared" si="530"/>
        <v>3.3199999999999994</v>
      </c>
      <c r="FU562" s="15">
        <f t="shared" si="531"/>
        <v>0.51243722766033217</v>
      </c>
      <c r="FV562" s="15">
        <f>((FR562*FR562)/(AR562*FP562*FP562)+(FO562*FO562)/(AR562*FM562*FM562))</f>
        <v>4.9999999999999992E-3</v>
      </c>
      <c r="HE562" s="15">
        <v>1550</v>
      </c>
      <c r="HF562" s="15">
        <f t="shared" si="537"/>
        <v>77.5</v>
      </c>
      <c r="HG562" s="15">
        <f>HF562*SQRT(AR252)</f>
        <v>134.23393758658798</v>
      </c>
      <c r="HH562" s="15">
        <v>3020</v>
      </c>
      <c r="HI562" s="15">
        <f t="shared" si="538"/>
        <v>151</v>
      </c>
      <c r="HJ562" s="15">
        <f>HI562*SQRT(AR252)</f>
        <v>261.53967194290044</v>
      </c>
      <c r="HK562" s="15">
        <f t="shared" si="502"/>
        <v>1.9483870967741936</v>
      </c>
      <c r="HL562" s="15">
        <f t="shared" si="503"/>
        <v>1470</v>
      </c>
      <c r="HM562" s="15">
        <f t="shared" si="504"/>
        <v>0.66700190045562291</v>
      </c>
      <c r="HN562" s="15">
        <f>((HJ562*HJ562)/(AR252*HH562*HH562)+(HG562*HG562)/(AR252*HE562*HE562))</f>
        <v>4.9999999999999992E-3</v>
      </c>
      <c r="HP562" s="15" t="s">
        <v>766</v>
      </c>
      <c r="HV562" s="15">
        <f t="shared" si="505"/>
        <v>134.93214927651903</v>
      </c>
      <c r="HW562" s="15">
        <f t="shared" si="540"/>
        <v>0.66700190045562291</v>
      </c>
      <c r="HX562" s="15">
        <f>BB562</f>
        <v>9000</v>
      </c>
      <c r="HY562" s="15">
        <f>AZ562</f>
        <v>15000</v>
      </c>
      <c r="HZ562" s="15">
        <f>BA562</f>
        <v>5.1194539249146755</v>
      </c>
      <c r="IA562" s="15">
        <f>BB562</f>
        <v>9000</v>
      </c>
    </row>
    <row r="563" spans="1:235" s="15" customFormat="1" x14ac:dyDescent="0.25">
      <c r="A563" s="31">
        <v>561</v>
      </c>
      <c r="B563" s="1">
        <v>95</v>
      </c>
      <c r="C563" s="1">
        <v>113</v>
      </c>
      <c r="D563" s="15" t="s">
        <v>1404</v>
      </c>
      <c r="E563" s="1">
        <v>1</v>
      </c>
      <c r="F563" s="15" t="s">
        <v>761</v>
      </c>
      <c r="G563" s="15" t="s">
        <v>1427</v>
      </c>
      <c r="H563" s="15" t="s">
        <v>1428</v>
      </c>
      <c r="I563" s="1">
        <v>2004</v>
      </c>
      <c r="J563" s="15" t="s">
        <v>1263</v>
      </c>
      <c r="K563" s="1" t="s">
        <v>1429</v>
      </c>
      <c r="L563" s="15" t="s">
        <v>1362</v>
      </c>
      <c r="M563" s="15" t="s">
        <v>480</v>
      </c>
      <c r="N563" s="15" t="s">
        <v>520</v>
      </c>
      <c r="O563" s="31">
        <v>2</v>
      </c>
      <c r="P563" s="15">
        <v>29.17</v>
      </c>
      <c r="Q563" s="15">
        <v>119.18</v>
      </c>
      <c r="S563" s="15">
        <v>1333</v>
      </c>
      <c r="T563" s="15">
        <v>17.100000000000001</v>
      </c>
      <c r="U563" s="15" t="s">
        <v>549</v>
      </c>
      <c r="V563" s="31">
        <v>1</v>
      </c>
      <c r="W563" s="15" t="s">
        <v>1430</v>
      </c>
      <c r="X563" s="15" t="s">
        <v>1432</v>
      </c>
      <c r="Y563" s="1">
        <v>3</v>
      </c>
      <c r="Z563" s="15">
        <v>4.8600000000000003</v>
      </c>
      <c r="AA563" s="15" t="s">
        <v>574</v>
      </c>
      <c r="AB563" s="15">
        <f t="shared" si="489"/>
        <v>4.8600000000000003</v>
      </c>
      <c r="AC563" s="1">
        <v>2</v>
      </c>
      <c r="AD563" s="15">
        <v>3.3</v>
      </c>
      <c r="AF563" s="15">
        <v>5.76</v>
      </c>
      <c r="AH563" s="15">
        <v>6</v>
      </c>
      <c r="AJ563" s="15">
        <v>44.2</v>
      </c>
      <c r="AM563" s="1">
        <v>1</v>
      </c>
      <c r="AP563" s="15" t="s">
        <v>1431</v>
      </c>
      <c r="AQ563" s="1">
        <v>1</v>
      </c>
      <c r="AR563" s="1">
        <v>3</v>
      </c>
      <c r="AT563" s="15" t="s">
        <v>576</v>
      </c>
      <c r="AW563" s="15">
        <f>AW559/2</f>
        <v>1875</v>
      </c>
      <c r="AX563" s="15">
        <f t="shared" si="539"/>
        <v>1875</v>
      </c>
      <c r="AY563" s="15" t="s">
        <v>766</v>
      </c>
      <c r="AZ563" s="15">
        <f t="shared" si="532"/>
        <v>1875</v>
      </c>
      <c r="BA563" s="15">
        <f t="shared" si="533"/>
        <v>0.63993174061433444</v>
      </c>
      <c r="BB563" s="15">
        <f t="shared" si="534"/>
        <v>1125</v>
      </c>
      <c r="FK563" s="16">
        <f t="shared" si="527"/>
        <v>5.39</v>
      </c>
      <c r="FL563" s="16">
        <f t="shared" si="528"/>
        <v>6.68</v>
      </c>
      <c r="FM563" s="15">
        <v>5.39</v>
      </c>
      <c r="FN563" s="15">
        <f t="shared" si="535"/>
        <v>0.26950000000000002</v>
      </c>
      <c r="FO563" s="15">
        <f>FN563*SQRT(AR563)</f>
        <v>0.46678769263981246</v>
      </c>
      <c r="FP563" s="15">
        <v>6.68</v>
      </c>
      <c r="FQ563" s="15">
        <f t="shared" si="536"/>
        <v>0.33400000000000002</v>
      </c>
      <c r="FR563" s="15">
        <f>FQ563*SQRT(AR563)</f>
        <v>0.57850496972800503</v>
      </c>
      <c r="FS563" s="15">
        <f t="shared" si="529"/>
        <v>1.2393320964749537</v>
      </c>
      <c r="FT563" s="15">
        <f t="shared" si="530"/>
        <v>1.29</v>
      </c>
      <c r="FU563" s="15">
        <f t="shared" si="531"/>
        <v>0.21457260262764843</v>
      </c>
      <c r="FV563" s="15">
        <f>((FR563*FR563)/(AR563*FP563*FP563)+(FO563*FO563)/(AR563*FM563*FM563))</f>
        <v>5.000000000000001E-3</v>
      </c>
      <c r="HE563" s="15">
        <v>13100</v>
      </c>
      <c r="HF563" s="15">
        <f t="shared" si="537"/>
        <v>655</v>
      </c>
      <c r="HG563" s="15">
        <f>HF563*SQRT(AR253)</f>
        <v>1134.4932789576146</v>
      </c>
      <c r="HH563" s="15">
        <v>20100</v>
      </c>
      <c r="HI563" s="15">
        <f t="shared" si="538"/>
        <v>1005</v>
      </c>
      <c r="HJ563" s="15">
        <f>HI563*SQRT(AR253)</f>
        <v>1740.7110616067216</v>
      </c>
      <c r="HK563" s="15">
        <f t="shared" si="502"/>
        <v>1.5343511450381679</v>
      </c>
      <c r="HL563" s="15">
        <f t="shared" si="503"/>
        <v>7000</v>
      </c>
      <c r="HM563" s="15">
        <f t="shared" si="504"/>
        <v>0.42810758485792455</v>
      </c>
      <c r="HN563" s="15">
        <f>((HJ563*HJ563)/(AR253*HH563*HH563)+(HG563*HG563)/(AR253*HE563*HE563))</f>
        <v>5.0000000000000001E-3</v>
      </c>
      <c r="HP563" s="15" t="s">
        <v>766</v>
      </c>
      <c r="HV563" s="15">
        <f t="shared" si="505"/>
        <v>26.278441209429914</v>
      </c>
      <c r="HW563" s="15">
        <f t="shared" si="540"/>
        <v>0.42810758485792455</v>
      </c>
      <c r="HX563" s="15">
        <f>BB563</f>
        <v>1125</v>
      </c>
      <c r="HY563" s="15">
        <f>AZ563</f>
        <v>1875</v>
      </c>
      <c r="HZ563" s="15">
        <f>BA563</f>
        <v>0.63993174061433444</v>
      </c>
      <c r="IA563" s="15">
        <f>BB563</f>
        <v>1125</v>
      </c>
    </row>
    <row r="564" spans="1:235" s="15" customFormat="1" x14ac:dyDescent="0.25">
      <c r="A564" s="31">
        <v>562</v>
      </c>
      <c r="B564" s="1">
        <v>95</v>
      </c>
      <c r="C564" s="1">
        <v>113</v>
      </c>
      <c r="D564" s="15" t="s">
        <v>1405</v>
      </c>
      <c r="E564" s="1">
        <v>1</v>
      </c>
      <c r="F564" s="15" t="s">
        <v>761</v>
      </c>
      <c r="G564" s="15" t="s">
        <v>1427</v>
      </c>
      <c r="H564" s="15" t="s">
        <v>1428</v>
      </c>
      <c r="I564" s="1">
        <v>2004</v>
      </c>
      <c r="J564" s="15" t="s">
        <v>1263</v>
      </c>
      <c r="K564" s="1" t="s">
        <v>1429</v>
      </c>
      <c r="L564" s="15" t="s">
        <v>1362</v>
      </c>
      <c r="M564" s="15" t="s">
        <v>480</v>
      </c>
      <c r="N564" s="15" t="s">
        <v>520</v>
      </c>
      <c r="O564" s="31">
        <v>2</v>
      </c>
      <c r="P564" s="15">
        <v>29.17</v>
      </c>
      <c r="Q564" s="15">
        <v>119.18</v>
      </c>
      <c r="S564" s="15">
        <v>1333</v>
      </c>
      <c r="T564" s="15">
        <v>17.100000000000001</v>
      </c>
      <c r="U564" s="15" t="s">
        <v>549</v>
      </c>
      <c r="V564" s="31">
        <v>1</v>
      </c>
      <c r="W564" s="15" t="s">
        <v>1430</v>
      </c>
      <c r="X564" s="15" t="s">
        <v>1432</v>
      </c>
      <c r="Y564" s="1">
        <v>3</v>
      </c>
      <c r="Z564" s="15">
        <v>4.8600000000000003</v>
      </c>
      <c r="AA564" s="15" t="s">
        <v>574</v>
      </c>
      <c r="AB564" s="15">
        <f t="shared" si="489"/>
        <v>4.8600000000000003</v>
      </c>
      <c r="AC564" s="1">
        <v>2</v>
      </c>
      <c r="AD564" s="15">
        <v>3.3</v>
      </c>
      <c r="AF564" s="15">
        <v>5.76</v>
      </c>
      <c r="AH564" s="15">
        <v>6</v>
      </c>
      <c r="AJ564" s="15">
        <v>44.2</v>
      </c>
      <c r="AM564" s="1">
        <v>1</v>
      </c>
      <c r="AP564" s="15" t="s">
        <v>1431</v>
      </c>
      <c r="AQ564" s="1">
        <v>1</v>
      </c>
      <c r="AR564" s="1">
        <v>3</v>
      </c>
      <c r="AT564" s="15" t="s">
        <v>576</v>
      </c>
      <c r="AW564" s="15">
        <f>AW560/2</f>
        <v>3750</v>
      </c>
      <c r="AX564" s="15">
        <f t="shared" si="539"/>
        <v>3750</v>
      </c>
      <c r="AY564" s="15" t="s">
        <v>766</v>
      </c>
      <c r="AZ564" s="15">
        <f t="shared" si="532"/>
        <v>3750</v>
      </c>
      <c r="BA564" s="15">
        <f t="shared" si="533"/>
        <v>1.2798634812286689</v>
      </c>
      <c r="BB564" s="15">
        <f t="shared" si="534"/>
        <v>2250</v>
      </c>
      <c r="FK564" s="16">
        <f t="shared" si="527"/>
        <v>5.39</v>
      </c>
      <c r="FL564" s="16">
        <f t="shared" si="528"/>
        <v>7.4</v>
      </c>
      <c r="FM564" s="15">
        <v>5.39</v>
      </c>
      <c r="FN564" s="15">
        <f t="shared" si="535"/>
        <v>0.26950000000000002</v>
      </c>
      <c r="FO564" s="15">
        <f>FN564*SQRT(AR564)</f>
        <v>0.46678769263981246</v>
      </c>
      <c r="FP564" s="15">
        <v>7.4</v>
      </c>
      <c r="FQ564" s="15">
        <f t="shared" si="536"/>
        <v>0.37000000000000005</v>
      </c>
      <c r="FR564" s="15">
        <f>FQ564*SQRT(AR564)</f>
        <v>0.64085879880048469</v>
      </c>
      <c r="FS564" s="15">
        <f t="shared" si="529"/>
        <v>1.3729128014842302</v>
      </c>
      <c r="FT564" s="15">
        <f t="shared" si="530"/>
        <v>2.0100000000000007</v>
      </c>
      <c r="FU564" s="15">
        <f t="shared" si="531"/>
        <v>0.31693461528921851</v>
      </c>
      <c r="FV564" s="15">
        <f>((FR564*FR564)/(AR564*FP564*FP564)+(FO564*FO564)/(AR564*FM564*FM564))</f>
        <v>5.000000000000001E-3</v>
      </c>
      <c r="HE564" s="15">
        <v>13100</v>
      </c>
      <c r="HF564" s="15">
        <f t="shared" si="537"/>
        <v>655</v>
      </c>
      <c r="HG564" s="15">
        <f>HF564*SQRT(AR254)</f>
        <v>1134.4932789576146</v>
      </c>
      <c r="HH564" s="15">
        <v>20000</v>
      </c>
      <c r="HI564" s="15">
        <f t="shared" si="538"/>
        <v>1000</v>
      </c>
      <c r="HJ564" s="15">
        <f>HI564*SQRT(AR254)</f>
        <v>1732.0508075688772</v>
      </c>
      <c r="HK564" s="15">
        <f t="shared" si="502"/>
        <v>1.5267175572519085</v>
      </c>
      <c r="HL564" s="15">
        <f t="shared" si="503"/>
        <v>6900</v>
      </c>
      <c r="HM564" s="15">
        <f t="shared" si="504"/>
        <v>0.42312004334688424</v>
      </c>
      <c r="HN564" s="15">
        <f>((HJ564*HJ564)/(AR254*HH564*HH564)+(HG564*HG564)/(AR254*HE564*HE564))</f>
        <v>4.9999999999999992E-3</v>
      </c>
      <c r="HP564" s="15" t="s">
        <v>766</v>
      </c>
      <c r="HV564" s="15">
        <f t="shared" si="505"/>
        <v>53.176398409360971</v>
      </c>
      <c r="HW564" s="15">
        <f t="shared" si="540"/>
        <v>0.42312004334688424</v>
      </c>
      <c r="HX564" s="15">
        <f>BB564</f>
        <v>2250</v>
      </c>
      <c r="HY564" s="15">
        <f>AZ564</f>
        <v>3750</v>
      </c>
      <c r="HZ564" s="15">
        <f>BA564</f>
        <v>1.2798634812286689</v>
      </c>
      <c r="IA564" s="15">
        <f>BB564</f>
        <v>2250</v>
      </c>
    </row>
    <row r="565" spans="1:235" s="15" customFormat="1" x14ac:dyDescent="0.25">
      <c r="A565" s="31">
        <v>563</v>
      </c>
      <c r="B565" s="1">
        <v>95</v>
      </c>
      <c r="C565" s="1">
        <v>113</v>
      </c>
      <c r="D565" s="15" t="s">
        <v>1406</v>
      </c>
      <c r="E565" s="1">
        <v>1</v>
      </c>
      <c r="F565" s="15" t="s">
        <v>761</v>
      </c>
      <c r="G565" s="15" t="s">
        <v>1427</v>
      </c>
      <c r="H565" s="15" t="s">
        <v>1428</v>
      </c>
      <c r="I565" s="1">
        <v>2004</v>
      </c>
      <c r="J565" s="15" t="s">
        <v>1263</v>
      </c>
      <c r="K565" s="1" t="s">
        <v>1429</v>
      </c>
      <c r="L565" s="15" t="s">
        <v>1362</v>
      </c>
      <c r="M565" s="15" t="s">
        <v>480</v>
      </c>
      <c r="N565" s="15" t="s">
        <v>520</v>
      </c>
      <c r="O565" s="31">
        <v>2</v>
      </c>
      <c r="P565" s="15">
        <v>29.17</v>
      </c>
      <c r="Q565" s="15">
        <v>119.18</v>
      </c>
      <c r="S565" s="15">
        <v>1333</v>
      </c>
      <c r="T565" s="15">
        <v>17.100000000000001</v>
      </c>
      <c r="U565" s="15" t="s">
        <v>549</v>
      </c>
      <c r="V565" s="31">
        <v>1</v>
      </c>
      <c r="W565" s="15" t="s">
        <v>1430</v>
      </c>
      <c r="X565" s="15" t="s">
        <v>1432</v>
      </c>
      <c r="Y565" s="1">
        <v>3</v>
      </c>
      <c r="Z565" s="15">
        <v>4.8600000000000003</v>
      </c>
      <c r="AA565" s="15" t="s">
        <v>574</v>
      </c>
      <c r="AB565" s="15">
        <f t="shared" si="489"/>
        <v>4.8600000000000003</v>
      </c>
      <c r="AC565" s="1">
        <v>2</v>
      </c>
      <c r="AD565" s="15">
        <v>3.3</v>
      </c>
      <c r="AF565" s="15">
        <v>5.76</v>
      </c>
      <c r="AH565" s="15">
        <v>6</v>
      </c>
      <c r="AJ565" s="15">
        <v>44.2</v>
      </c>
      <c r="AM565" s="1">
        <v>1</v>
      </c>
      <c r="AP565" s="15" t="s">
        <v>1431</v>
      </c>
      <c r="AQ565" s="1">
        <v>1</v>
      </c>
      <c r="AR565" s="1">
        <v>3</v>
      </c>
      <c r="AT565" s="15" t="s">
        <v>576</v>
      </c>
      <c r="AW565" s="15">
        <f>AW561/2</f>
        <v>5625</v>
      </c>
      <c r="AX565" s="15">
        <f t="shared" si="539"/>
        <v>5625</v>
      </c>
      <c r="AY565" s="15" t="s">
        <v>766</v>
      </c>
      <c r="AZ565" s="15">
        <f t="shared" si="532"/>
        <v>5625</v>
      </c>
      <c r="BA565" s="15">
        <f t="shared" si="533"/>
        <v>1.9197952218430032</v>
      </c>
      <c r="BB565" s="15">
        <f t="shared" si="534"/>
        <v>3375</v>
      </c>
      <c r="FK565" s="16">
        <f t="shared" si="527"/>
        <v>5.39</v>
      </c>
      <c r="FL565" s="16">
        <f t="shared" si="528"/>
        <v>7.61</v>
      </c>
      <c r="FM565" s="15">
        <v>5.39</v>
      </c>
      <c r="FN565" s="15">
        <f t="shared" si="535"/>
        <v>0.26950000000000002</v>
      </c>
      <c r="FO565" s="15">
        <f>FN565*SQRT(AR565)</f>
        <v>0.46678769263981246</v>
      </c>
      <c r="FP565" s="15">
        <v>7.61</v>
      </c>
      <c r="FQ565" s="15">
        <f t="shared" si="536"/>
        <v>0.38050000000000006</v>
      </c>
      <c r="FR565" s="15">
        <f>FQ565*SQRT(AR565)</f>
        <v>0.65904533227995787</v>
      </c>
      <c r="FS565" s="15">
        <f t="shared" si="529"/>
        <v>1.4118738404452691</v>
      </c>
      <c r="FT565" s="15">
        <f t="shared" si="530"/>
        <v>2.2200000000000006</v>
      </c>
      <c r="FU565" s="15">
        <f t="shared" si="531"/>
        <v>0.34491778695268893</v>
      </c>
      <c r="FV565" s="15">
        <f>((FR565*FR565)/(AR565*FP565*FP565)+(FO565*FO565)/(AR565*FM565*FM565))</f>
        <v>5.000000000000001E-3</v>
      </c>
      <c r="HE565" s="15">
        <v>13100</v>
      </c>
      <c r="HF565" s="15">
        <f t="shared" si="537"/>
        <v>655</v>
      </c>
      <c r="HG565" s="15">
        <f>HF565*SQRT(AR255)</f>
        <v>1134.4932789576146</v>
      </c>
      <c r="HH565" s="15">
        <v>19500</v>
      </c>
      <c r="HI565" s="15">
        <f t="shared" si="538"/>
        <v>975</v>
      </c>
      <c r="HJ565" s="15">
        <f>HI565*SQRT(AR255)</f>
        <v>1688.7495373796553</v>
      </c>
      <c r="HK565" s="15">
        <f t="shared" si="502"/>
        <v>1.4885496183206106</v>
      </c>
      <c r="HL565" s="15">
        <f t="shared" si="503"/>
        <v>6400</v>
      </c>
      <c r="HM565" s="15">
        <f t="shared" si="504"/>
        <v>0.39780223536259562</v>
      </c>
      <c r="HN565" s="15">
        <f>((HJ565*HJ565)/(AR255*HH565*HH565)+(HG565*HG565)/(AR255*HE565*HE565))</f>
        <v>5.0000000000000001E-3</v>
      </c>
      <c r="HP565" s="15" t="s">
        <v>766</v>
      </c>
      <c r="HV565" s="15">
        <f t="shared" si="505"/>
        <v>84.841152210311151</v>
      </c>
      <c r="HW565" s="15">
        <f t="shared" si="540"/>
        <v>0.39780223536259562</v>
      </c>
      <c r="HX565" s="15">
        <f>BB565</f>
        <v>3375</v>
      </c>
      <c r="HY565" s="15">
        <f>AZ565</f>
        <v>5625</v>
      </c>
      <c r="HZ565" s="15">
        <f>BA565</f>
        <v>1.9197952218430032</v>
      </c>
      <c r="IA565" s="15">
        <f>BB565</f>
        <v>3375</v>
      </c>
    </row>
    <row r="566" spans="1:235" s="15" customFormat="1" x14ac:dyDescent="0.25">
      <c r="A566" s="31">
        <v>564</v>
      </c>
      <c r="B566" s="1">
        <v>95</v>
      </c>
      <c r="C566" s="1">
        <v>113</v>
      </c>
      <c r="D566" s="15" t="s">
        <v>1407</v>
      </c>
      <c r="E566" s="1">
        <v>1</v>
      </c>
      <c r="F566" s="15" t="s">
        <v>761</v>
      </c>
      <c r="G566" s="15" t="s">
        <v>1427</v>
      </c>
      <c r="H566" s="15" t="s">
        <v>1428</v>
      </c>
      <c r="I566" s="1">
        <v>2004</v>
      </c>
      <c r="J566" s="15" t="s">
        <v>1263</v>
      </c>
      <c r="K566" s="1" t="s">
        <v>1429</v>
      </c>
      <c r="L566" s="15" t="s">
        <v>1362</v>
      </c>
      <c r="M566" s="15" t="s">
        <v>480</v>
      </c>
      <c r="N566" s="15" t="s">
        <v>520</v>
      </c>
      <c r="O566" s="31">
        <v>2</v>
      </c>
      <c r="P566" s="15">
        <v>29.17</v>
      </c>
      <c r="Q566" s="15">
        <v>119.18</v>
      </c>
      <c r="S566" s="15">
        <v>1333</v>
      </c>
      <c r="T566" s="15">
        <v>17.100000000000001</v>
      </c>
      <c r="U566" s="15" t="s">
        <v>549</v>
      </c>
      <c r="V566" s="31">
        <v>1</v>
      </c>
      <c r="W566" s="15" t="s">
        <v>1430</v>
      </c>
      <c r="X566" s="15" t="s">
        <v>1432</v>
      </c>
      <c r="Y566" s="1">
        <v>3</v>
      </c>
      <c r="Z566" s="15">
        <v>4.8600000000000003</v>
      </c>
      <c r="AA566" s="15" t="s">
        <v>574</v>
      </c>
      <c r="AB566" s="15">
        <f t="shared" si="489"/>
        <v>4.8600000000000003</v>
      </c>
      <c r="AC566" s="1">
        <v>2</v>
      </c>
      <c r="AD566" s="15">
        <v>3.3</v>
      </c>
      <c r="AF566" s="15">
        <v>5.76</v>
      </c>
      <c r="AH566" s="15">
        <v>6</v>
      </c>
      <c r="AJ566" s="15">
        <v>44.2</v>
      </c>
      <c r="AM566" s="1">
        <v>1</v>
      </c>
      <c r="AP566" s="15" t="s">
        <v>1431</v>
      </c>
      <c r="AQ566" s="1">
        <v>1</v>
      </c>
      <c r="AR566" s="1">
        <v>3</v>
      </c>
      <c r="AT566" s="15" t="s">
        <v>576</v>
      </c>
      <c r="AW566" s="15">
        <f>AW562/2</f>
        <v>7500</v>
      </c>
      <c r="AX566" s="15">
        <f t="shared" si="539"/>
        <v>7500</v>
      </c>
      <c r="AY566" s="15" t="s">
        <v>766</v>
      </c>
      <c r="AZ566" s="15">
        <f t="shared" si="532"/>
        <v>7500</v>
      </c>
      <c r="BA566" s="15">
        <f t="shared" si="533"/>
        <v>2.5597269624573378</v>
      </c>
      <c r="BB566" s="15">
        <f t="shared" si="534"/>
        <v>4500</v>
      </c>
      <c r="FK566" s="16">
        <f t="shared" si="527"/>
        <v>5.39</v>
      </c>
      <c r="FL566" s="16">
        <f t="shared" si="528"/>
        <v>8.15</v>
      </c>
      <c r="FM566" s="15">
        <v>5.39</v>
      </c>
      <c r="FN566" s="15">
        <f t="shared" si="535"/>
        <v>0.26950000000000002</v>
      </c>
      <c r="FO566" s="15">
        <f>FN566*SQRT(AR566)</f>
        <v>0.46678769263981246</v>
      </c>
      <c r="FP566" s="15">
        <v>8.15</v>
      </c>
      <c r="FQ566" s="15">
        <f t="shared" si="536"/>
        <v>0.40750000000000003</v>
      </c>
      <c r="FR566" s="15">
        <f>FQ566*SQRT(AR566)</f>
        <v>0.70581070408431745</v>
      </c>
      <c r="FS566" s="15">
        <f t="shared" si="529"/>
        <v>1.5120593692022266</v>
      </c>
      <c r="FT566" s="15">
        <f t="shared" si="530"/>
        <v>2.7600000000000007</v>
      </c>
      <c r="FU566" s="15">
        <f t="shared" si="531"/>
        <v>0.4134725423318657</v>
      </c>
      <c r="FV566" s="15">
        <f>((FR566*FR566)/(AR566*FP566*FP566)+(FO566*FO566)/(AR566*FM566*FM566))</f>
        <v>4.9999999999999992E-3</v>
      </c>
      <c r="HE566" s="15">
        <v>13100</v>
      </c>
      <c r="HF566" s="15">
        <f t="shared" si="537"/>
        <v>655</v>
      </c>
      <c r="HG566" s="15">
        <f>HF566*SQRT(AR256)</f>
        <v>1134.4932789576146</v>
      </c>
      <c r="HH566" s="15">
        <v>17500</v>
      </c>
      <c r="HI566" s="15">
        <f t="shared" si="538"/>
        <v>875</v>
      </c>
      <c r="HJ566" s="15">
        <f>HI566*SQRT(AR256)</f>
        <v>1515.5444566227675</v>
      </c>
      <c r="HK566" s="15">
        <f t="shared" si="502"/>
        <v>1.3358778625954197</v>
      </c>
      <c r="HL566" s="15">
        <f t="shared" si="503"/>
        <v>4400</v>
      </c>
      <c r="HM566" s="15">
        <f t="shared" si="504"/>
        <v>0.28958865072236328</v>
      </c>
      <c r="HN566" s="15">
        <f>((HJ566*HJ566)/(AR256*HH566*HH566)+(HG566*HG566)/(AR256*HE566*HE566))</f>
        <v>4.9999999999999992E-3</v>
      </c>
      <c r="HP566" s="15" t="s">
        <v>766</v>
      </c>
      <c r="HV566" s="15">
        <f t="shared" si="505"/>
        <v>155.39283009796802</v>
      </c>
      <c r="HW566" s="15">
        <f t="shared" si="540"/>
        <v>0.28958865072236328</v>
      </c>
      <c r="HX566" s="15">
        <f>BB566</f>
        <v>4500</v>
      </c>
      <c r="HY566" s="15">
        <f>AZ566</f>
        <v>7500</v>
      </c>
      <c r="HZ566" s="15">
        <f>BA566</f>
        <v>2.5597269624573378</v>
      </c>
      <c r="IA566" s="15">
        <f>BB566</f>
        <v>4500</v>
      </c>
    </row>
    <row r="567" spans="1:235" s="15" customFormat="1" x14ac:dyDescent="0.25">
      <c r="A567" s="31">
        <v>565</v>
      </c>
      <c r="B567" s="1">
        <v>95</v>
      </c>
      <c r="C567" s="1">
        <v>113</v>
      </c>
      <c r="D567" s="15" t="s">
        <v>1408</v>
      </c>
      <c r="E567" s="1">
        <v>1</v>
      </c>
      <c r="F567" s="15" t="s">
        <v>761</v>
      </c>
      <c r="G567" s="15" t="s">
        <v>1427</v>
      </c>
      <c r="H567" s="15" t="s">
        <v>1428</v>
      </c>
      <c r="I567" s="1">
        <v>2004</v>
      </c>
      <c r="J567" s="15" t="s">
        <v>1263</v>
      </c>
      <c r="K567" s="1" t="s">
        <v>1429</v>
      </c>
      <c r="L567" s="15" t="s">
        <v>1362</v>
      </c>
      <c r="M567" s="15" t="s">
        <v>480</v>
      </c>
      <c r="N567" s="15" t="s">
        <v>520</v>
      </c>
      <c r="O567" s="31">
        <v>2</v>
      </c>
      <c r="P567" s="15">
        <v>29.17</v>
      </c>
      <c r="Q567" s="15">
        <v>119.18</v>
      </c>
      <c r="S567" s="15">
        <v>1333</v>
      </c>
      <c r="T567" s="15">
        <v>17.100000000000001</v>
      </c>
      <c r="U567" s="15" t="s">
        <v>549</v>
      </c>
      <c r="V567" s="31">
        <v>1</v>
      </c>
      <c r="W567" s="15" t="s">
        <v>1430</v>
      </c>
      <c r="X567" s="15" t="s">
        <v>731</v>
      </c>
      <c r="Y567" s="1">
        <v>12</v>
      </c>
      <c r="Z567" s="15">
        <v>4.8600000000000003</v>
      </c>
      <c r="AA567" s="15" t="s">
        <v>574</v>
      </c>
      <c r="AB567" s="15">
        <f t="shared" si="489"/>
        <v>4.8600000000000003</v>
      </c>
      <c r="AC567" s="1">
        <v>2</v>
      </c>
      <c r="AD567" s="15">
        <v>3.3</v>
      </c>
      <c r="AF567" s="15">
        <v>5.76</v>
      </c>
      <c r="AH567" s="15">
        <v>6</v>
      </c>
      <c r="AJ567" s="15">
        <v>44.2</v>
      </c>
      <c r="AM567" s="1">
        <v>1</v>
      </c>
      <c r="AP567" s="15" t="s">
        <v>1431</v>
      </c>
      <c r="AQ567" s="1">
        <v>1</v>
      </c>
      <c r="AR567" s="1">
        <v>3</v>
      </c>
      <c r="AT567" s="15" t="s">
        <v>576</v>
      </c>
      <c r="AW567" s="15">
        <v>1875</v>
      </c>
      <c r="AX567" s="15">
        <f t="shared" si="539"/>
        <v>1875</v>
      </c>
      <c r="AY567" s="15" t="s">
        <v>766</v>
      </c>
      <c r="AZ567" s="15">
        <f t="shared" si="532"/>
        <v>1875</v>
      </c>
      <c r="BA567" s="15">
        <f t="shared" si="533"/>
        <v>0.63993174061433444</v>
      </c>
      <c r="BB567" s="15">
        <f t="shared" si="534"/>
        <v>1125</v>
      </c>
      <c r="FK567" s="16">
        <f t="shared" si="527"/>
        <v>5.39</v>
      </c>
      <c r="FL567" s="16">
        <f t="shared" si="528"/>
        <v>6.68</v>
      </c>
      <c r="FM567" s="15">
        <v>5.39</v>
      </c>
      <c r="FN567" s="15">
        <f t="shared" si="535"/>
        <v>0.26950000000000002</v>
      </c>
      <c r="FO567" s="15">
        <f>FN567*SQRT(AR567)</f>
        <v>0.46678769263981246</v>
      </c>
      <c r="FP567" s="15">
        <v>6.68</v>
      </c>
      <c r="FQ567" s="15">
        <f t="shared" si="536"/>
        <v>0.33400000000000002</v>
      </c>
      <c r="FR567" s="15">
        <f>FQ567*SQRT(AR567)</f>
        <v>0.57850496972800503</v>
      </c>
      <c r="FS567" s="15">
        <f t="shared" si="529"/>
        <v>1.2393320964749537</v>
      </c>
      <c r="FT567" s="15">
        <f t="shared" si="530"/>
        <v>1.29</v>
      </c>
      <c r="FU567" s="15">
        <f t="shared" si="531"/>
        <v>0.21457260262764843</v>
      </c>
      <c r="FV567" s="15">
        <f>((FR567*FR567)/(AR567*FP567*FP567)+(FO567*FO567)/(AR567*FM567*FM567))</f>
        <v>5.000000000000001E-3</v>
      </c>
      <c r="HE567" s="15">
        <v>4240</v>
      </c>
      <c r="HF567" s="15">
        <f t="shared" si="537"/>
        <v>212</v>
      </c>
      <c r="HG567" s="15">
        <f>HF567*SQRT(AR257)</f>
        <v>367.19477120460198</v>
      </c>
      <c r="HH567" s="15">
        <v>4790</v>
      </c>
      <c r="HI567" s="15">
        <f t="shared" si="538"/>
        <v>239.5</v>
      </c>
      <c r="HJ567" s="15">
        <f>HI567*SQRT(AR257)</f>
        <v>414.82616841274609</v>
      </c>
      <c r="HK567" s="15">
        <f t="shared" si="502"/>
        <v>1.1297169811320755</v>
      </c>
      <c r="HL567" s="15">
        <f t="shared" si="503"/>
        <v>550</v>
      </c>
      <c r="HM567" s="15">
        <f t="shared" si="504"/>
        <v>0.1219671421789581</v>
      </c>
      <c r="HN567" s="15">
        <f>((HJ567*HJ567)/(AR257*HH567*HH567)+(HG567*HG567)/(AR257*HE567*HE567))</f>
        <v>4.9999999999999992E-3</v>
      </c>
      <c r="HP567" s="15" t="s">
        <v>766</v>
      </c>
      <c r="HV567" s="15">
        <f t="shared" si="505"/>
        <v>92.237956871148711</v>
      </c>
      <c r="HW567" s="15">
        <f t="shared" si="540"/>
        <v>0.1219671421789581</v>
      </c>
      <c r="HX567" s="15">
        <f>BB567</f>
        <v>1125</v>
      </c>
      <c r="HY567" s="15">
        <f>AZ567</f>
        <v>1875</v>
      </c>
      <c r="HZ567" s="15">
        <f>BA567</f>
        <v>0.63993174061433444</v>
      </c>
      <c r="IA567" s="15">
        <f>BB567</f>
        <v>1125</v>
      </c>
    </row>
    <row r="568" spans="1:235" s="15" customFormat="1" x14ac:dyDescent="0.25">
      <c r="A568" s="31">
        <v>566</v>
      </c>
      <c r="B568" s="1">
        <v>95</v>
      </c>
      <c r="C568" s="1">
        <v>113</v>
      </c>
      <c r="D568" s="15" t="s">
        <v>1409</v>
      </c>
      <c r="E568" s="1">
        <v>1</v>
      </c>
      <c r="F568" s="15" t="s">
        <v>761</v>
      </c>
      <c r="G568" s="15" t="s">
        <v>1427</v>
      </c>
      <c r="H568" s="15" t="s">
        <v>1428</v>
      </c>
      <c r="I568" s="1">
        <v>2004</v>
      </c>
      <c r="J568" s="15" t="s">
        <v>1263</v>
      </c>
      <c r="K568" s="1" t="s">
        <v>1429</v>
      </c>
      <c r="L568" s="15" t="s">
        <v>1362</v>
      </c>
      <c r="M568" s="15" t="s">
        <v>480</v>
      </c>
      <c r="N568" s="15" t="s">
        <v>520</v>
      </c>
      <c r="O568" s="31">
        <v>2</v>
      </c>
      <c r="P568" s="15">
        <v>29.17</v>
      </c>
      <c r="Q568" s="15">
        <v>119.18</v>
      </c>
      <c r="S568" s="15">
        <v>1333</v>
      </c>
      <c r="T568" s="15">
        <v>17.100000000000001</v>
      </c>
      <c r="U568" s="15" t="s">
        <v>549</v>
      </c>
      <c r="V568" s="31">
        <v>1</v>
      </c>
      <c r="W568" s="15" t="s">
        <v>1430</v>
      </c>
      <c r="X568" s="15" t="s">
        <v>731</v>
      </c>
      <c r="Y568" s="1">
        <v>12</v>
      </c>
      <c r="Z568" s="15">
        <v>4.8600000000000003</v>
      </c>
      <c r="AA568" s="15" t="s">
        <v>574</v>
      </c>
      <c r="AB568" s="15">
        <f t="shared" si="489"/>
        <v>4.8600000000000003</v>
      </c>
      <c r="AC568" s="1">
        <v>2</v>
      </c>
      <c r="AD568" s="15">
        <v>3.3</v>
      </c>
      <c r="AF568" s="15">
        <v>5.76</v>
      </c>
      <c r="AH568" s="15">
        <v>6</v>
      </c>
      <c r="AJ568" s="15">
        <v>44.2</v>
      </c>
      <c r="AM568" s="1">
        <v>1</v>
      </c>
      <c r="AP568" s="15" t="s">
        <v>1431</v>
      </c>
      <c r="AQ568" s="1">
        <v>1</v>
      </c>
      <c r="AR568" s="1">
        <v>3</v>
      </c>
      <c r="AT568" s="15" t="s">
        <v>576</v>
      </c>
      <c r="AW568" s="15">
        <v>3750</v>
      </c>
      <c r="AX568" s="15">
        <f t="shared" si="539"/>
        <v>3750</v>
      </c>
      <c r="AY568" s="15" t="s">
        <v>766</v>
      </c>
      <c r="AZ568" s="15">
        <f t="shared" si="532"/>
        <v>3750</v>
      </c>
      <c r="BA568" s="15">
        <f t="shared" si="533"/>
        <v>1.2798634812286689</v>
      </c>
      <c r="BB568" s="15">
        <f t="shared" si="534"/>
        <v>2250</v>
      </c>
      <c r="FK568" s="16">
        <f t="shared" si="527"/>
        <v>5.39</v>
      </c>
      <c r="FL568" s="16">
        <f t="shared" si="528"/>
        <v>7.4</v>
      </c>
      <c r="FM568" s="15">
        <v>5.39</v>
      </c>
      <c r="FN568" s="15">
        <f t="shared" si="535"/>
        <v>0.26950000000000002</v>
      </c>
      <c r="FO568" s="15">
        <f>FN568*SQRT(AR568)</f>
        <v>0.46678769263981246</v>
      </c>
      <c r="FP568" s="15">
        <v>7.4</v>
      </c>
      <c r="FQ568" s="15">
        <f t="shared" si="536"/>
        <v>0.37000000000000005</v>
      </c>
      <c r="FR568" s="15">
        <f>FQ568*SQRT(AR568)</f>
        <v>0.64085879880048469</v>
      </c>
      <c r="FS568" s="15">
        <f t="shared" si="529"/>
        <v>1.3729128014842302</v>
      </c>
      <c r="FT568" s="15">
        <f t="shared" si="530"/>
        <v>2.0100000000000007</v>
      </c>
      <c r="FU568" s="15">
        <f t="shared" si="531"/>
        <v>0.31693461528921851</v>
      </c>
      <c r="FV568" s="15">
        <f>((FR568*FR568)/(AR568*FP568*FP568)+(FO568*FO568)/(AR568*FM568*FM568))</f>
        <v>5.000000000000001E-3</v>
      </c>
      <c r="HE568" s="15">
        <v>4240</v>
      </c>
      <c r="HF568" s="15">
        <f t="shared" si="537"/>
        <v>212</v>
      </c>
      <c r="HG568" s="15">
        <f>HF568*SQRT(AR258)</f>
        <v>367.19477120460198</v>
      </c>
      <c r="HH568" s="15">
        <v>4830</v>
      </c>
      <c r="HI568" s="15">
        <f t="shared" si="538"/>
        <v>241.5</v>
      </c>
      <c r="HJ568" s="15">
        <f>HI568*SQRT(AR258)</f>
        <v>418.29027002788382</v>
      </c>
      <c r="HK568" s="15">
        <f t="shared" si="502"/>
        <v>1.1391509433962264</v>
      </c>
      <c r="HL568" s="15">
        <f t="shared" si="503"/>
        <v>590</v>
      </c>
      <c r="HM568" s="15">
        <f t="shared" si="504"/>
        <v>0.13028319842061542</v>
      </c>
      <c r="HN568" s="15">
        <f>((HJ568*HJ568)/(AR258*HH568*HH568)+(HG568*HG568)/(AR258*HE568*HE568))</f>
        <v>4.9999999999999992E-3</v>
      </c>
      <c r="HP568" s="15" t="s">
        <v>766</v>
      </c>
      <c r="HV568" s="15">
        <f t="shared" si="505"/>
        <v>172.70070333520232</v>
      </c>
      <c r="HW568" s="15">
        <f t="shared" si="540"/>
        <v>0.13028319842061542</v>
      </c>
      <c r="HX568" s="15">
        <f>BB568</f>
        <v>2250</v>
      </c>
      <c r="HY568" s="15">
        <f>AZ568</f>
        <v>3750</v>
      </c>
      <c r="HZ568" s="15">
        <f>BA568</f>
        <v>1.2798634812286689</v>
      </c>
      <c r="IA568" s="15">
        <f>BB568</f>
        <v>2250</v>
      </c>
    </row>
    <row r="569" spans="1:235" s="15" customFormat="1" x14ac:dyDescent="0.25">
      <c r="A569" s="31">
        <v>567</v>
      </c>
      <c r="B569" s="1">
        <v>95</v>
      </c>
      <c r="C569" s="1">
        <v>113</v>
      </c>
      <c r="D569" s="15" t="s">
        <v>1410</v>
      </c>
      <c r="E569" s="1">
        <v>1</v>
      </c>
      <c r="F569" s="15" t="s">
        <v>761</v>
      </c>
      <c r="G569" s="15" t="s">
        <v>1427</v>
      </c>
      <c r="H569" s="15" t="s">
        <v>1428</v>
      </c>
      <c r="I569" s="1">
        <v>2004</v>
      </c>
      <c r="J569" s="15" t="s">
        <v>1263</v>
      </c>
      <c r="K569" s="1" t="s">
        <v>1429</v>
      </c>
      <c r="L569" s="15" t="s">
        <v>1362</v>
      </c>
      <c r="M569" s="15" t="s">
        <v>480</v>
      </c>
      <c r="N569" s="15" t="s">
        <v>520</v>
      </c>
      <c r="O569" s="31">
        <v>2</v>
      </c>
      <c r="P569" s="15">
        <v>29.17</v>
      </c>
      <c r="Q569" s="15">
        <v>119.18</v>
      </c>
      <c r="S569" s="15">
        <v>1333</v>
      </c>
      <c r="T569" s="15">
        <v>17.100000000000001</v>
      </c>
      <c r="U569" s="15" t="s">
        <v>549</v>
      </c>
      <c r="V569" s="31">
        <v>1</v>
      </c>
      <c r="W569" s="15" t="s">
        <v>1430</v>
      </c>
      <c r="X569" s="15" t="s">
        <v>731</v>
      </c>
      <c r="Y569" s="1">
        <v>12</v>
      </c>
      <c r="Z569" s="15">
        <v>4.8600000000000003</v>
      </c>
      <c r="AA569" s="15" t="s">
        <v>574</v>
      </c>
      <c r="AB569" s="15">
        <f t="shared" si="489"/>
        <v>4.8600000000000003</v>
      </c>
      <c r="AC569" s="1">
        <v>2</v>
      </c>
      <c r="AD569" s="15">
        <v>3.3</v>
      </c>
      <c r="AF569" s="15">
        <v>5.76</v>
      </c>
      <c r="AH569" s="15">
        <v>6</v>
      </c>
      <c r="AJ569" s="15">
        <v>44.2</v>
      </c>
      <c r="AM569" s="1">
        <v>1</v>
      </c>
      <c r="AP569" s="15" t="s">
        <v>1431</v>
      </c>
      <c r="AQ569" s="1">
        <v>1</v>
      </c>
      <c r="AR569" s="1">
        <v>3</v>
      </c>
      <c r="AT569" s="15" t="s">
        <v>576</v>
      </c>
      <c r="AW569" s="15">
        <v>5625</v>
      </c>
      <c r="AX569" s="15">
        <f t="shared" si="539"/>
        <v>5625</v>
      </c>
      <c r="AY569" s="15" t="s">
        <v>766</v>
      </c>
      <c r="AZ569" s="15">
        <f t="shared" si="532"/>
        <v>5625</v>
      </c>
      <c r="BA569" s="15">
        <f t="shared" si="533"/>
        <v>1.9197952218430032</v>
      </c>
      <c r="BB569" s="15">
        <f t="shared" si="534"/>
        <v>3375</v>
      </c>
      <c r="FK569" s="16">
        <f t="shared" si="527"/>
        <v>5.39</v>
      </c>
      <c r="FL569" s="16">
        <f t="shared" si="528"/>
        <v>7.61</v>
      </c>
      <c r="FM569" s="15">
        <v>5.39</v>
      </c>
      <c r="FN569" s="15">
        <f t="shared" si="535"/>
        <v>0.26950000000000002</v>
      </c>
      <c r="FO569" s="15">
        <f>FN569*SQRT(AR569)</f>
        <v>0.46678769263981246</v>
      </c>
      <c r="FP569" s="15">
        <v>7.61</v>
      </c>
      <c r="FQ569" s="15">
        <f t="shared" si="536"/>
        <v>0.38050000000000006</v>
      </c>
      <c r="FR569" s="15">
        <f>FQ569*SQRT(AR569)</f>
        <v>0.65904533227995787</v>
      </c>
      <c r="FS569" s="15">
        <f t="shared" si="529"/>
        <v>1.4118738404452691</v>
      </c>
      <c r="FT569" s="15">
        <f t="shared" si="530"/>
        <v>2.2200000000000006</v>
      </c>
      <c r="FU569" s="15">
        <f t="shared" si="531"/>
        <v>0.34491778695268893</v>
      </c>
      <c r="FV569" s="15">
        <f>((FR569*FR569)/(AR569*FP569*FP569)+(FO569*FO569)/(AR569*FM569*FM569))</f>
        <v>5.000000000000001E-3</v>
      </c>
      <c r="HE569" s="15">
        <v>4240</v>
      </c>
      <c r="HF569" s="15">
        <f t="shared" si="537"/>
        <v>212</v>
      </c>
      <c r="HG569" s="15">
        <f>HF569*SQRT(AR259)</f>
        <v>367.19477120460198</v>
      </c>
      <c r="HH569" s="15">
        <v>4570</v>
      </c>
      <c r="HI569" s="15">
        <f t="shared" si="538"/>
        <v>228.5</v>
      </c>
      <c r="HJ569" s="15">
        <f>HI569*SQRT(AR259)</f>
        <v>395.77360952948845</v>
      </c>
      <c r="HK569" s="15">
        <f t="shared" si="502"/>
        <v>1.0778301886792452</v>
      </c>
      <c r="HL569" s="15">
        <f t="shared" si="503"/>
        <v>330</v>
      </c>
      <c r="HM569" s="15">
        <f t="shared" si="504"/>
        <v>7.4949935662246503E-2</v>
      </c>
      <c r="HN569" s="15">
        <f>((HJ569*HJ569)/(AR259*HH569*HH569)+(HG569*HG569)/(AR259*HE569*HE569))</f>
        <v>5.0000000000000001E-3</v>
      </c>
      <c r="HP569" s="15" t="s">
        <v>766</v>
      </c>
      <c r="HV569" s="15">
        <f t="shared" si="505"/>
        <v>450.30058667549224</v>
      </c>
      <c r="HW569" s="15">
        <f t="shared" si="540"/>
        <v>7.4949935662246503E-2</v>
      </c>
      <c r="HX569" s="15">
        <f>BB569</f>
        <v>3375</v>
      </c>
      <c r="HY569" s="15">
        <f>AZ569</f>
        <v>5625</v>
      </c>
      <c r="HZ569" s="15">
        <f>BA569</f>
        <v>1.9197952218430032</v>
      </c>
      <c r="IA569" s="15">
        <f>BB569</f>
        <v>3375</v>
      </c>
    </row>
    <row r="570" spans="1:235" s="15" customFormat="1" x14ac:dyDescent="0.25">
      <c r="A570" s="31">
        <v>568</v>
      </c>
      <c r="B570" s="1">
        <v>95</v>
      </c>
      <c r="C570" s="1">
        <v>113</v>
      </c>
      <c r="D570" s="15" t="s">
        <v>1411</v>
      </c>
      <c r="E570" s="1">
        <v>1</v>
      </c>
      <c r="F570" s="15" t="s">
        <v>761</v>
      </c>
      <c r="G570" s="15" t="s">
        <v>1427</v>
      </c>
      <c r="H570" s="15" t="s">
        <v>1428</v>
      </c>
      <c r="I570" s="1">
        <v>2004</v>
      </c>
      <c r="J570" s="15" t="s">
        <v>1263</v>
      </c>
      <c r="K570" s="1" t="s">
        <v>1429</v>
      </c>
      <c r="L570" s="15" t="s">
        <v>1362</v>
      </c>
      <c r="M570" s="15" t="s">
        <v>480</v>
      </c>
      <c r="N570" s="15" t="s">
        <v>520</v>
      </c>
      <c r="O570" s="31">
        <v>2</v>
      </c>
      <c r="P570" s="15">
        <v>29.17</v>
      </c>
      <c r="Q570" s="15">
        <v>119.18</v>
      </c>
      <c r="S570" s="15">
        <v>1333</v>
      </c>
      <c r="T570" s="15">
        <v>17.100000000000001</v>
      </c>
      <c r="U570" s="15" t="s">
        <v>549</v>
      </c>
      <c r="V570" s="31">
        <v>1</v>
      </c>
      <c r="W570" s="15" t="s">
        <v>1430</v>
      </c>
      <c r="X570" s="15" t="s">
        <v>731</v>
      </c>
      <c r="Y570" s="1">
        <v>12</v>
      </c>
      <c r="Z570" s="15">
        <v>4.8600000000000003</v>
      </c>
      <c r="AA570" s="15" t="s">
        <v>574</v>
      </c>
      <c r="AB570" s="15">
        <f t="shared" si="489"/>
        <v>4.8600000000000003</v>
      </c>
      <c r="AC570" s="1">
        <v>2</v>
      </c>
      <c r="AD570" s="15">
        <v>3.3</v>
      </c>
      <c r="AF570" s="15">
        <v>5.76</v>
      </c>
      <c r="AH570" s="15">
        <v>6</v>
      </c>
      <c r="AJ570" s="15">
        <v>44.2</v>
      </c>
      <c r="AM570" s="1">
        <v>1</v>
      </c>
      <c r="AP570" s="15" t="s">
        <v>1431</v>
      </c>
      <c r="AQ570" s="1">
        <v>1</v>
      </c>
      <c r="AR570" s="1">
        <v>3</v>
      </c>
      <c r="AT570" s="15" t="s">
        <v>576</v>
      </c>
      <c r="AW570" s="15">
        <v>7500</v>
      </c>
      <c r="AX570" s="15">
        <f t="shared" si="539"/>
        <v>7500</v>
      </c>
      <c r="AY570" s="15" t="s">
        <v>766</v>
      </c>
      <c r="AZ570" s="15">
        <f t="shared" si="532"/>
        <v>7500</v>
      </c>
      <c r="BA570" s="15">
        <f t="shared" si="533"/>
        <v>2.5597269624573378</v>
      </c>
      <c r="BB570" s="15">
        <f t="shared" si="534"/>
        <v>4500</v>
      </c>
      <c r="FK570" s="16">
        <f t="shared" si="527"/>
        <v>5.39</v>
      </c>
      <c r="FL570" s="16">
        <f t="shared" si="528"/>
        <v>8.15</v>
      </c>
      <c r="FM570" s="15">
        <v>5.39</v>
      </c>
      <c r="FN570" s="15">
        <f t="shared" si="535"/>
        <v>0.26950000000000002</v>
      </c>
      <c r="FO570" s="15">
        <f>FN570*SQRT(AR570)</f>
        <v>0.46678769263981246</v>
      </c>
      <c r="FP570" s="15">
        <v>8.15</v>
      </c>
      <c r="FQ570" s="15">
        <f t="shared" si="536"/>
        <v>0.40750000000000003</v>
      </c>
      <c r="FR570" s="15">
        <f>FQ570*SQRT(AR570)</f>
        <v>0.70581070408431745</v>
      </c>
      <c r="FS570" s="15">
        <f t="shared" si="529"/>
        <v>1.5120593692022266</v>
      </c>
      <c r="FT570" s="15">
        <f t="shared" si="530"/>
        <v>2.7600000000000007</v>
      </c>
      <c r="FU570" s="15">
        <f t="shared" si="531"/>
        <v>0.4134725423318657</v>
      </c>
      <c r="FV570" s="15">
        <f>((FR570*FR570)/(AR570*FP570*FP570)+(FO570*FO570)/(AR570*FM570*FM570))</f>
        <v>4.9999999999999992E-3</v>
      </c>
      <c r="HE570" s="15">
        <v>4240</v>
      </c>
      <c r="HF570" s="15">
        <f t="shared" si="537"/>
        <v>212</v>
      </c>
      <c r="HG570" s="15">
        <f>HF570*SQRT(AR260)</f>
        <v>367.19477120460198</v>
      </c>
      <c r="HH570" s="15">
        <v>4850</v>
      </c>
      <c r="HI570" s="15">
        <f t="shared" si="538"/>
        <v>242.5</v>
      </c>
      <c r="HJ570" s="15">
        <f>HI570*SQRT(AR260)</f>
        <v>420.02232083545272</v>
      </c>
      <c r="HK570" s="15">
        <f t="shared" si="502"/>
        <v>1.1438679245283019</v>
      </c>
      <c r="HL570" s="15">
        <f t="shared" si="503"/>
        <v>610</v>
      </c>
      <c r="HM570" s="15">
        <f t="shared" si="504"/>
        <v>0.13441543570552561</v>
      </c>
      <c r="HN570" s="15">
        <f>((HJ570*HJ570)/(AR260*HH570*HH570)+(HG570*HG570)/(AR260*HE570*HE570))</f>
        <v>4.9999999999999992E-3</v>
      </c>
      <c r="HP570" s="15" t="s">
        <v>766</v>
      </c>
      <c r="HV570" s="15">
        <f t="shared" si="505"/>
        <v>334.78297908124938</v>
      </c>
      <c r="HW570" s="15">
        <f t="shared" si="540"/>
        <v>0.13441543570552561</v>
      </c>
      <c r="HX570" s="15">
        <f>BB570</f>
        <v>4500</v>
      </c>
      <c r="HY570" s="15">
        <f>AZ570</f>
        <v>7500</v>
      </c>
      <c r="HZ570" s="15">
        <f>BA570</f>
        <v>2.5597269624573378</v>
      </c>
      <c r="IA570" s="15">
        <f>BB570</f>
        <v>4500</v>
      </c>
    </row>
    <row r="571" spans="1:235" s="15" customFormat="1" x14ac:dyDescent="0.25">
      <c r="A571" s="31">
        <v>569</v>
      </c>
      <c r="B571" s="1">
        <v>95</v>
      </c>
      <c r="C571" s="1">
        <v>113</v>
      </c>
      <c r="D571" s="15" t="s">
        <v>1412</v>
      </c>
      <c r="E571" s="1">
        <v>1</v>
      </c>
      <c r="F571" s="15" t="s">
        <v>761</v>
      </c>
      <c r="G571" s="15" t="s">
        <v>1427</v>
      </c>
      <c r="H571" s="15" t="s">
        <v>1428</v>
      </c>
      <c r="I571" s="1">
        <v>2004</v>
      </c>
      <c r="J571" s="15" t="s">
        <v>1263</v>
      </c>
      <c r="K571" s="1" t="s">
        <v>1429</v>
      </c>
      <c r="L571" s="15" t="s">
        <v>1362</v>
      </c>
      <c r="M571" s="15" t="s">
        <v>480</v>
      </c>
      <c r="N571" s="15" t="s">
        <v>520</v>
      </c>
      <c r="O571" s="31">
        <v>2</v>
      </c>
      <c r="P571" s="15">
        <v>29.17</v>
      </c>
      <c r="Q571" s="15">
        <v>119.18</v>
      </c>
      <c r="S571" s="15">
        <v>1333</v>
      </c>
      <c r="T571" s="15">
        <v>17.100000000000001</v>
      </c>
      <c r="U571" s="15" t="s">
        <v>549</v>
      </c>
      <c r="V571" s="31">
        <v>1</v>
      </c>
      <c r="W571" s="15" t="s">
        <v>1430</v>
      </c>
      <c r="X571" s="15" t="s">
        <v>1195</v>
      </c>
      <c r="Y571" s="1">
        <v>5</v>
      </c>
      <c r="Z571" s="15">
        <v>4.8600000000000003</v>
      </c>
      <c r="AA571" s="15" t="s">
        <v>574</v>
      </c>
      <c r="AB571" s="15">
        <f t="shared" si="489"/>
        <v>4.8600000000000003</v>
      </c>
      <c r="AC571" s="1">
        <v>2</v>
      </c>
      <c r="AD571" s="15">
        <v>3.3</v>
      </c>
      <c r="AF571" s="15">
        <v>5.76</v>
      </c>
      <c r="AH571" s="15">
        <v>6</v>
      </c>
      <c r="AJ571" s="15">
        <v>44.2</v>
      </c>
      <c r="AM571" s="1">
        <v>1</v>
      </c>
      <c r="AP571" s="15" t="s">
        <v>1431</v>
      </c>
      <c r="AQ571" s="1">
        <v>1</v>
      </c>
      <c r="AR571" s="1">
        <v>3</v>
      </c>
      <c r="AT571" s="15" t="s">
        <v>576</v>
      </c>
      <c r="AW571" s="15">
        <f>AW555/3</f>
        <v>1250</v>
      </c>
      <c r="AX571" s="15">
        <f t="shared" si="539"/>
        <v>1250</v>
      </c>
      <c r="AY571" s="15" t="s">
        <v>766</v>
      </c>
      <c r="AZ571" s="15">
        <f t="shared" si="532"/>
        <v>1250</v>
      </c>
      <c r="BA571" s="15">
        <f t="shared" si="533"/>
        <v>0.42662116040955628</v>
      </c>
      <c r="BB571" s="15">
        <f t="shared" si="534"/>
        <v>750</v>
      </c>
      <c r="FK571" s="16">
        <f t="shared" si="527"/>
        <v>5.21</v>
      </c>
      <c r="FL571" s="16">
        <f t="shared" si="528"/>
        <v>6.11</v>
      </c>
      <c r="FM571" s="15">
        <v>5.21</v>
      </c>
      <c r="FN571" s="15">
        <f t="shared" si="535"/>
        <v>0.26050000000000001</v>
      </c>
      <c r="FO571" s="15">
        <f>FN571*SQRT(AR571)</f>
        <v>0.45119923537169254</v>
      </c>
      <c r="FP571" s="15">
        <v>6.11</v>
      </c>
      <c r="FQ571" s="15">
        <f t="shared" si="536"/>
        <v>0.30550000000000005</v>
      </c>
      <c r="FR571" s="15">
        <f>FQ571*SQRT(AR571)</f>
        <v>0.52914152171229212</v>
      </c>
      <c r="FS571" s="15">
        <f t="shared" si="529"/>
        <v>1.1727447216890596</v>
      </c>
      <c r="FT571" s="15">
        <f t="shared" si="530"/>
        <v>0.90000000000000036</v>
      </c>
      <c r="FU571" s="15">
        <f t="shared" si="531"/>
        <v>0.15934691741822848</v>
      </c>
      <c r="FV571" s="15">
        <f>((FR571*FR571)/(AR571*FP571*FP571)+(FO571*FO571)/(AR571*FM571*FM571))</f>
        <v>5.000000000000001E-3</v>
      </c>
      <c r="HE571" s="15">
        <v>1640</v>
      </c>
      <c r="HF571" s="15">
        <f t="shared" si="537"/>
        <v>82</v>
      </c>
      <c r="HG571" s="15">
        <f>HF571*SQRT(AR261)</f>
        <v>142.02816622064793</v>
      </c>
      <c r="HH571" s="15">
        <v>1850</v>
      </c>
      <c r="HI571" s="15">
        <f t="shared" si="538"/>
        <v>92.5</v>
      </c>
      <c r="HJ571" s="15">
        <f>HI571*SQRT(AR261)</f>
        <v>160.21469970012114</v>
      </c>
      <c r="HK571" s="15">
        <f t="shared" si="502"/>
        <v>1.1280487804878048</v>
      </c>
      <c r="HL571" s="15">
        <f t="shared" si="503"/>
        <v>210</v>
      </c>
      <c r="HM571" s="15">
        <f t="shared" si="504"/>
        <v>0.12048939725412655</v>
      </c>
      <c r="HN571" s="15">
        <f>((HJ571*HJ571)/(AR261*HH571*HH571)+(HG571*HG571)/(AR261*HE571*HE571))</f>
        <v>5.0000000000000001E-3</v>
      </c>
      <c r="HP571" s="15" t="s">
        <v>766</v>
      </c>
      <c r="HV571" s="15">
        <f t="shared" si="505"/>
        <v>62.246140912976792</v>
      </c>
      <c r="HW571" s="15">
        <f t="shared" si="540"/>
        <v>0.12048939725412655</v>
      </c>
      <c r="HX571" s="15">
        <f>BB571</f>
        <v>750</v>
      </c>
      <c r="HY571" s="15">
        <f>AZ571</f>
        <v>1250</v>
      </c>
      <c r="HZ571" s="15">
        <f>BA571</f>
        <v>0.42662116040955628</v>
      </c>
      <c r="IA571" s="15">
        <f>BB571</f>
        <v>750</v>
      </c>
    </row>
    <row r="572" spans="1:235" s="15" customFormat="1" x14ac:dyDescent="0.25">
      <c r="A572" s="31">
        <v>570</v>
      </c>
      <c r="B572" s="1">
        <v>95</v>
      </c>
      <c r="C572" s="1">
        <v>113</v>
      </c>
      <c r="D572" s="15" t="s">
        <v>1413</v>
      </c>
      <c r="E572" s="1">
        <v>1</v>
      </c>
      <c r="F572" s="15" t="s">
        <v>761</v>
      </c>
      <c r="G572" s="15" t="s">
        <v>1427</v>
      </c>
      <c r="H572" s="15" t="s">
        <v>1428</v>
      </c>
      <c r="I572" s="1">
        <v>2004</v>
      </c>
      <c r="J572" s="15" t="s">
        <v>1263</v>
      </c>
      <c r="K572" s="1" t="s">
        <v>1429</v>
      </c>
      <c r="L572" s="15" t="s">
        <v>1362</v>
      </c>
      <c r="M572" s="15" t="s">
        <v>480</v>
      </c>
      <c r="N572" s="15" t="s">
        <v>520</v>
      </c>
      <c r="O572" s="31">
        <v>2</v>
      </c>
      <c r="P572" s="15">
        <v>29.17</v>
      </c>
      <c r="Q572" s="15">
        <v>119.18</v>
      </c>
      <c r="S572" s="15">
        <v>1333</v>
      </c>
      <c r="T572" s="15">
        <v>17.100000000000001</v>
      </c>
      <c r="U572" s="15" t="s">
        <v>549</v>
      </c>
      <c r="V572" s="31">
        <v>1</v>
      </c>
      <c r="W572" s="15" t="s">
        <v>1430</v>
      </c>
      <c r="X572" s="15" t="s">
        <v>1195</v>
      </c>
      <c r="Y572" s="1">
        <v>5</v>
      </c>
      <c r="Z572" s="15">
        <v>4.8600000000000003</v>
      </c>
      <c r="AA572" s="15" t="s">
        <v>574</v>
      </c>
      <c r="AB572" s="15">
        <f t="shared" si="489"/>
        <v>4.8600000000000003</v>
      </c>
      <c r="AC572" s="1">
        <v>2</v>
      </c>
      <c r="AD572" s="15">
        <v>3.3</v>
      </c>
      <c r="AF572" s="15">
        <v>5.76</v>
      </c>
      <c r="AH572" s="15">
        <v>6</v>
      </c>
      <c r="AJ572" s="15">
        <v>44.2</v>
      </c>
      <c r="AM572" s="1">
        <v>1</v>
      </c>
      <c r="AP572" s="15" t="s">
        <v>1431</v>
      </c>
      <c r="AQ572" s="1">
        <v>1</v>
      </c>
      <c r="AR572" s="1">
        <v>3</v>
      </c>
      <c r="AT572" s="15" t="s">
        <v>576</v>
      </c>
      <c r="AW572" s="15">
        <f>AW556/3</f>
        <v>2500</v>
      </c>
      <c r="AX572" s="15">
        <f t="shared" si="539"/>
        <v>2500</v>
      </c>
      <c r="AY572" s="15" t="s">
        <v>766</v>
      </c>
      <c r="AZ572" s="15">
        <f t="shared" si="532"/>
        <v>2500</v>
      </c>
      <c r="BA572" s="15">
        <f t="shared" si="533"/>
        <v>0.85324232081911255</v>
      </c>
      <c r="BB572" s="15">
        <f t="shared" si="534"/>
        <v>1500</v>
      </c>
      <c r="FK572" s="16">
        <f t="shared" si="527"/>
        <v>5.21</v>
      </c>
      <c r="FL572" s="16">
        <f t="shared" si="528"/>
        <v>6.68</v>
      </c>
      <c r="FM572" s="15">
        <v>5.21</v>
      </c>
      <c r="FN572" s="15">
        <f t="shared" si="535"/>
        <v>0.26050000000000001</v>
      </c>
      <c r="FO572" s="15">
        <f>FN572*SQRT(AR572)</f>
        <v>0.45119923537169254</v>
      </c>
      <c r="FP572" s="15">
        <v>6.68</v>
      </c>
      <c r="FQ572" s="15">
        <f t="shared" si="536"/>
        <v>0.33400000000000002</v>
      </c>
      <c r="FR572" s="15">
        <f>FQ572*SQRT(AR572)</f>
        <v>0.57850496972800503</v>
      </c>
      <c r="FS572" s="15">
        <f t="shared" si="529"/>
        <v>1.2821497120921306</v>
      </c>
      <c r="FT572" s="15">
        <f t="shared" si="530"/>
        <v>1.4699999999999998</v>
      </c>
      <c r="FU572" s="15">
        <f t="shared" si="531"/>
        <v>0.24853813178327866</v>
      </c>
      <c r="FV572" s="15">
        <f>((FR572*FR572)/(AR572*FP572*FP572)+(FO572*FO572)/(AR572*FM572*FM572))</f>
        <v>5.0000000000000001E-3</v>
      </c>
      <c r="HE572" s="15">
        <v>1640</v>
      </c>
      <c r="HF572" s="15">
        <f t="shared" si="537"/>
        <v>82</v>
      </c>
      <c r="HG572" s="15">
        <f>HF572*SQRT(AR262)</f>
        <v>142.02816622064793</v>
      </c>
      <c r="HH572" s="15">
        <v>1790</v>
      </c>
      <c r="HI572" s="15">
        <f t="shared" si="538"/>
        <v>89.5</v>
      </c>
      <c r="HJ572" s="15">
        <f>HI572*SQRT(AR262)</f>
        <v>155.01854727741451</v>
      </c>
      <c r="HK572" s="15">
        <f t="shared" si="502"/>
        <v>1.0914634146341464</v>
      </c>
      <c r="HL572" s="15">
        <f t="shared" si="503"/>
        <v>150</v>
      </c>
      <c r="HM572" s="15">
        <f t="shared" si="504"/>
        <v>8.751937801655707E-2</v>
      </c>
      <c r="HN572" s="15">
        <f>((HJ572*HJ572)/(AR262*HH572*HH572)+(HG572*HG572)/(AR262*HE572*HE572))</f>
        <v>5.0000000000000001E-3</v>
      </c>
      <c r="HP572" s="15" t="s">
        <v>766</v>
      </c>
      <c r="HV572" s="15">
        <f t="shared" si="505"/>
        <v>171.39061474091227</v>
      </c>
      <c r="HW572" s="15">
        <f t="shared" si="540"/>
        <v>8.751937801655707E-2</v>
      </c>
      <c r="HX572" s="15">
        <f>BB572</f>
        <v>1500</v>
      </c>
      <c r="HY572" s="15">
        <f>AZ572</f>
        <v>2500</v>
      </c>
      <c r="HZ572" s="15">
        <f>BA572</f>
        <v>0.85324232081911255</v>
      </c>
      <c r="IA572" s="15">
        <f>BB572</f>
        <v>1500</v>
      </c>
    </row>
    <row r="573" spans="1:235" s="15" customFormat="1" x14ac:dyDescent="0.25">
      <c r="A573" s="31">
        <v>571</v>
      </c>
      <c r="B573" s="1">
        <v>95</v>
      </c>
      <c r="C573" s="1">
        <v>113</v>
      </c>
      <c r="D573" s="15" t="s">
        <v>1414</v>
      </c>
      <c r="E573" s="1">
        <v>1</v>
      </c>
      <c r="F573" s="15" t="s">
        <v>761</v>
      </c>
      <c r="G573" s="15" t="s">
        <v>1427</v>
      </c>
      <c r="H573" s="15" t="s">
        <v>1428</v>
      </c>
      <c r="I573" s="1">
        <v>2004</v>
      </c>
      <c r="J573" s="15" t="s">
        <v>1263</v>
      </c>
      <c r="K573" s="1" t="s">
        <v>1429</v>
      </c>
      <c r="L573" s="15" t="s">
        <v>1362</v>
      </c>
      <c r="M573" s="15" t="s">
        <v>480</v>
      </c>
      <c r="N573" s="15" t="s">
        <v>520</v>
      </c>
      <c r="O573" s="31">
        <v>2</v>
      </c>
      <c r="P573" s="15">
        <v>29.17</v>
      </c>
      <c r="Q573" s="15">
        <v>119.18</v>
      </c>
      <c r="S573" s="15">
        <v>1333</v>
      </c>
      <c r="T573" s="15">
        <v>17.100000000000001</v>
      </c>
      <c r="U573" s="15" t="s">
        <v>549</v>
      </c>
      <c r="V573" s="31">
        <v>1</v>
      </c>
      <c r="W573" s="15" t="s">
        <v>1430</v>
      </c>
      <c r="X573" s="15" t="s">
        <v>1195</v>
      </c>
      <c r="Y573" s="1">
        <v>5</v>
      </c>
      <c r="Z573" s="15">
        <v>4.8600000000000003</v>
      </c>
      <c r="AA573" s="15" t="s">
        <v>574</v>
      </c>
      <c r="AB573" s="15">
        <f t="shared" si="489"/>
        <v>4.8600000000000003</v>
      </c>
      <c r="AC573" s="1">
        <v>2</v>
      </c>
      <c r="AD573" s="15">
        <v>3.3</v>
      </c>
      <c r="AF573" s="15">
        <v>5.76</v>
      </c>
      <c r="AH573" s="15">
        <v>6</v>
      </c>
      <c r="AJ573" s="15">
        <v>44.2</v>
      </c>
      <c r="AM573" s="1">
        <v>1</v>
      </c>
      <c r="AP573" s="15" t="s">
        <v>1431</v>
      </c>
      <c r="AQ573" s="1">
        <v>1</v>
      </c>
      <c r="AR573" s="1">
        <v>3</v>
      </c>
      <c r="AT573" s="15" t="s">
        <v>576</v>
      </c>
      <c r="AW573" s="15">
        <f>AW557/3</f>
        <v>3750</v>
      </c>
      <c r="AX573" s="15">
        <f t="shared" si="539"/>
        <v>3750</v>
      </c>
      <c r="AY573" s="15" t="s">
        <v>766</v>
      </c>
      <c r="AZ573" s="15">
        <f t="shared" si="532"/>
        <v>3750</v>
      </c>
      <c r="BA573" s="15">
        <f t="shared" si="533"/>
        <v>1.2798634812286689</v>
      </c>
      <c r="BB573" s="15">
        <f t="shared" si="534"/>
        <v>2250</v>
      </c>
      <c r="FK573" s="16">
        <f t="shared" si="527"/>
        <v>5.21</v>
      </c>
      <c r="FL573" s="16">
        <f t="shared" si="528"/>
        <v>7.23</v>
      </c>
      <c r="FM573" s="15">
        <v>5.21</v>
      </c>
      <c r="FN573" s="15">
        <f t="shared" si="535"/>
        <v>0.26050000000000001</v>
      </c>
      <c r="FO573" s="15">
        <f>FN573*SQRT(AR573)</f>
        <v>0.45119923537169254</v>
      </c>
      <c r="FP573" s="15">
        <v>7.23</v>
      </c>
      <c r="FQ573" s="15">
        <f t="shared" si="536"/>
        <v>0.36150000000000004</v>
      </c>
      <c r="FR573" s="15">
        <f>FQ573*SQRT(AR573)</f>
        <v>0.62613636693614916</v>
      </c>
      <c r="FS573" s="15">
        <f t="shared" si="529"/>
        <v>1.3877159309021114</v>
      </c>
      <c r="FT573" s="15">
        <f t="shared" si="530"/>
        <v>2.0200000000000005</v>
      </c>
      <c r="FU573" s="15">
        <f t="shared" si="531"/>
        <v>0.32765918040539788</v>
      </c>
      <c r="FV573" s="15">
        <f>((FR573*FR573)/(AR573*FP573*FP573)+(FO573*FO573)/(AR573*FM573*FM573))</f>
        <v>5.0000000000000001E-3</v>
      </c>
      <c r="HE573" s="15">
        <v>1640</v>
      </c>
      <c r="HF573" s="15">
        <f t="shared" si="537"/>
        <v>82</v>
      </c>
      <c r="HG573" s="15">
        <f>HF573*SQRT(AR263)</f>
        <v>142.02816622064793</v>
      </c>
      <c r="HH573" s="15">
        <v>1840</v>
      </c>
      <c r="HI573" s="15">
        <f t="shared" si="538"/>
        <v>92</v>
      </c>
      <c r="HJ573" s="15">
        <f>HI573*SQRT(AR263)</f>
        <v>159.3486742963367</v>
      </c>
      <c r="HK573" s="15">
        <f t="shared" si="502"/>
        <v>1.1219512195121952</v>
      </c>
      <c r="HL573" s="15">
        <f t="shared" si="503"/>
        <v>200</v>
      </c>
      <c r="HM573" s="15">
        <f t="shared" si="504"/>
        <v>0.11506932978478712</v>
      </c>
      <c r="HN573" s="15">
        <f>((HJ573*HJ573)/(AR263*HH573*HH573)+(HG573*HG573)/(AR263*HE573*HE573))</f>
        <v>4.9999999999999992E-3</v>
      </c>
      <c r="HP573" s="15" t="s">
        <v>766</v>
      </c>
      <c r="HV573" s="15">
        <f t="shared" si="505"/>
        <v>195.5342926050017</v>
      </c>
      <c r="HW573" s="15">
        <f t="shared" si="540"/>
        <v>0.11506932978478712</v>
      </c>
      <c r="HX573" s="15">
        <f>BB573</f>
        <v>2250</v>
      </c>
      <c r="HY573" s="15">
        <f>AZ573</f>
        <v>3750</v>
      </c>
      <c r="HZ573" s="15">
        <f>BA573</f>
        <v>1.2798634812286689</v>
      </c>
      <c r="IA573" s="15">
        <f>BB573</f>
        <v>2250</v>
      </c>
    </row>
    <row r="574" spans="1:235" s="15" customFormat="1" x14ac:dyDescent="0.25">
      <c r="A574" s="31">
        <v>572</v>
      </c>
      <c r="B574" s="1">
        <v>95</v>
      </c>
      <c r="C574" s="1">
        <v>113</v>
      </c>
      <c r="D574" s="15" t="s">
        <v>1415</v>
      </c>
      <c r="E574" s="1">
        <v>1</v>
      </c>
      <c r="F574" s="15" t="s">
        <v>761</v>
      </c>
      <c r="G574" s="15" t="s">
        <v>1427</v>
      </c>
      <c r="H574" s="15" t="s">
        <v>1428</v>
      </c>
      <c r="I574" s="1">
        <v>2004</v>
      </c>
      <c r="J574" s="15" t="s">
        <v>1263</v>
      </c>
      <c r="K574" s="1" t="s">
        <v>1429</v>
      </c>
      <c r="L574" s="15" t="s">
        <v>1362</v>
      </c>
      <c r="M574" s="15" t="s">
        <v>480</v>
      </c>
      <c r="N574" s="15" t="s">
        <v>520</v>
      </c>
      <c r="O574" s="31">
        <v>2</v>
      </c>
      <c r="P574" s="15">
        <v>29.17</v>
      </c>
      <c r="Q574" s="15">
        <v>119.18</v>
      </c>
      <c r="S574" s="15">
        <v>1333</v>
      </c>
      <c r="T574" s="15">
        <v>17.100000000000001</v>
      </c>
      <c r="U574" s="15" t="s">
        <v>549</v>
      </c>
      <c r="V574" s="31">
        <v>1</v>
      </c>
      <c r="W574" s="15" t="s">
        <v>1430</v>
      </c>
      <c r="X574" s="15" t="s">
        <v>1195</v>
      </c>
      <c r="Y574" s="1">
        <v>5</v>
      </c>
      <c r="Z574" s="15">
        <v>4.8600000000000003</v>
      </c>
      <c r="AA574" s="15" t="s">
        <v>574</v>
      </c>
      <c r="AB574" s="15">
        <f t="shared" si="489"/>
        <v>4.8600000000000003</v>
      </c>
      <c r="AC574" s="1">
        <v>2</v>
      </c>
      <c r="AD574" s="15">
        <v>3.3</v>
      </c>
      <c r="AF574" s="15">
        <v>5.76</v>
      </c>
      <c r="AH574" s="15">
        <v>6</v>
      </c>
      <c r="AJ574" s="15">
        <v>44.2</v>
      </c>
      <c r="AM574" s="1">
        <v>1</v>
      </c>
      <c r="AP574" s="15" t="s">
        <v>1431</v>
      </c>
      <c r="AQ574" s="1">
        <v>1</v>
      </c>
      <c r="AR574" s="1">
        <v>3</v>
      </c>
      <c r="AT574" s="15" t="s">
        <v>576</v>
      </c>
      <c r="AW574" s="15">
        <f>AW558/3</f>
        <v>5000</v>
      </c>
      <c r="AX574" s="15">
        <f t="shared" si="539"/>
        <v>5000</v>
      </c>
      <c r="AY574" s="15" t="s">
        <v>766</v>
      </c>
      <c r="AZ574" s="15">
        <f t="shared" si="532"/>
        <v>5000</v>
      </c>
      <c r="BA574" s="15">
        <f t="shared" si="533"/>
        <v>1.7064846416382251</v>
      </c>
      <c r="BB574" s="15">
        <f t="shared" si="534"/>
        <v>3000</v>
      </c>
      <c r="FK574" s="16">
        <f t="shared" si="527"/>
        <v>5.21</v>
      </c>
      <c r="FL574" s="16">
        <f t="shared" si="528"/>
        <v>8.0299999999999994</v>
      </c>
      <c r="FM574" s="15">
        <v>5.21</v>
      </c>
      <c r="FN574" s="15">
        <f t="shared" si="535"/>
        <v>0.26050000000000001</v>
      </c>
      <c r="FO574" s="15">
        <f>FN574*SQRT(AR574)</f>
        <v>0.45119923537169254</v>
      </c>
      <c r="FP574" s="15">
        <v>8.0299999999999994</v>
      </c>
      <c r="FQ574" s="15">
        <f t="shared" si="536"/>
        <v>0.40149999999999997</v>
      </c>
      <c r="FR574" s="15">
        <f>FQ574*SQRT(AR574)</f>
        <v>0.69541839923890414</v>
      </c>
      <c r="FS574" s="15">
        <f t="shared" si="529"/>
        <v>1.5412667946257197</v>
      </c>
      <c r="FT574" s="15">
        <f t="shared" si="530"/>
        <v>2.8199999999999994</v>
      </c>
      <c r="FU574" s="15">
        <f t="shared" si="531"/>
        <v>0.43260467219339471</v>
      </c>
      <c r="FV574" s="15">
        <f>((FR574*FR574)/(AR574*FP574*FP574)+(FO574*FO574)/(AR574*FM574*FM574))</f>
        <v>5.0000000000000001E-3</v>
      </c>
      <c r="HE574" s="15">
        <v>1640</v>
      </c>
      <c r="HF574" s="15">
        <f t="shared" si="537"/>
        <v>82</v>
      </c>
      <c r="HG574" s="15">
        <f>HF574*SQRT(AR264)</f>
        <v>142.02816622064793</v>
      </c>
      <c r="HH574" s="15">
        <v>1870</v>
      </c>
      <c r="HI574" s="15">
        <f t="shared" si="538"/>
        <v>93.5</v>
      </c>
      <c r="HJ574" s="15">
        <f>HI574*SQRT(AR264)</f>
        <v>161.94675050769001</v>
      </c>
      <c r="HK574" s="15">
        <f t="shared" si="502"/>
        <v>1.1402439024390243</v>
      </c>
      <c r="HL574" s="15">
        <f t="shared" si="503"/>
        <v>230</v>
      </c>
      <c r="HM574" s="15">
        <f t="shared" si="504"/>
        <v>0.13124218903038898</v>
      </c>
      <c r="HN574" s="15">
        <f>((HJ574*HJ574)/(AR264*HH574*HH574)+(HG574*HG574)/(AR264*HE574*HE574))</f>
        <v>4.9999999999999992E-3</v>
      </c>
      <c r="HP574" s="15" t="s">
        <v>766</v>
      </c>
      <c r="HV574" s="15">
        <f t="shared" si="505"/>
        <v>228.5850321580169</v>
      </c>
      <c r="HW574" s="15">
        <f t="shared" si="540"/>
        <v>0.13124218903038898</v>
      </c>
      <c r="HX574" s="15">
        <f>BB574</f>
        <v>3000</v>
      </c>
      <c r="HY574" s="15">
        <f>AZ574</f>
        <v>5000</v>
      </c>
      <c r="HZ574" s="15">
        <f>BA574</f>
        <v>1.7064846416382251</v>
      </c>
      <c r="IA574" s="15">
        <f>BB574</f>
        <v>3000</v>
      </c>
    </row>
    <row r="575" spans="1:235" s="15" customFormat="1" x14ac:dyDescent="0.25">
      <c r="A575" s="31">
        <v>573</v>
      </c>
      <c r="B575" s="1">
        <v>95</v>
      </c>
      <c r="C575" s="1">
        <v>113</v>
      </c>
      <c r="D575" s="15" t="s">
        <v>1416</v>
      </c>
      <c r="E575" s="1">
        <v>1</v>
      </c>
      <c r="F575" s="15" t="s">
        <v>761</v>
      </c>
      <c r="G575" s="15" t="s">
        <v>1427</v>
      </c>
      <c r="H575" s="15" t="s">
        <v>1428</v>
      </c>
      <c r="I575" s="1">
        <v>2004</v>
      </c>
      <c r="J575" s="15" t="s">
        <v>1263</v>
      </c>
      <c r="K575" s="1" t="s">
        <v>1429</v>
      </c>
      <c r="L575" s="15" t="s">
        <v>1362</v>
      </c>
      <c r="M575" s="15" t="s">
        <v>480</v>
      </c>
      <c r="N575" s="15" t="s">
        <v>520</v>
      </c>
      <c r="O575" s="31">
        <v>2</v>
      </c>
      <c r="P575" s="15">
        <v>29.17</v>
      </c>
      <c r="Q575" s="15">
        <v>119.18</v>
      </c>
      <c r="S575" s="15">
        <v>1333</v>
      </c>
      <c r="T575" s="15">
        <v>17.100000000000001</v>
      </c>
      <c r="U575" s="15" t="s">
        <v>549</v>
      </c>
      <c r="V575" s="31">
        <v>1</v>
      </c>
      <c r="W575" s="15" t="s">
        <v>1430</v>
      </c>
      <c r="X575" s="15" t="s">
        <v>1433</v>
      </c>
      <c r="Y575" s="1">
        <v>10</v>
      </c>
      <c r="Z575" s="15">
        <v>4.8600000000000003</v>
      </c>
      <c r="AA575" s="15" t="s">
        <v>574</v>
      </c>
      <c r="AB575" s="15">
        <f t="shared" si="489"/>
        <v>4.8600000000000003</v>
      </c>
      <c r="AC575" s="1">
        <v>2</v>
      </c>
      <c r="AD575" s="15">
        <v>3.3</v>
      </c>
      <c r="AF575" s="15">
        <v>5.76</v>
      </c>
      <c r="AH575" s="15">
        <v>6</v>
      </c>
      <c r="AJ575" s="15">
        <v>44.2</v>
      </c>
      <c r="AM575" s="1">
        <v>1</v>
      </c>
      <c r="AP575" s="15" t="s">
        <v>1431</v>
      </c>
      <c r="AQ575" s="1">
        <v>1</v>
      </c>
      <c r="AR575" s="1">
        <v>3</v>
      </c>
      <c r="AT575" s="15" t="s">
        <v>576</v>
      </c>
      <c r="AW575" s="15">
        <v>1250</v>
      </c>
      <c r="AX575" s="15">
        <f t="shared" si="539"/>
        <v>1250</v>
      </c>
      <c r="AY575" s="15" t="s">
        <v>766</v>
      </c>
      <c r="AZ575" s="15">
        <f t="shared" si="532"/>
        <v>1250</v>
      </c>
      <c r="BA575" s="15">
        <f t="shared" si="533"/>
        <v>0.42662116040955628</v>
      </c>
      <c r="BB575" s="15">
        <f t="shared" si="534"/>
        <v>750</v>
      </c>
      <c r="FK575" s="16">
        <f t="shared" si="527"/>
        <v>5.21</v>
      </c>
      <c r="FL575" s="16">
        <f t="shared" si="528"/>
        <v>6.11</v>
      </c>
      <c r="FM575" s="15">
        <v>5.21</v>
      </c>
      <c r="FN575" s="15">
        <f t="shared" si="535"/>
        <v>0.26050000000000001</v>
      </c>
      <c r="FO575" s="15">
        <f>FN575*SQRT(AR575)</f>
        <v>0.45119923537169254</v>
      </c>
      <c r="FP575" s="15">
        <v>6.11</v>
      </c>
      <c r="FQ575" s="15">
        <f t="shared" si="536"/>
        <v>0.30550000000000005</v>
      </c>
      <c r="FR575" s="15">
        <f>FQ575*SQRT(AR575)</f>
        <v>0.52914152171229212</v>
      </c>
      <c r="FS575" s="15">
        <f t="shared" si="529"/>
        <v>1.1727447216890596</v>
      </c>
      <c r="FT575" s="15">
        <f t="shared" si="530"/>
        <v>0.90000000000000036</v>
      </c>
      <c r="FU575" s="15">
        <f t="shared" si="531"/>
        <v>0.15934691741822848</v>
      </c>
      <c r="FV575" s="15">
        <f>((FR575*FR575)/(AR575*FP575*FP575)+(FO575*FO575)/(AR575*FM575*FM575))</f>
        <v>5.000000000000001E-3</v>
      </c>
      <c r="HE575" s="15">
        <v>2230</v>
      </c>
      <c r="HF575" s="15">
        <f t="shared" si="537"/>
        <v>111.5</v>
      </c>
      <c r="HG575" s="15">
        <f>HF575*SQRT(AR265)</f>
        <v>193.1236650439298</v>
      </c>
      <c r="HH575" s="15">
        <v>2760</v>
      </c>
      <c r="HI575" s="15">
        <f t="shared" si="538"/>
        <v>138</v>
      </c>
      <c r="HJ575" s="15">
        <f>HI575*SQRT(AR265)</f>
        <v>239.02301144450504</v>
      </c>
      <c r="HK575" s="15">
        <f t="shared" si="502"/>
        <v>1.2376681614349776</v>
      </c>
      <c r="HL575" s="15">
        <f t="shared" si="503"/>
        <v>530</v>
      </c>
      <c r="HM575" s="15">
        <f t="shared" si="504"/>
        <v>0.21322909425703074</v>
      </c>
      <c r="HN575" s="15">
        <f>((HJ575*HJ575)/(AR265*HH575*HH575)+(HG575*HG575)/(AR265*HE575*HE575))</f>
        <v>4.9999999999999992E-3</v>
      </c>
      <c r="HP575" s="15" t="s">
        <v>766</v>
      </c>
      <c r="HV575" s="15">
        <f t="shared" si="505"/>
        <v>35.173436468099169</v>
      </c>
      <c r="HW575" s="15">
        <f t="shared" si="540"/>
        <v>0.21322909425703074</v>
      </c>
      <c r="HX575" s="15">
        <f>BB575</f>
        <v>750</v>
      </c>
      <c r="HY575" s="15">
        <f>AZ575</f>
        <v>1250</v>
      </c>
      <c r="HZ575" s="15">
        <f>BA575</f>
        <v>0.42662116040955628</v>
      </c>
      <c r="IA575" s="15">
        <f>BB575</f>
        <v>750</v>
      </c>
    </row>
    <row r="576" spans="1:235" s="15" customFormat="1" x14ac:dyDescent="0.25">
      <c r="A576" s="31">
        <v>574</v>
      </c>
      <c r="B576" s="1">
        <v>95</v>
      </c>
      <c r="C576" s="1">
        <v>113</v>
      </c>
      <c r="D576" s="15" t="s">
        <v>1417</v>
      </c>
      <c r="E576" s="1">
        <v>1</v>
      </c>
      <c r="F576" s="15" t="s">
        <v>761</v>
      </c>
      <c r="G576" s="15" t="s">
        <v>1427</v>
      </c>
      <c r="H576" s="15" t="s">
        <v>1428</v>
      </c>
      <c r="I576" s="1">
        <v>2004</v>
      </c>
      <c r="J576" s="15" t="s">
        <v>1263</v>
      </c>
      <c r="K576" s="1" t="s">
        <v>1429</v>
      </c>
      <c r="L576" s="15" t="s">
        <v>1362</v>
      </c>
      <c r="M576" s="15" t="s">
        <v>480</v>
      </c>
      <c r="N576" s="15" t="s">
        <v>520</v>
      </c>
      <c r="O576" s="31">
        <v>2</v>
      </c>
      <c r="P576" s="15">
        <v>29.17</v>
      </c>
      <c r="Q576" s="15">
        <v>119.18</v>
      </c>
      <c r="S576" s="15">
        <v>1333</v>
      </c>
      <c r="T576" s="15">
        <v>17.100000000000001</v>
      </c>
      <c r="U576" s="15" t="s">
        <v>549</v>
      </c>
      <c r="V576" s="31">
        <v>1</v>
      </c>
      <c r="W576" s="15" t="s">
        <v>1430</v>
      </c>
      <c r="X576" s="15" t="s">
        <v>1433</v>
      </c>
      <c r="Y576" s="1">
        <v>10</v>
      </c>
      <c r="Z576" s="15">
        <v>4.8600000000000003</v>
      </c>
      <c r="AA576" s="15" t="s">
        <v>574</v>
      </c>
      <c r="AB576" s="15">
        <f t="shared" si="489"/>
        <v>4.8600000000000003</v>
      </c>
      <c r="AC576" s="1">
        <v>2</v>
      </c>
      <c r="AD576" s="15">
        <v>3.3</v>
      </c>
      <c r="AF576" s="15">
        <v>5.76</v>
      </c>
      <c r="AH576" s="15">
        <v>6</v>
      </c>
      <c r="AJ576" s="15">
        <v>44.2</v>
      </c>
      <c r="AM576" s="1">
        <v>1</v>
      </c>
      <c r="AP576" s="15" t="s">
        <v>1431</v>
      </c>
      <c r="AQ576" s="1">
        <v>1</v>
      </c>
      <c r="AR576" s="1">
        <v>3</v>
      </c>
      <c r="AT576" s="15" t="s">
        <v>576</v>
      </c>
      <c r="AW576" s="15">
        <v>2500</v>
      </c>
      <c r="AX576" s="15">
        <f t="shared" si="539"/>
        <v>2500</v>
      </c>
      <c r="AY576" s="15" t="s">
        <v>766</v>
      </c>
      <c r="AZ576" s="15">
        <f t="shared" si="532"/>
        <v>2500</v>
      </c>
      <c r="BA576" s="15">
        <f t="shared" si="533"/>
        <v>0.85324232081911255</v>
      </c>
      <c r="BB576" s="15">
        <f t="shared" si="534"/>
        <v>1500</v>
      </c>
      <c r="FK576" s="16">
        <f t="shared" si="527"/>
        <v>5.21</v>
      </c>
      <c r="FL576" s="16">
        <f t="shared" si="528"/>
        <v>6.68</v>
      </c>
      <c r="FM576" s="15">
        <v>5.21</v>
      </c>
      <c r="FN576" s="15">
        <f t="shared" si="535"/>
        <v>0.26050000000000001</v>
      </c>
      <c r="FO576" s="15">
        <f>FN576*SQRT(AR576)</f>
        <v>0.45119923537169254</v>
      </c>
      <c r="FP576" s="15">
        <v>6.68</v>
      </c>
      <c r="FQ576" s="15">
        <f t="shared" si="536"/>
        <v>0.33400000000000002</v>
      </c>
      <c r="FR576" s="15">
        <f>FQ576*SQRT(AR576)</f>
        <v>0.57850496972800503</v>
      </c>
      <c r="FS576" s="15">
        <f t="shared" si="529"/>
        <v>1.2821497120921306</v>
      </c>
      <c r="FT576" s="15">
        <f t="shared" si="530"/>
        <v>1.4699999999999998</v>
      </c>
      <c r="FU576" s="15">
        <f t="shared" si="531"/>
        <v>0.24853813178327866</v>
      </c>
      <c r="FV576" s="15">
        <f>((FR576*FR576)/(AR576*FP576*FP576)+(FO576*FO576)/(AR576*FM576*FM576))</f>
        <v>5.0000000000000001E-3</v>
      </c>
      <c r="HE576" s="15">
        <v>2230</v>
      </c>
      <c r="HF576" s="15">
        <f t="shared" si="537"/>
        <v>111.5</v>
      </c>
      <c r="HG576" s="15">
        <f>HF576*SQRT(AR266)</f>
        <v>193.1236650439298</v>
      </c>
      <c r="HH576" s="15">
        <v>2830</v>
      </c>
      <c r="HI576" s="15">
        <f t="shared" si="538"/>
        <v>141.5</v>
      </c>
      <c r="HJ576" s="15">
        <f>HI576*SQRT(AR266)</f>
        <v>245.08518927099612</v>
      </c>
      <c r="HK576" s="15">
        <f t="shared" si="502"/>
        <v>1.2690582959641257</v>
      </c>
      <c r="HL576" s="15">
        <f t="shared" si="503"/>
        <v>600</v>
      </c>
      <c r="HM576" s="15">
        <f t="shared" si="504"/>
        <v>0.23827512618311886</v>
      </c>
      <c r="HN576" s="15">
        <f>((HJ576*HJ576)/(AR266*HH576*HH576)+(HG576*HG576)/(AR266*HE576*HE576))</f>
        <v>4.9999999999999992E-3</v>
      </c>
      <c r="HP576" s="15" t="s">
        <v>766</v>
      </c>
      <c r="HV576" s="15">
        <f t="shared" si="505"/>
        <v>62.952437546805541</v>
      </c>
      <c r="HW576" s="15">
        <f t="shared" si="540"/>
        <v>0.23827512618311886</v>
      </c>
      <c r="HX576" s="15">
        <f>BB576</f>
        <v>1500</v>
      </c>
      <c r="HY576" s="15">
        <f>AZ576</f>
        <v>2500</v>
      </c>
      <c r="HZ576" s="15">
        <f>BA576</f>
        <v>0.85324232081911255</v>
      </c>
      <c r="IA576" s="15">
        <f>BB576</f>
        <v>1500</v>
      </c>
    </row>
    <row r="577" spans="1:235" s="15" customFormat="1" x14ac:dyDescent="0.25">
      <c r="A577" s="31">
        <v>575</v>
      </c>
      <c r="B577" s="1">
        <v>95</v>
      </c>
      <c r="C577" s="1">
        <v>113</v>
      </c>
      <c r="D577" s="15" t="s">
        <v>1418</v>
      </c>
      <c r="E577" s="1">
        <v>1</v>
      </c>
      <c r="F577" s="15" t="s">
        <v>761</v>
      </c>
      <c r="G577" s="15" t="s">
        <v>1427</v>
      </c>
      <c r="H577" s="15" t="s">
        <v>1428</v>
      </c>
      <c r="I577" s="1">
        <v>2004</v>
      </c>
      <c r="J577" s="15" t="s">
        <v>1263</v>
      </c>
      <c r="K577" s="1" t="s">
        <v>1429</v>
      </c>
      <c r="L577" s="15" t="s">
        <v>1362</v>
      </c>
      <c r="M577" s="15" t="s">
        <v>480</v>
      </c>
      <c r="N577" s="15" t="s">
        <v>520</v>
      </c>
      <c r="O577" s="31">
        <v>2</v>
      </c>
      <c r="P577" s="15">
        <v>29.17</v>
      </c>
      <c r="Q577" s="15">
        <v>119.18</v>
      </c>
      <c r="S577" s="15">
        <v>1333</v>
      </c>
      <c r="T577" s="15">
        <v>17.100000000000001</v>
      </c>
      <c r="U577" s="15" t="s">
        <v>549</v>
      </c>
      <c r="V577" s="31">
        <v>1</v>
      </c>
      <c r="W577" s="15" t="s">
        <v>1430</v>
      </c>
      <c r="X577" s="15" t="s">
        <v>1433</v>
      </c>
      <c r="Y577" s="1">
        <v>10</v>
      </c>
      <c r="Z577" s="15">
        <v>4.8600000000000003</v>
      </c>
      <c r="AA577" s="15" t="s">
        <v>574</v>
      </c>
      <c r="AB577" s="15">
        <f t="shared" si="489"/>
        <v>4.8600000000000003</v>
      </c>
      <c r="AC577" s="1">
        <v>2</v>
      </c>
      <c r="AD577" s="15">
        <v>3.3</v>
      </c>
      <c r="AF577" s="15">
        <v>5.76</v>
      </c>
      <c r="AH577" s="15">
        <v>6</v>
      </c>
      <c r="AJ577" s="15">
        <v>44.2</v>
      </c>
      <c r="AM577" s="1">
        <v>1</v>
      </c>
      <c r="AP577" s="15" t="s">
        <v>1431</v>
      </c>
      <c r="AQ577" s="1">
        <v>1</v>
      </c>
      <c r="AR577" s="1">
        <v>3</v>
      </c>
      <c r="AT577" s="15" t="s">
        <v>576</v>
      </c>
      <c r="AW577" s="15">
        <v>3750</v>
      </c>
      <c r="AX577" s="15">
        <f t="shared" si="539"/>
        <v>3750</v>
      </c>
      <c r="AY577" s="15" t="s">
        <v>766</v>
      </c>
      <c r="AZ577" s="15">
        <f t="shared" si="532"/>
        <v>3750</v>
      </c>
      <c r="BA577" s="15">
        <f t="shared" si="533"/>
        <v>1.2798634812286689</v>
      </c>
      <c r="BB577" s="15">
        <f t="shared" si="534"/>
        <v>2250</v>
      </c>
      <c r="FK577" s="16">
        <f t="shared" si="527"/>
        <v>5.21</v>
      </c>
      <c r="FL577" s="16">
        <f t="shared" si="528"/>
        <v>7.23</v>
      </c>
      <c r="FM577" s="15">
        <v>5.21</v>
      </c>
      <c r="FN577" s="15">
        <f t="shared" si="535"/>
        <v>0.26050000000000001</v>
      </c>
      <c r="FO577" s="15">
        <f>FN577*SQRT(AR577)</f>
        <v>0.45119923537169254</v>
      </c>
      <c r="FP577" s="15">
        <v>7.23</v>
      </c>
      <c r="FQ577" s="15">
        <f t="shared" si="536"/>
        <v>0.36150000000000004</v>
      </c>
      <c r="FR577" s="15">
        <f>FQ577*SQRT(AR577)</f>
        <v>0.62613636693614916</v>
      </c>
      <c r="FS577" s="15">
        <f t="shared" si="529"/>
        <v>1.3877159309021114</v>
      </c>
      <c r="FT577" s="15">
        <f t="shared" si="530"/>
        <v>2.0200000000000005</v>
      </c>
      <c r="FU577" s="15">
        <f t="shared" si="531"/>
        <v>0.32765918040539788</v>
      </c>
      <c r="FV577" s="15">
        <f>((FR577*FR577)/(AR577*FP577*FP577)+(FO577*FO577)/(AR577*FM577*FM577))</f>
        <v>5.0000000000000001E-3</v>
      </c>
      <c r="HE577" s="15">
        <v>2230</v>
      </c>
      <c r="HF577" s="15">
        <f t="shared" si="537"/>
        <v>111.5</v>
      </c>
      <c r="HG577" s="15">
        <f>HF577*SQRT(AR267)</f>
        <v>193.1236650439298</v>
      </c>
      <c r="HH577" s="15">
        <v>2880</v>
      </c>
      <c r="HI577" s="15">
        <f t="shared" si="538"/>
        <v>144</v>
      </c>
      <c r="HJ577" s="15">
        <f>HI577*SQRT(AR267)</f>
        <v>249.41531628991831</v>
      </c>
      <c r="HK577" s="15">
        <f t="shared" si="502"/>
        <v>1.2914798206278026</v>
      </c>
      <c r="HL577" s="15">
        <f t="shared" si="503"/>
        <v>650</v>
      </c>
      <c r="HM577" s="15">
        <f t="shared" si="504"/>
        <v>0.25578870867582726</v>
      </c>
      <c r="HN577" s="15">
        <f>((HJ577*HJ577)/(AR267*HH577*HH577)+(HG577*HG577)/(AR267*HE577*HE577))</f>
        <v>4.9999999999999992E-3</v>
      </c>
      <c r="HP577" s="15" t="s">
        <v>766</v>
      </c>
      <c r="HV577" s="15">
        <f t="shared" si="505"/>
        <v>87.963226041049694</v>
      </c>
      <c r="HW577" s="15">
        <f t="shared" si="540"/>
        <v>0.25578870867582726</v>
      </c>
      <c r="HX577" s="15">
        <f>BB577</f>
        <v>2250</v>
      </c>
      <c r="HY577" s="15">
        <f>AZ577</f>
        <v>3750</v>
      </c>
      <c r="HZ577" s="15">
        <f>BA577</f>
        <v>1.2798634812286689</v>
      </c>
      <c r="IA577" s="15">
        <f>BB577</f>
        <v>2250</v>
      </c>
    </row>
    <row r="578" spans="1:235" s="15" customFormat="1" x14ac:dyDescent="0.25">
      <c r="A578" s="31">
        <v>576</v>
      </c>
      <c r="B578" s="1">
        <v>95</v>
      </c>
      <c r="C578" s="1">
        <v>113</v>
      </c>
      <c r="D578" s="15" t="s">
        <v>1419</v>
      </c>
      <c r="E578" s="1">
        <v>1</v>
      </c>
      <c r="F578" s="15" t="s">
        <v>761</v>
      </c>
      <c r="G578" s="15" t="s">
        <v>1427</v>
      </c>
      <c r="H578" s="15" t="s">
        <v>1428</v>
      </c>
      <c r="I578" s="1">
        <v>2004</v>
      </c>
      <c r="J578" s="15" t="s">
        <v>1263</v>
      </c>
      <c r="K578" s="1" t="s">
        <v>1429</v>
      </c>
      <c r="L578" s="15" t="s">
        <v>1362</v>
      </c>
      <c r="M578" s="15" t="s">
        <v>480</v>
      </c>
      <c r="N578" s="15" t="s">
        <v>520</v>
      </c>
      <c r="O578" s="31">
        <v>2</v>
      </c>
      <c r="P578" s="15">
        <v>29.17</v>
      </c>
      <c r="Q578" s="15">
        <v>119.18</v>
      </c>
      <c r="S578" s="15">
        <v>1333</v>
      </c>
      <c r="T578" s="15">
        <v>17.100000000000001</v>
      </c>
      <c r="U578" s="15" t="s">
        <v>549</v>
      </c>
      <c r="V578" s="31">
        <v>1</v>
      </c>
      <c r="W578" s="15" t="s">
        <v>1430</v>
      </c>
      <c r="X578" s="15" t="s">
        <v>1433</v>
      </c>
      <c r="Y578" s="1">
        <v>10</v>
      </c>
      <c r="Z578" s="15">
        <v>4.8600000000000003</v>
      </c>
      <c r="AA578" s="15" t="s">
        <v>574</v>
      </c>
      <c r="AB578" s="15">
        <f t="shared" si="489"/>
        <v>4.8600000000000003</v>
      </c>
      <c r="AC578" s="1">
        <v>2</v>
      </c>
      <c r="AD578" s="15">
        <v>3.3</v>
      </c>
      <c r="AF578" s="15">
        <v>5.76</v>
      </c>
      <c r="AH578" s="15">
        <v>6</v>
      </c>
      <c r="AJ578" s="15">
        <v>44.2</v>
      </c>
      <c r="AM578" s="1">
        <v>1</v>
      </c>
      <c r="AP578" s="15" t="s">
        <v>1431</v>
      </c>
      <c r="AQ578" s="1">
        <v>1</v>
      </c>
      <c r="AR578" s="1">
        <v>3</v>
      </c>
      <c r="AT578" s="15" t="s">
        <v>576</v>
      </c>
      <c r="AW578" s="15">
        <v>5000</v>
      </c>
      <c r="AX578" s="15">
        <f t="shared" si="539"/>
        <v>5000</v>
      </c>
      <c r="AY578" s="15" t="s">
        <v>766</v>
      </c>
      <c r="AZ578" s="15">
        <f t="shared" si="532"/>
        <v>5000</v>
      </c>
      <c r="BA578" s="15">
        <f t="shared" si="533"/>
        <v>1.7064846416382251</v>
      </c>
      <c r="BB578" s="15">
        <f t="shared" si="534"/>
        <v>3000</v>
      </c>
      <c r="FK578" s="16">
        <f t="shared" si="527"/>
        <v>5.21</v>
      </c>
      <c r="FL578" s="16">
        <f t="shared" si="528"/>
        <v>8.0299999999999994</v>
      </c>
      <c r="FM578" s="15">
        <v>5.21</v>
      </c>
      <c r="FN578" s="15">
        <f t="shared" si="535"/>
        <v>0.26050000000000001</v>
      </c>
      <c r="FO578" s="15">
        <f>FN578*SQRT(AR578)</f>
        <v>0.45119923537169254</v>
      </c>
      <c r="FP578" s="15">
        <v>8.0299999999999994</v>
      </c>
      <c r="FQ578" s="15">
        <f t="shared" si="536"/>
        <v>0.40149999999999997</v>
      </c>
      <c r="FR578" s="15">
        <f>FQ578*SQRT(AR578)</f>
        <v>0.69541839923890414</v>
      </c>
      <c r="FS578" s="15">
        <f t="shared" si="529"/>
        <v>1.5412667946257197</v>
      </c>
      <c r="FT578" s="15">
        <f t="shared" si="530"/>
        <v>2.8199999999999994</v>
      </c>
      <c r="FU578" s="15">
        <f t="shared" si="531"/>
        <v>0.43260467219339471</v>
      </c>
      <c r="FV578" s="15">
        <f>((FR578*FR578)/(AR578*FP578*FP578)+(FO578*FO578)/(AR578*FM578*FM578))</f>
        <v>5.0000000000000001E-3</v>
      </c>
      <c r="HE578" s="15">
        <v>2230</v>
      </c>
      <c r="HF578" s="15">
        <f t="shared" si="537"/>
        <v>111.5</v>
      </c>
      <c r="HG578" s="15">
        <f>HF578*SQRT(AR268)</f>
        <v>193.1236650439298</v>
      </c>
      <c r="HH578" s="15">
        <v>2890</v>
      </c>
      <c r="HI578" s="15">
        <f t="shared" si="538"/>
        <v>144.5</v>
      </c>
      <c r="HJ578" s="15">
        <f>HI578*SQRT(AR268)</f>
        <v>250.28134169370276</v>
      </c>
      <c r="HK578" s="15">
        <f t="shared" si="502"/>
        <v>1.2959641255605381</v>
      </c>
      <c r="HL578" s="15">
        <f t="shared" si="503"/>
        <v>660</v>
      </c>
      <c r="HM578" s="15">
        <f t="shared" si="504"/>
        <v>0.25925491665231348</v>
      </c>
      <c r="HN578" s="15">
        <f>((HJ578*HJ578)/(AR268*HH578*HH578)+(HG578*HG578)/(AR268*HE578*HE578))</f>
        <v>4.9999999999999992E-3</v>
      </c>
      <c r="HP578" s="15" t="s">
        <v>766</v>
      </c>
      <c r="HV578" s="15">
        <f t="shared" si="505"/>
        <v>115.71622396744347</v>
      </c>
      <c r="HW578" s="15">
        <f t="shared" si="540"/>
        <v>0.25925491665231348</v>
      </c>
      <c r="HX578" s="15">
        <f>BB578</f>
        <v>3000</v>
      </c>
      <c r="HY578" s="15">
        <f>AZ578</f>
        <v>5000</v>
      </c>
      <c r="HZ578" s="15">
        <f>BA578</f>
        <v>1.7064846416382251</v>
      </c>
      <c r="IA578" s="15">
        <f>BB578</f>
        <v>3000</v>
      </c>
    </row>
    <row r="579" spans="1:235" s="15" customFormat="1" x14ac:dyDescent="0.25">
      <c r="A579" s="31">
        <v>577</v>
      </c>
      <c r="B579" s="1">
        <v>95</v>
      </c>
      <c r="C579" s="1">
        <v>113</v>
      </c>
      <c r="D579" s="15" t="s">
        <v>1420</v>
      </c>
      <c r="E579" s="1">
        <v>1</v>
      </c>
      <c r="F579" s="15" t="s">
        <v>761</v>
      </c>
      <c r="G579" s="15" t="s">
        <v>1427</v>
      </c>
      <c r="H579" s="15" t="s">
        <v>1428</v>
      </c>
      <c r="I579" s="1">
        <v>2004</v>
      </c>
      <c r="J579" s="15" t="s">
        <v>1263</v>
      </c>
      <c r="K579" s="1" t="s">
        <v>1429</v>
      </c>
      <c r="L579" s="15" t="s">
        <v>1362</v>
      </c>
      <c r="M579" s="15" t="s">
        <v>480</v>
      </c>
      <c r="N579" s="15" t="s">
        <v>520</v>
      </c>
      <c r="O579" s="31">
        <v>2</v>
      </c>
      <c r="P579" s="15">
        <v>29.17</v>
      </c>
      <c r="Q579" s="15">
        <v>119.18</v>
      </c>
      <c r="S579" s="15">
        <v>1333</v>
      </c>
      <c r="T579" s="15">
        <v>17.100000000000001</v>
      </c>
      <c r="U579" s="15" t="s">
        <v>549</v>
      </c>
      <c r="V579" s="31">
        <v>1</v>
      </c>
      <c r="W579" s="15" t="s">
        <v>1430</v>
      </c>
      <c r="X579" s="15" t="s">
        <v>1433</v>
      </c>
      <c r="Y579" s="1">
        <v>10</v>
      </c>
      <c r="Z579" s="15">
        <v>4.8600000000000003</v>
      </c>
      <c r="AA579" s="15" t="s">
        <v>574</v>
      </c>
      <c r="AB579" s="15">
        <f t="shared" ref="AB579:AB642" si="541">Z579</f>
        <v>4.8600000000000003</v>
      </c>
      <c r="AC579" s="1">
        <v>2</v>
      </c>
      <c r="AD579" s="15">
        <v>3.3</v>
      </c>
      <c r="AF579" s="15">
        <v>5.76</v>
      </c>
      <c r="AH579" s="15">
        <v>6</v>
      </c>
      <c r="AJ579" s="15">
        <v>44.2</v>
      </c>
      <c r="AM579" s="1">
        <v>1</v>
      </c>
      <c r="AP579" s="15" t="s">
        <v>1431</v>
      </c>
      <c r="AQ579" s="1">
        <v>1</v>
      </c>
      <c r="AR579" s="1">
        <v>3</v>
      </c>
      <c r="AT579" s="15" t="s">
        <v>576</v>
      </c>
      <c r="AW579" s="15">
        <f>AW555/4</f>
        <v>937.5</v>
      </c>
      <c r="AX579" s="15">
        <f t="shared" si="539"/>
        <v>937.5</v>
      </c>
      <c r="AY579" s="15" t="s">
        <v>766</v>
      </c>
      <c r="AZ579" s="15">
        <f t="shared" si="532"/>
        <v>937.5</v>
      </c>
      <c r="BA579" s="15">
        <f t="shared" si="533"/>
        <v>0.31996587030716722</v>
      </c>
      <c r="BB579" s="15">
        <f t="shared" si="534"/>
        <v>562.5</v>
      </c>
      <c r="FK579" s="16">
        <f t="shared" si="527"/>
        <v>5.28</v>
      </c>
      <c r="FL579" s="16">
        <f t="shared" si="528"/>
        <v>5.81</v>
      </c>
      <c r="FM579" s="15">
        <v>5.28</v>
      </c>
      <c r="FN579" s="15">
        <f t="shared" si="535"/>
        <v>0.26400000000000001</v>
      </c>
      <c r="FO579" s="15">
        <f>FN579*SQRT(AR579)</f>
        <v>0.45726141319818359</v>
      </c>
      <c r="FP579" s="15">
        <v>5.81</v>
      </c>
      <c r="FQ579" s="15">
        <f t="shared" si="536"/>
        <v>0.29049999999999998</v>
      </c>
      <c r="FR579" s="15">
        <f>FQ579*SQRT(AR579)</f>
        <v>0.50316075959875883</v>
      </c>
      <c r="FS579" s="15">
        <f t="shared" si="529"/>
        <v>1.1003787878787878</v>
      </c>
      <c r="FT579" s="15">
        <f t="shared" si="530"/>
        <v>0.52999999999999936</v>
      </c>
      <c r="FU579" s="15">
        <f t="shared" si="531"/>
        <v>9.5654473145649455E-2</v>
      </c>
      <c r="FV579" s="15">
        <f>((FR579*FR579)/(AR579*FP579*FP579)+(FO579*FO579)/(AR579*FM579*FM579))</f>
        <v>5.0000000000000001E-3</v>
      </c>
      <c r="HE579" s="15">
        <v>1960</v>
      </c>
      <c r="HF579" s="15">
        <f t="shared" si="537"/>
        <v>98</v>
      </c>
      <c r="HG579" s="15">
        <f>HF579*SQRT(AR269)</f>
        <v>196</v>
      </c>
      <c r="HH579" s="15">
        <v>2380</v>
      </c>
      <c r="HI579" s="15">
        <f t="shared" si="538"/>
        <v>119</v>
      </c>
      <c r="HJ579" s="15">
        <f>HI579*SQRT(AR269)</f>
        <v>238</v>
      </c>
      <c r="HK579" s="15">
        <f t="shared" si="502"/>
        <v>1.2142857142857142</v>
      </c>
      <c r="HL579" s="15">
        <f t="shared" si="503"/>
        <v>420</v>
      </c>
      <c r="HM579" s="15">
        <f t="shared" si="504"/>
        <v>0.19415601444095731</v>
      </c>
      <c r="HN579" s="15">
        <f>((HJ579*HJ579)/(AR269*HH579*HH579)+(HG579*HG579)/(AR269*HE579*HE579))</f>
        <v>5.0000000000000001E-3</v>
      </c>
      <c r="HP579" s="15" t="s">
        <v>766</v>
      </c>
      <c r="HV579" s="15">
        <f t="shared" si="505"/>
        <v>28.971546496750726</v>
      </c>
      <c r="HW579" s="15">
        <f t="shared" si="540"/>
        <v>0.19415601444095731</v>
      </c>
      <c r="HX579" s="15">
        <f>BB579</f>
        <v>562.5</v>
      </c>
      <c r="HY579" s="15">
        <f>AZ579</f>
        <v>937.5</v>
      </c>
      <c r="HZ579" s="15">
        <f>BA579</f>
        <v>0.31996587030716722</v>
      </c>
      <c r="IA579" s="15">
        <f>BB579</f>
        <v>562.5</v>
      </c>
    </row>
    <row r="580" spans="1:235" s="15" customFormat="1" x14ac:dyDescent="0.25">
      <c r="A580" s="31">
        <v>578</v>
      </c>
      <c r="B580" s="1">
        <v>95</v>
      </c>
      <c r="C580" s="1">
        <v>113</v>
      </c>
      <c r="D580" s="15" t="s">
        <v>1421</v>
      </c>
      <c r="E580" s="1">
        <v>1</v>
      </c>
      <c r="F580" s="15" t="s">
        <v>761</v>
      </c>
      <c r="G580" s="15" t="s">
        <v>1427</v>
      </c>
      <c r="H580" s="15" t="s">
        <v>1428</v>
      </c>
      <c r="I580" s="1">
        <v>2004</v>
      </c>
      <c r="J580" s="15" t="s">
        <v>1263</v>
      </c>
      <c r="K580" s="1" t="s">
        <v>1429</v>
      </c>
      <c r="L580" s="15" t="s">
        <v>1362</v>
      </c>
      <c r="M580" s="15" t="s">
        <v>480</v>
      </c>
      <c r="N580" s="15" t="s">
        <v>520</v>
      </c>
      <c r="O580" s="31">
        <v>2</v>
      </c>
      <c r="P580" s="15">
        <v>29.17</v>
      </c>
      <c r="Q580" s="15">
        <v>119.18</v>
      </c>
      <c r="S580" s="15">
        <v>1333</v>
      </c>
      <c r="T580" s="15">
        <v>17.100000000000001</v>
      </c>
      <c r="U580" s="15" t="s">
        <v>549</v>
      </c>
      <c r="V580" s="31">
        <v>1</v>
      </c>
      <c r="W580" s="15" t="s">
        <v>1430</v>
      </c>
      <c r="X580" s="15" t="s">
        <v>1433</v>
      </c>
      <c r="Y580" s="1">
        <v>10</v>
      </c>
      <c r="Z580" s="15">
        <v>4.8600000000000003</v>
      </c>
      <c r="AA580" s="15" t="s">
        <v>574</v>
      </c>
      <c r="AB580" s="15">
        <f t="shared" si="541"/>
        <v>4.8600000000000003</v>
      </c>
      <c r="AC580" s="1">
        <v>2</v>
      </c>
      <c r="AD580" s="15">
        <v>3.3</v>
      </c>
      <c r="AF580" s="15">
        <v>5.76</v>
      </c>
      <c r="AH580" s="15">
        <v>6</v>
      </c>
      <c r="AJ580" s="15">
        <v>44.2</v>
      </c>
      <c r="AM580" s="1">
        <v>1</v>
      </c>
      <c r="AP580" s="15" t="s">
        <v>1431</v>
      </c>
      <c r="AQ580" s="1">
        <v>1</v>
      </c>
      <c r="AR580" s="1">
        <v>3</v>
      </c>
      <c r="AT580" s="15" t="s">
        <v>576</v>
      </c>
      <c r="AW580" s="15">
        <f>AW556/4</f>
        <v>1875</v>
      </c>
      <c r="AX580" s="15">
        <f t="shared" si="539"/>
        <v>1875</v>
      </c>
      <c r="AY580" s="15" t="s">
        <v>766</v>
      </c>
      <c r="AZ580" s="15">
        <f t="shared" si="532"/>
        <v>1875</v>
      </c>
      <c r="BA580" s="15">
        <f t="shared" si="533"/>
        <v>0.63993174061433444</v>
      </c>
      <c r="BB580" s="15">
        <f t="shared" si="534"/>
        <v>1125</v>
      </c>
      <c r="FK580" s="16">
        <f t="shared" si="527"/>
        <v>5.28</v>
      </c>
      <c r="FL580" s="16">
        <f t="shared" si="528"/>
        <v>6.48</v>
      </c>
      <c r="FM580" s="15">
        <v>5.28</v>
      </c>
      <c r="FN580" s="15">
        <f t="shared" si="535"/>
        <v>0.26400000000000001</v>
      </c>
      <c r="FO580" s="15">
        <f>FN580*SQRT(AR580)</f>
        <v>0.45726141319818359</v>
      </c>
      <c r="FP580" s="15">
        <v>6.48</v>
      </c>
      <c r="FQ580" s="15">
        <f t="shared" si="536"/>
        <v>0.32400000000000007</v>
      </c>
      <c r="FR580" s="15">
        <f>FQ580*SQRT(AR580)</f>
        <v>0.56118446165231628</v>
      </c>
      <c r="FS580" s="15">
        <f t="shared" si="529"/>
        <v>1.2272727272727273</v>
      </c>
      <c r="FT580" s="15">
        <f t="shared" si="530"/>
        <v>1.2000000000000002</v>
      </c>
      <c r="FU580" s="15">
        <f t="shared" si="531"/>
        <v>0.20479441264601306</v>
      </c>
      <c r="FV580" s="15">
        <f>((FR580*FR580)/(AR580*FP580*FP580)+(FO580*FO580)/(AR580*FM580*FM580))</f>
        <v>5.0000000000000001E-3</v>
      </c>
      <c r="HE580" s="15">
        <v>1960</v>
      </c>
      <c r="HF580" s="15">
        <f t="shared" si="537"/>
        <v>98</v>
      </c>
      <c r="HG580" s="15">
        <f>HF580*SQRT(AR270)</f>
        <v>196</v>
      </c>
      <c r="HH580" s="15">
        <v>2540</v>
      </c>
      <c r="HI580" s="15">
        <f t="shared" si="538"/>
        <v>127</v>
      </c>
      <c r="HJ580" s="15">
        <f>HI580*SQRT(AR270)</f>
        <v>254</v>
      </c>
      <c r="HK580" s="15">
        <f t="shared" si="502"/>
        <v>1.2959183673469388</v>
      </c>
      <c r="HL580" s="15">
        <f t="shared" si="503"/>
        <v>580</v>
      </c>
      <c r="HM580" s="15">
        <f t="shared" si="504"/>
        <v>0.25921960778801978</v>
      </c>
      <c r="HN580" s="15">
        <f>((HJ580*HJ580)/(AR270*HH580*HH580)+(HG580*HG580)/(AR270*HE580*HE580))</f>
        <v>5.0000000000000001E-3</v>
      </c>
      <c r="HP580" s="15" t="s">
        <v>766</v>
      </c>
      <c r="HV580" s="15">
        <f t="shared" si="505"/>
        <v>43.399494721864691</v>
      </c>
      <c r="HW580" s="15">
        <f t="shared" si="540"/>
        <v>0.25921960778801978</v>
      </c>
      <c r="HX580" s="15">
        <f>BB580</f>
        <v>1125</v>
      </c>
      <c r="HY580" s="15">
        <f>AZ580</f>
        <v>1875</v>
      </c>
      <c r="HZ580" s="15">
        <f>BA580</f>
        <v>0.63993174061433444</v>
      </c>
      <c r="IA580" s="15">
        <f>BB580</f>
        <v>1125</v>
      </c>
    </row>
    <row r="581" spans="1:235" s="15" customFormat="1" x14ac:dyDescent="0.25">
      <c r="A581" s="31">
        <v>579</v>
      </c>
      <c r="B581" s="1">
        <v>95</v>
      </c>
      <c r="C581" s="1">
        <v>113</v>
      </c>
      <c r="D581" s="15" t="s">
        <v>1422</v>
      </c>
      <c r="E581" s="1">
        <v>1</v>
      </c>
      <c r="F581" s="15" t="s">
        <v>761</v>
      </c>
      <c r="G581" s="15" t="s">
        <v>1427</v>
      </c>
      <c r="H581" s="15" t="s">
        <v>1428</v>
      </c>
      <c r="I581" s="1">
        <v>2004</v>
      </c>
      <c r="J581" s="15" t="s">
        <v>1263</v>
      </c>
      <c r="K581" s="1" t="s">
        <v>1429</v>
      </c>
      <c r="L581" s="15" t="s">
        <v>1362</v>
      </c>
      <c r="M581" s="15" t="s">
        <v>480</v>
      </c>
      <c r="N581" s="15" t="s">
        <v>520</v>
      </c>
      <c r="O581" s="31">
        <v>2</v>
      </c>
      <c r="P581" s="15">
        <v>29.17</v>
      </c>
      <c r="Q581" s="15">
        <v>119.18</v>
      </c>
      <c r="S581" s="15">
        <v>1333</v>
      </c>
      <c r="T581" s="15">
        <v>17.100000000000001</v>
      </c>
      <c r="U581" s="15" t="s">
        <v>549</v>
      </c>
      <c r="V581" s="31">
        <v>1</v>
      </c>
      <c r="W581" s="15" t="s">
        <v>1430</v>
      </c>
      <c r="X581" s="15" t="s">
        <v>1433</v>
      </c>
      <c r="Y581" s="1">
        <v>10</v>
      </c>
      <c r="Z581" s="15">
        <v>4.8600000000000003</v>
      </c>
      <c r="AA581" s="15" t="s">
        <v>574</v>
      </c>
      <c r="AB581" s="15">
        <f t="shared" si="541"/>
        <v>4.8600000000000003</v>
      </c>
      <c r="AC581" s="1">
        <v>2</v>
      </c>
      <c r="AD581" s="15">
        <v>3.3</v>
      </c>
      <c r="AF581" s="15">
        <v>5.76</v>
      </c>
      <c r="AH581" s="15">
        <v>6</v>
      </c>
      <c r="AJ581" s="15">
        <v>44.2</v>
      </c>
      <c r="AM581" s="1">
        <v>1</v>
      </c>
      <c r="AP581" s="15" t="s">
        <v>1431</v>
      </c>
      <c r="AQ581" s="1">
        <v>1</v>
      </c>
      <c r="AR581" s="1">
        <v>3</v>
      </c>
      <c r="AT581" s="15" t="s">
        <v>576</v>
      </c>
      <c r="AW581" s="15">
        <f>AW557/4</f>
        <v>2812.5</v>
      </c>
      <c r="AX581" s="15">
        <f t="shared" si="539"/>
        <v>2812.5</v>
      </c>
      <c r="AY581" s="15" t="s">
        <v>766</v>
      </c>
      <c r="AZ581" s="15">
        <f t="shared" si="532"/>
        <v>2812.5</v>
      </c>
      <c r="BA581" s="15">
        <f t="shared" si="533"/>
        <v>0.95989761092150161</v>
      </c>
      <c r="BB581" s="15">
        <f t="shared" si="534"/>
        <v>1687.5</v>
      </c>
      <c r="FK581" s="16">
        <f t="shared" si="527"/>
        <v>5.28</v>
      </c>
      <c r="FL581" s="16">
        <f t="shared" si="528"/>
        <v>7.02</v>
      </c>
      <c r="FM581" s="15">
        <v>5.28</v>
      </c>
      <c r="FN581" s="15">
        <f t="shared" si="535"/>
        <v>0.26400000000000001</v>
      </c>
      <c r="FO581" s="15">
        <f>FN581*SQRT(AR581)</f>
        <v>0.45726141319818359</v>
      </c>
      <c r="FP581" s="15">
        <v>7.02</v>
      </c>
      <c r="FQ581" s="15">
        <f t="shared" si="536"/>
        <v>0.35099999999999998</v>
      </c>
      <c r="FR581" s="15">
        <f>FQ581*SQRT(AR581)</f>
        <v>0.60794983345667586</v>
      </c>
      <c r="FS581" s="15">
        <f t="shared" si="529"/>
        <v>1.3295454545454544</v>
      </c>
      <c r="FT581" s="15">
        <f t="shared" si="530"/>
        <v>1.7399999999999993</v>
      </c>
      <c r="FU581" s="15">
        <f t="shared" si="531"/>
        <v>0.28483712031954944</v>
      </c>
      <c r="FV581" s="15">
        <f>((FR581*FR581)/(AR581*FP581*FP581)+(FO581*FO581)/(AR581*FM581*FM581))</f>
        <v>4.9999999999999992E-3</v>
      </c>
      <c r="HE581" s="15">
        <v>1960</v>
      </c>
      <c r="HF581" s="15">
        <f t="shared" si="537"/>
        <v>98</v>
      </c>
      <c r="HG581" s="15">
        <f>HF581*SQRT(AR271)</f>
        <v>196</v>
      </c>
      <c r="HH581" s="15">
        <v>2560</v>
      </c>
      <c r="HI581" s="15">
        <f t="shared" si="538"/>
        <v>128</v>
      </c>
      <c r="HJ581" s="15">
        <f>HI581*SQRT(AR271)</f>
        <v>256</v>
      </c>
      <c r="HK581" s="15">
        <f t="shared" si="502"/>
        <v>1.3061224489795917</v>
      </c>
      <c r="HL581" s="15">
        <f t="shared" si="503"/>
        <v>600</v>
      </c>
      <c r="HM581" s="15">
        <f t="shared" si="504"/>
        <v>0.26706278524904548</v>
      </c>
      <c r="HN581" s="15">
        <f>((HJ581*HJ581)/(AR271*HH581*HH581)+(HG581*HG581)/(AR271*HE581*HE581))</f>
        <v>5.0000000000000001E-3</v>
      </c>
      <c r="HP581" s="15" t="s">
        <v>766</v>
      </c>
      <c r="HV581" s="15">
        <f t="shared" si="505"/>
        <v>63.187388629469531</v>
      </c>
      <c r="HW581" s="15">
        <f t="shared" si="540"/>
        <v>0.26706278524904548</v>
      </c>
      <c r="HX581" s="15">
        <f>BB581</f>
        <v>1687.5</v>
      </c>
      <c r="HY581" s="15">
        <f>AZ581</f>
        <v>2812.5</v>
      </c>
      <c r="HZ581" s="15">
        <f>BA581</f>
        <v>0.95989761092150161</v>
      </c>
      <c r="IA581" s="15">
        <f>BB581</f>
        <v>1687.5</v>
      </c>
    </row>
    <row r="582" spans="1:235" s="15" customFormat="1" x14ac:dyDescent="0.25">
      <c r="A582" s="31">
        <v>580</v>
      </c>
      <c r="B582" s="1">
        <v>95</v>
      </c>
      <c r="C582" s="1">
        <v>113</v>
      </c>
      <c r="D582" s="15" t="s">
        <v>1423</v>
      </c>
      <c r="E582" s="1">
        <v>1</v>
      </c>
      <c r="F582" s="15" t="s">
        <v>761</v>
      </c>
      <c r="G582" s="15" t="s">
        <v>1427</v>
      </c>
      <c r="H582" s="15" t="s">
        <v>1428</v>
      </c>
      <c r="I582" s="1">
        <v>2004</v>
      </c>
      <c r="J582" s="15" t="s">
        <v>1263</v>
      </c>
      <c r="K582" s="1" t="s">
        <v>1429</v>
      </c>
      <c r="L582" s="15" t="s">
        <v>1362</v>
      </c>
      <c r="M582" s="15" t="s">
        <v>480</v>
      </c>
      <c r="N582" s="15" t="s">
        <v>520</v>
      </c>
      <c r="O582" s="31">
        <v>2</v>
      </c>
      <c r="P582" s="15">
        <v>29.17</v>
      </c>
      <c r="Q582" s="15">
        <v>119.18</v>
      </c>
      <c r="S582" s="15">
        <v>1333</v>
      </c>
      <c r="T582" s="15">
        <v>17.100000000000001</v>
      </c>
      <c r="U582" s="15" t="s">
        <v>549</v>
      </c>
      <c r="V582" s="31">
        <v>1</v>
      </c>
      <c r="W582" s="15" t="s">
        <v>1430</v>
      </c>
      <c r="X582" s="15" t="s">
        <v>1433</v>
      </c>
      <c r="Y582" s="1">
        <v>10</v>
      </c>
      <c r="Z582" s="15">
        <v>4.8600000000000003</v>
      </c>
      <c r="AA582" s="15" t="s">
        <v>574</v>
      </c>
      <c r="AB582" s="15">
        <f t="shared" si="541"/>
        <v>4.8600000000000003</v>
      </c>
      <c r="AC582" s="1">
        <v>2</v>
      </c>
      <c r="AD582" s="15">
        <v>3.3</v>
      </c>
      <c r="AF582" s="15">
        <v>5.76</v>
      </c>
      <c r="AH582" s="15">
        <v>6</v>
      </c>
      <c r="AJ582" s="15">
        <v>44.2</v>
      </c>
      <c r="AM582" s="1">
        <v>1</v>
      </c>
      <c r="AP582" s="15" t="s">
        <v>1431</v>
      </c>
      <c r="AQ582" s="1">
        <v>1</v>
      </c>
      <c r="AR582" s="1">
        <v>3</v>
      </c>
      <c r="AT582" s="15" t="s">
        <v>576</v>
      </c>
      <c r="AW582" s="15">
        <f>AW558/4</f>
        <v>3750</v>
      </c>
      <c r="AX582" s="15">
        <f t="shared" si="539"/>
        <v>3750</v>
      </c>
      <c r="AY582" s="15" t="s">
        <v>766</v>
      </c>
      <c r="AZ582" s="15">
        <f t="shared" si="532"/>
        <v>3750</v>
      </c>
      <c r="BA582" s="15">
        <f t="shared" si="533"/>
        <v>1.2798634812286689</v>
      </c>
      <c r="BB582" s="15">
        <f t="shared" si="534"/>
        <v>2250</v>
      </c>
      <c r="FK582" s="16">
        <f t="shared" si="527"/>
        <v>5.28</v>
      </c>
      <c r="FL582" s="16">
        <f t="shared" si="528"/>
        <v>7.64</v>
      </c>
      <c r="FM582" s="15">
        <v>5.28</v>
      </c>
      <c r="FN582" s="15">
        <f t="shared" si="535"/>
        <v>0.26400000000000001</v>
      </c>
      <c r="FO582" s="15">
        <f>FN582*SQRT(AR582)</f>
        <v>0.45726141319818359</v>
      </c>
      <c r="FP582" s="15">
        <v>7.64</v>
      </c>
      <c r="FQ582" s="15">
        <f t="shared" si="536"/>
        <v>0.38200000000000001</v>
      </c>
      <c r="FR582" s="15">
        <f>FQ582*SQRT(AR582)</f>
        <v>0.66164340849131109</v>
      </c>
      <c r="FS582" s="15">
        <f t="shared" si="529"/>
        <v>1.4469696969696968</v>
      </c>
      <c r="FT582" s="15">
        <f t="shared" si="530"/>
        <v>2.3599999999999994</v>
      </c>
      <c r="FU582" s="15">
        <f t="shared" si="531"/>
        <v>0.36947150546025864</v>
      </c>
      <c r="FV582" s="15">
        <f>((FR582*FR582)/(AR582*FP582*FP582)+(FO582*FO582)/(AR582*FM582*FM582))</f>
        <v>5.0000000000000001E-3</v>
      </c>
      <c r="HE582" s="15">
        <v>1960</v>
      </c>
      <c r="HF582" s="15">
        <f t="shared" si="537"/>
        <v>98</v>
      </c>
      <c r="HG582" s="15">
        <f>HF582*SQRT(AR272)</f>
        <v>196</v>
      </c>
      <c r="HH582" s="15">
        <v>2560</v>
      </c>
      <c r="HI582" s="15">
        <f t="shared" si="538"/>
        <v>128</v>
      </c>
      <c r="HJ582" s="15">
        <f>HI582*SQRT(AR272)</f>
        <v>256</v>
      </c>
      <c r="HK582" s="15">
        <f t="shared" si="502"/>
        <v>1.3061224489795917</v>
      </c>
      <c r="HL582" s="15">
        <f t="shared" si="503"/>
        <v>600</v>
      </c>
      <c r="HM582" s="15">
        <f t="shared" si="504"/>
        <v>0.26706278524904548</v>
      </c>
      <c r="HN582" s="15">
        <f>((HJ582*HJ582)/(AR272*HH582*HH582)+(HG582*HG582)/(AR272*HE582*HE582))</f>
        <v>5.0000000000000001E-3</v>
      </c>
      <c r="HP582" s="15" t="s">
        <v>766</v>
      </c>
      <c r="HV582" s="15">
        <f t="shared" si="505"/>
        <v>84.249851505959384</v>
      </c>
      <c r="HW582" s="15">
        <f t="shared" si="540"/>
        <v>0.26706278524904548</v>
      </c>
      <c r="HX582" s="15">
        <f>BB582</f>
        <v>2250</v>
      </c>
      <c r="HY582" s="15">
        <f>AZ582</f>
        <v>3750</v>
      </c>
      <c r="HZ582" s="15">
        <f>BA582</f>
        <v>1.2798634812286689</v>
      </c>
      <c r="IA582" s="15">
        <f>BB582</f>
        <v>2250</v>
      </c>
    </row>
    <row r="583" spans="1:235" s="15" customFormat="1" x14ac:dyDescent="0.25">
      <c r="A583" s="31">
        <v>581</v>
      </c>
      <c r="B583" s="1">
        <v>95</v>
      </c>
      <c r="C583" s="1">
        <v>113</v>
      </c>
      <c r="D583" s="15" t="s">
        <v>1424</v>
      </c>
      <c r="E583" s="1">
        <v>1</v>
      </c>
      <c r="F583" s="15" t="s">
        <v>761</v>
      </c>
      <c r="G583" s="15" t="s">
        <v>1427</v>
      </c>
      <c r="H583" s="15" t="s">
        <v>1428</v>
      </c>
      <c r="I583" s="1">
        <v>2004</v>
      </c>
      <c r="J583" s="15" t="s">
        <v>1263</v>
      </c>
      <c r="K583" s="1" t="s">
        <v>1429</v>
      </c>
      <c r="L583" s="15" t="s">
        <v>1362</v>
      </c>
      <c r="M583" s="15" t="s">
        <v>480</v>
      </c>
      <c r="N583" s="15" t="s">
        <v>520</v>
      </c>
      <c r="O583" s="31">
        <v>2</v>
      </c>
      <c r="P583" s="15">
        <v>29.17</v>
      </c>
      <c r="Q583" s="15">
        <v>119.18</v>
      </c>
      <c r="S583" s="15">
        <v>1333</v>
      </c>
      <c r="T583" s="15">
        <v>17.100000000000001</v>
      </c>
      <c r="U583" s="15" t="s">
        <v>549</v>
      </c>
      <c r="V583" s="31">
        <v>1</v>
      </c>
      <c r="W583" s="15" t="s">
        <v>1430</v>
      </c>
      <c r="X583" s="15" t="s">
        <v>1195</v>
      </c>
      <c r="Y583" s="1">
        <v>5</v>
      </c>
      <c r="Z583" s="15">
        <v>4.8600000000000003</v>
      </c>
      <c r="AA583" s="15" t="s">
        <v>574</v>
      </c>
      <c r="AB583" s="15">
        <f t="shared" si="541"/>
        <v>4.8600000000000003</v>
      </c>
      <c r="AC583" s="1">
        <v>2</v>
      </c>
      <c r="AD583" s="15">
        <v>3.3</v>
      </c>
      <c r="AF583" s="15">
        <v>5.76</v>
      </c>
      <c r="AH583" s="15">
        <v>6</v>
      </c>
      <c r="AJ583" s="15">
        <v>44.2</v>
      </c>
      <c r="AM583" s="1">
        <v>1</v>
      </c>
      <c r="AP583" s="15" t="s">
        <v>1431</v>
      </c>
      <c r="AQ583" s="1">
        <v>1</v>
      </c>
      <c r="AR583" s="1">
        <v>3</v>
      </c>
      <c r="AT583" s="15" t="s">
        <v>576</v>
      </c>
      <c r="AW583" s="15">
        <f>AW555/5</f>
        <v>750</v>
      </c>
      <c r="AX583" s="15">
        <f t="shared" si="539"/>
        <v>750</v>
      </c>
      <c r="AY583" s="15" t="s">
        <v>766</v>
      </c>
      <c r="AZ583" s="15">
        <f t="shared" si="532"/>
        <v>750</v>
      </c>
      <c r="BA583" s="15">
        <f t="shared" si="533"/>
        <v>0.25597269624573377</v>
      </c>
      <c r="BB583" s="15">
        <f t="shared" si="534"/>
        <v>450</v>
      </c>
      <c r="FK583" s="16">
        <f t="shared" si="527"/>
        <v>5.39</v>
      </c>
      <c r="FL583" s="16">
        <f t="shared" si="528"/>
        <v>5.58</v>
      </c>
      <c r="FM583" s="15">
        <v>5.39</v>
      </c>
      <c r="FN583" s="15">
        <v>0.26950000000000002</v>
      </c>
      <c r="FO583" s="15">
        <f>FN583*SQRT(AR583)</f>
        <v>0.46678769263981246</v>
      </c>
      <c r="FP583" s="15">
        <v>5.58</v>
      </c>
      <c r="FQ583" s="15">
        <v>0.27900000000000003</v>
      </c>
      <c r="FR583" s="15">
        <f>FQ583*SQRT(AR583)</f>
        <v>0.48324217531171676</v>
      </c>
      <c r="FS583" s="15">
        <v>1.0352504638218925</v>
      </c>
      <c r="FT583" s="15">
        <v>0.19000000000000039</v>
      </c>
      <c r="FU583" s="15">
        <f t="shared" si="531"/>
        <v>3.4643391472313878E-2</v>
      </c>
      <c r="FV583" s="15">
        <f>((FR583*FR583)/(AR583*FP583*FP583)+(FO583*FO583)/(AR583*FM583*FM583))</f>
        <v>5.0000000000000001E-3</v>
      </c>
      <c r="HE583" s="15">
        <v>1040</v>
      </c>
      <c r="HF583" s="15">
        <f t="shared" si="537"/>
        <v>52</v>
      </c>
      <c r="HG583" s="15">
        <f>HF583*SQRT(AR273)</f>
        <v>104</v>
      </c>
      <c r="HH583" s="15">
        <v>1250</v>
      </c>
      <c r="HI583" s="15">
        <f t="shared" si="538"/>
        <v>62.5</v>
      </c>
      <c r="HJ583" s="15">
        <f>HI583*SQRT(AR273)</f>
        <v>125</v>
      </c>
      <c r="HK583" s="15">
        <f t="shared" si="502"/>
        <v>1.2019230769230769</v>
      </c>
      <c r="HL583" s="15">
        <f t="shared" si="503"/>
        <v>210</v>
      </c>
      <c r="HM583" s="15">
        <f t="shared" si="504"/>
        <v>0.18392283816092814</v>
      </c>
      <c r="HN583" s="15">
        <f>((HJ583*HJ583)/(AR273*HH583*HH583)+(HG583*HG583)/(AR273*HE583*HE583))</f>
        <v>5.0000000000000001E-3</v>
      </c>
      <c r="HP583" s="15" t="s">
        <v>766</v>
      </c>
      <c r="HV583" s="15">
        <f t="shared" si="505"/>
        <v>24.466782075549563</v>
      </c>
      <c r="HW583" s="15">
        <f t="shared" si="540"/>
        <v>0.18392283816092814</v>
      </c>
      <c r="HX583" s="15">
        <f>BB583</f>
        <v>450</v>
      </c>
      <c r="HY583" s="15">
        <f>AZ583</f>
        <v>750</v>
      </c>
      <c r="HZ583" s="15">
        <f>BA583</f>
        <v>0.25597269624573377</v>
      </c>
      <c r="IA583" s="15">
        <f>BB583</f>
        <v>450</v>
      </c>
    </row>
    <row r="584" spans="1:235" s="15" customFormat="1" x14ac:dyDescent="0.25">
      <c r="A584" s="31">
        <v>582</v>
      </c>
      <c r="B584" s="1">
        <v>95</v>
      </c>
      <c r="C584" s="1">
        <v>113</v>
      </c>
      <c r="D584" s="15" t="s">
        <v>1425</v>
      </c>
      <c r="E584" s="1">
        <v>1</v>
      </c>
      <c r="F584" s="15" t="s">
        <v>761</v>
      </c>
      <c r="G584" s="15" t="s">
        <v>1427</v>
      </c>
      <c r="H584" s="15" t="s">
        <v>1428</v>
      </c>
      <c r="I584" s="1">
        <v>2004</v>
      </c>
      <c r="J584" s="15" t="s">
        <v>1263</v>
      </c>
      <c r="K584" s="1" t="s">
        <v>1429</v>
      </c>
      <c r="L584" s="15" t="s">
        <v>1362</v>
      </c>
      <c r="M584" s="15" t="s">
        <v>480</v>
      </c>
      <c r="N584" s="15" t="s">
        <v>520</v>
      </c>
      <c r="O584" s="31">
        <v>2</v>
      </c>
      <c r="P584" s="15">
        <v>29.17</v>
      </c>
      <c r="Q584" s="15">
        <v>119.18</v>
      </c>
      <c r="S584" s="15">
        <v>1333</v>
      </c>
      <c r="T584" s="15">
        <v>17.100000000000001</v>
      </c>
      <c r="U584" s="15" t="s">
        <v>549</v>
      </c>
      <c r="V584" s="31">
        <v>1</v>
      </c>
      <c r="W584" s="15" t="s">
        <v>1430</v>
      </c>
      <c r="X584" s="15" t="s">
        <v>1195</v>
      </c>
      <c r="Y584" s="1">
        <v>5</v>
      </c>
      <c r="Z584" s="15">
        <v>4.8600000000000003</v>
      </c>
      <c r="AA584" s="15" t="s">
        <v>574</v>
      </c>
      <c r="AB584" s="15">
        <f t="shared" si="541"/>
        <v>4.8600000000000003</v>
      </c>
      <c r="AC584" s="1">
        <v>2</v>
      </c>
      <c r="AD584" s="15">
        <v>3.3</v>
      </c>
      <c r="AF584" s="15">
        <v>5.76</v>
      </c>
      <c r="AH584" s="15">
        <v>6</v>
      </c>
      <c r="AJ584" s="15">
        <v>44.2</v>
      </c>
      <c r="AM584" s="1">
        <v>1</v>
      </c>
      <c r="AP584" s="15" t="s">
        <v>1431</v>
      </c>
      <c r="AQ584" s="1">
        <v>1</v>
      </c>
      <c r="AR584" s="1">
        <v>3</v>
      </c>
      <c r="AT584" s="15" t="s">
        <v>576</v>
      </c>
      <c r="AW584" s="15">
        <f>AW556/5</f>
        <v>1500</v>
      </c>
      <c r="AX584" s="15">
        <f t="shared" si="539"/>
        <v>1500</v>
      </c>
      <c r="AY584" s="15" t="s">
        <v>766</v>
      </c>
      <c r="AZ584" s="15">
        <f t="shared" si="532"/>
        <v>1500</v>
      </c>
      <c r="BA584" s="15">
        <f t="shared" si="533"/>
        <v>0.51194539249146753</v>
      </c>
      <c r="BB584" s="15">
        <f t="shared" si="534"/>
        <v>900</v>
      </c>
      <c r="FK584" s="16">
        <f t="shared" si="527"/>
        <v>5.39</v>
      </c>
      <c r="FL584" s="16">
        <f t="shared" si="528"/>
        <v>6.28</v>
      </c>
      <c r="FM584" s="15">
        <v>5.39</v>
      </c>
      <c r="FN584" s="15">
        <v>0.26950000000000002</v>
      </c>
      <c r="FO584" s="15">
        <f>FN584*SQRT(AR584)</f>
        <v>0.46678769263981246</v>
      </c>
      <c r="FP584" s="15">
        <v>6.28</v>
      </c>
      <c r="FQ584" s="15">
        <v>0.31400000000000006</v>
      </c>
      <c r="FR584" s="15">
        <f>FQ584*SQRT(AR584)</f>
        <v>0.54386395357662753</v>
      </c>
      <c r="FS584" s="15">
        <v>1.1651205936920224</v>
      </c>
      <c r="FT584" s="15">
        <v>0.89000000000000057</v>
      </c>
      <c r="FU584" s="15">
        <f t="shared" si="531"/>
        <v>0.15282459555920158</v>
      </c>
      <c r="FV584" s="15">
        <f>((FR584*FR584)/(AR584*FP584*FP584)+(FO584*FO584)/(AR584*FM584*FM584))</f>
        <v>5.000000000000001E-3</v>
      </c>
      <c r="HE584" s="15">
        <v>1040</v>
      </c>
      <c r="HF584" s="15">
        <f t="shared" si="537"/>
        <v>52</v>
      </c>
      <c r="HG584" s="15">
        <f>HF584*SQRT(AR274)</f>
        <v>104</v>
      </c>
      <c r="HH584" s="15">
        <v>1230</v>
      </c>
      <c r="HI584" s="15">
        <f t="shared" si="538"/>
        <v>61.5</v>
      </c>
      <c r="HJ584" s="15">
        <f>HI584*SQRT(AR274)</f>
        <v>123</v>
      </c>
      <c r="HK584" s="15">
        <f t="shared" si="502"/>
        <v>1.1826923076923077</v>
      </c>
      <c r="HL584" s="15">
        <f t="shared" si="503"/>
        <v>190</v>
      </c>
      <c r="HM584" s="15">
        <f t="shared" si="504"/>
        <v>0.16779345623104458</v>
      </c>
      <c r="HN584" s="15">
        <f>((HJ584*HJ584)/(AR274*HH584*HH584)+(HG584*HG584)/(AR274*HE584*HE584))</f>
        <v>5.0000000000000001E-3</v>
      </c>
      <c r="HP584" s="15" t="s">
        <v>766</v>
      </c>
      <c r="HV584" s="15">
        <f t="shared" si="505"/>
        <v>53.63737181506874</v>
      </c>
      <c r="HW584" s="15">
        <f t="shared" si="540"/>
        <v>0.16779345623104458</v>
      </c>
      <c r="HX584" s="15">
        <f>BB584</f>
        <v>900</v>
      </c>
      <c r="HY584" s="15">
        <f>AZ584</f>
        <v>1500</v>
      </c>
      <c r="HZ584" s="15">
        <f>BA584</f>
        <v>0.51194539249146753</v>
      </c>
      <c r="IA584" s="15">
        <f>BB584</f>
        <v>900</v>
      </c>
    </row>
    <row r="585" spans="1:235" s="15" customFormat="1" x14ac:dyDescent="0.25">
      <c r="A585" s="31">
        <v>583</v>
      </c>
      <c r="B585" s="1">
        <v>95</v>
      </c>
      <c r="C585" s="1">
        <v>113</v>
      </c>
      <c r="D585" s="15" t="s">
        <v>1426</v>
      </c>
      <c r="E585" s="1">
        <v>1</v>
      </c>
      <c r="F585" s="15" t="s">
        <v>761</v>
      </c>
      <c r="G585" s="15" t="s">
        <v>1427</v>
      </c>
      <c r="H585" s="15" t="s">
        <v>1428</v>
      </c>
      <c r="I585" s="1">
        <v>2004</v>
      </c>
      <c r="J585" s="15" t="s">
        <v>1263</v>
      </c>
      <c r="K585" s="1" t="s">
        <v>1429</v>
      </c>
      <c r="L585" s="15" t="s">
        <v>1362</v>
      </c>
      <c r="M585" s="15" t="s">
        <v>480</v>
      </c>
      <c r="N585" s="15" t="s">
        <v>520</v>
      </c>
      <c r="O585" s="31">
        <v>2</v>
      </c>
      <c r="P585" s="15">
        <v>29.17</v>
      </c>
      <c r="Q585" s="15">
        <v>119.18</v>
      </c>
      <c r="S585" s="15">
        <v>1333</v>
      </c>
      <c r="T585" s="15">
        <v>17.100000000000001</v>
      </c>
      <c r="U585" s="15" t="s">
        <v>549</v>
      </c>
      <c r="V585" s="31">
        <v>1</v>
      </c>
      <c r="W585" s="15" t="s">
        <v>1430</v>
      </c>
      <c r="X585" s="15" t="s">
        <v>1195</v>
      </c>
      <c r="Y585" s="1">
        <v>5</v>
      </c>
      <c r="Z585" s="15">
        <v>4.8600000000000003</v>
      </c>
      <c r="AA585" s="15" t="s">
        <v>574</v>
      </c>
      <c r="AB585" s="15">
        <f t="shared" si="541"/>
        <v>4.8600000000000003</v>
      </c>
      <c r="AC585" s="1">
        <v>2</v>
      </c>
      <c r="AD585" s="15">
        <v>3.3</v>
      </c>
      <c r="AF585" s="15">
        <v>5.76</v>
      </c>
      <c r="AH585" s="15">
        <v>6</v>
      </c>
      <c r="AJ585" s="15">
        <v>44.2</v>
      </c>
      <c r="AM585" s="1">
        <v>1</v>
      </c>
      <c r="AP585" s="15" t="s">
        <v>1431</v>
      </c>
      <c r="AQ585" s="1">
        <v>1</v>
      </c>
      <c r="AR585" s="1">
        <v>3</v>
      </c>
      <c r="AT585" s="15" t="s">
        <v>576</v>
      </c>
      <c r="AW585" s="15">
        <f>AW557/5</f>
        <v>2250</v>
      </c>
      <c r="AX585" s="15">
        <f t="shared" si="539"/>
        <v>2250</v>
      </c>
      <c r="AY585" s="15" t="s">
        <v>766</v>
      </c>
      <c r="AZ585" s="15">
        <f t="shared" si="532"/>
        <v>2250</v>
      </c>
      <c r="BA585" s="15">
        <f t="shared" si="533"/>
        <v>0.76791808873720124</v>
      </c>
      <c r="BB585" s="15">
        <f t="shared" si="534"/>
        <v>1350</v>
      </c>
      <c r="FK585" s="16">
        <f t="shared" si="527"/>
        <v>5.39</v>
      </c>
      <c r="FL585" s="16">
        <f t="shared" si="528"/>
        <v>6.64</v>
      </c>
      <c r="FM585" s="15">
        <v>5.39</v>
      </c>
      <c r="FN585" s="15">
        <v>0.26950000000000002</v>
      </c>
      <c r="FO585" s="15">
        <f>FN585*SQRT(AR585)</f>
        <v>0.46678769263981246</v>
      </c>
      <c r="FP585" s="15">
        <v>6.64</v>
      </c>
      <c r="FQ585" s="15">
        <v>0.33200000000000002</v>
      </c>
      <c r="FR585" s="15">
        <f>FQ585*SQRT(AR585)</f>
        <v>0.57504086811286725</v>
      </c>
      <c r="FS585" s="15">
        <v>1.2319109461966604</v>
      </c>
      <c r="FT585" s="15">
        <v>1.25</v>
      </c>
      <c r="FU585" s="15">
        <f t="shared" si="531"/>
        <v>0.20856657856743666</v>
      </c>
      <c r="FV585" s="15">
        <f>((FR585*FR585)/(AR585*FP585*FP585)+(FO585*FO585)/(AR585*FM585*FM585))</f>
        <v>5.000000000000001E-3</v>
      </c>
      <c r="HE585" s="15">
        <v>1040</v>
      </c>
      <c r="HF585" s="15">
        <f t="shared" si="537"/>
        <v>52</v>
      </c>
      <c r="HG585" s="15">
        <f>HF585*SQRT(AR275)</f>
        <v>104</v>
      </c>
      <c r="HH585" s="15">
        <v>1410</v>
      </c>
      <c r="HI585" s="15">
        <f t="shared" si="538"/>
        <v>70.5</v>
      </c>
      <c r="HJ585" s="15">
        <f>HI585*SQRT(AR275)</f>
        <v>141</v>
      </c>
      <c r="HK585" s="15">
        <f t="shared" si="502"/>
        <v>1.3557692307692308</v>
      </c>
      <c r="HL585" s="15">
        <f t="shared" si="503"/>
        <v>370</v>
      </c>
      <c r="HM585" s="15">
        <f t="shared" si="504"/>
        <v>0.30436899123679595</v>
      </c>
      <c r="HN585" s="15">
        <f>((HJ585*HJ585)/(AR275*HH585*HH585)+(HG585*HG585)/(AR275*HE585*HE585))</f>
        <v>5.0000000000000001E-3</v>
      </c>
      <c r="HP585" s="15" t="s">
        <v>766</v>
      </c>
      <c r="HV585" s="15">
        <f t="shared" si="505"/>
        <v>44.35405835904335</v>
      </c>
      <c r="HW585" s="15">
        <f t="shared" si="540"/>
        <v>0.30436899123679595</v>
      </c>
      <c r="HX585" s="15">
        <f>BB585</f>
        <v>1350</v>
      </c>
      <c r="HY585" s="15">
        <f>AZ585</f>
        <v>2250</v>
      </c>
      <c r="HZ585" s="15">
        <f>BA585</f>
        <v>0.76791808873720124</v>
      </c>
      <c r="IA585" s="15">
        <f>BB585</f>
        <v>1350</v>
      </c>
    </row>
    <row r="586" spans="1:235" s="15" customFormat="1" x14ac:dyDescent="0.25">
      <c r="A586" s="31">
        <v>584</v>
      </c>
      <c r="B586" s="1">
        <v>95</v>
      </c>
      <c r="C586" s="1">
        <v>113</v>
      </c>
      <c r="D586" s="15" t="s">
        <v>1434</v>
      </c>
      <c r="E586" s="1">
        <v>1</v>
      </c>
      <c r="F586" s="15" t="s">
        <v>761</v>
      </c>
      <c r="G586" s="15" t="s">
        <v>1427</v>
      </c>
      <c r="H586" s="15" t="s">
        <v>1428</v>
      </c>
      <c r="I586" s="1">
        <v>2004</v>
      </c>
      <c r="J586" s="15" t="s">
        <v>1263</v>
      </c>
      <c r="K586" s="1" t="s">
        <v>1429</v>
      </c>
      <c r="L586" s="15" t="s">
        <v>1362</v>
      </c>
      <c r="M586" s="15" t="s">
        <v>480</v>
      </c>
      <c r="N586" s="15" t="s">
        <v>520</v>
      </c>
      <c r="O586" s="31">
        <v>2</v>
      </c>
      <c r="P586" s="15">
        <v>29.17</v>
      </c>
      <c r="Q586" s="15">
        <v>119.18</v>
      </c>
      <c r="S586" s="15">
        <v>1333</v>
      </c>
      <c r="T586" s="15">
        <v>17.100000000000001</v>
      </c>
      <c r="U586" s="15" t="s">
        <v>549</v>
      </c>
      <c r="V586" s="31">
        <v>1</v>
      </c>
      <c r="W586" s="15" t="s">
        <v>1430</v>
      </c>
      <c r="X586" s="15" t="s">
        <v>1195</v>
      </c>
      <c r="Y586" s="1">
        <v>5</v>
      </c>
      <c r="Z586" s="15">
        <v>4.8600000000000003</v>
      </c>
      <c r="AA586" s="15" t="s">
        <v>574</v>
      </c>
      <c r="AB586" s="15">
        <f t="shared" si="541"/>
        <v>4.8600000000000003</v>
      </c>
      <c r="AC586" s="1">
        <v>2</v>
      </c>
      <c r="AD586" s="15">
        <v>3.3</v>
      </c>
      <c r="AF586" s="15">
        <v>5.76</v>
      </c>
      <c r="AH586" s="15">
        <v>6</v>
      </c>
      <c r="AJ586" s="15">
        <v>44.2</v>
      </c>
      <c r="AM586" s="1">
        <v>1</v>
      </c>
      <c r="AP586" s="15" t="s">
        <v>1431</v>
      </c>
      <c r="AQ586" s="1">
        <v>1</v>
      </c>
      <c r="AR586" s="1">
        <v>3</v>
      </c>
      <c r="AT586" s="15" t="s">
        <v>576</v>
      </c>
      <c r="AW586" s="15">
        <f>AW558/5</f>
        <v>3000</v>
      </c>
      <c r="AX586" s="15">
        <f t="shared" si="539"/>
        <v>3000</v>
      </c>
      <c r="AY586" s="15" t="s">
        <v>766</v>
      </c>
      <c r="AZ586" s="15">
        <f t="shared" si="532"/>
        <v>3000</v>
      </c>
      <c r="BA586" s="15">
        <f t="shared" si="533"/>
        <v>1.0238907849829351</v>
      </c>
      <c r="BB586" s="15">
        <f t="shared" si="534"/>
        <v>1800</v>
      </c>
      <c r="FK586" s="16">
        <f t="shared" si="527"/>
        <v>5.39</v>
      </c>
      <c r="FL586" s="16">
        <f t="shared" si="528"/>
        <v>7.15</v>
      </c>
      <c r="FM586" s="15">
        <v>5.39</v>
      </c>
      <c r="FN586" s="15">
        <v>0.26950000000000002</v>
      </c>
      <c r="FO586" s="15">
        <f>FN586*SQRT(AR586)</f>
        <v>0.46678769263981246</v>
      </c>
      <c r="FP586" s="15">
        <v>7.15</v>
      </c>
      <c r="FQ586" s="15">
        <v>0.35750000000000004</v>
      </c>
      <c r="FR586" s="15">
        <f>FQ586*SQRT(AR586)</f>
        <v>0.61920816370587362</v>
      </c>
      <c r="FS586" s="15">
        <v>1.3265306122448981</v>
      </c>
      <c r="FT586" s="15">
        <v>1.7600000000000007</v>
      </c>
      <c r="FU586" s="15">
        <f t="shared" si="531"/>
        <v>0.28256697178501056</v>
      </c>
      <c r="FV586" s="15">
        <f>((FR586*FR586)/(AR586*FP586*FP586)+(FO586*FO586)/(AR586*FM586*FM586))</f>
        <v>4.9999999999999992E-3</v>
      </c>
      <c r="HE586" s="15">
        <v>1040</v>
      </c>
      <c r="HF586" s="15">
        <f t="shared" si="537"/>
        <v>52</v>
      </c>
      <c r="HG586" s="15">
        <f>HF586*SQRT(AR276)</f>
        <v>104</v>
      </c>
      <c r="HH586" s="15">
        <v>1460</v>
      </c>
      <c r="HI586" s="15">
        <f t="shared" si="538"/>
        <v>73</v>
      </c>
      <c r="HJ586" s="15">
        <f>HI586*SQRT(AR276)</f>
        <v>146</v>
      </c>
      <c r="HK586" s="15">
        <f t="shared" si="502"/>
        <v>1.4038461538461537</v>
      </c>
      <c r="HL586" s="15">
        <f t="shared" si="503"/>
        <v>420</v>
      </c>
      <c r="HM586" s="15">
        <f t="shared" si="504"/>
        <v>0.33921572256696386</v>
      </c>
      <c r="HN586" s="15">
        <f>((HJ586*HJ586)/(AR276*HH586*HH586)+(HG586*HG586)/(AR276*HE586*HE586))</f>
        <v>5.0000000000000001E-3</v>
      </c>
      <c r="HP586" s="15" t="s">
        <v>766</v>
      </c>
      <c r="HV586" s="15">
        <f t="shared" si="505"/>
        <v>53.063578137793002</v>
      </c>
      <c r="HW586" s="15">
        <f t="shared" si="540"/>
        <v>0.33921572256696386</v>
      </c>
      <c r="HX586" s="15">
        <f>BB586</f>
        <v>1800</v>
      </c>
      <c r="HY586" s="15">
        <f>AZ586</f>
        <v>3000</v>
      </c>
      <c r="HZ586" s="15">
        <f>BA586</f>
        <v>1.0238907849829351</v>
      </c>
      <c r="IA586" s="15">
        <f>BB586</f>
        <v>1800</v>
      </c>
    </row>
    <row r="587" spans="1:235" s="15" customFormat="1" x14ac:dyDescent="0.25">
      <c r="A587" s="31">
        <v>585</v>
      </c>
      <c r="B587" s="1">
        <v>95</v>
      </c>
      <c r="C587" s="1">
        <v>113</v>
      </c>
      <c r="D587" s="15" t="s">
        <v>1435</v>
      </c>
      <c r="E587" s="1">
        <v>1</v>
      </c>
      <c r="F587" s="15" t="s">
        <v>761</v>
      </c>
      <c r="G587" s="15" t="s">
        <v>1427</v>
      </c>
      <c r="H587" s="15" t="s">
        <v>1428</v>
      </c>
      <c r="I587" s="1">
        <v>2004</v>
      </c>
      <c r="J587" s="15" t="s">
        <v>1263</v>
      </c>
      <c r="K587" s="1" t="s">
        <v>1429</v>
      </c>
      <c r="L587" s="15" t="s">
        <v>1362</v>
      </c>
      <c r="M587" s="15" t="s">
        <v>480</v>
      </c>
      <c r="N587" s="15" t="s">
        <v>520</v>
      </c>
      <c r="O587" s="31">
        <v>2</v>
      </c>
      <c r="P587" s="15">
        <v>29.17</v>
      </c>
      <c r="Q587" s="15">
        <v>119.18</v>
      </c>
      <c r="S587" s="15">
        <v>1333</v>
      </c>
      <c r="T587" s="15">
        <v>17.100000000000001</v>
      </c>
      <c r="U587" s="15" t="s">
        <v>549</v>
      </c>
      <c r="V587" s="31">
        <v>1</v>
      </c>
      <c r="W587" s="15" t="s">
        <v>1430</v>
      </c>
      <c r="X587" s="15" t="s">
        <v>1433</v>
      </c>
      <c r="Y587" s="1">
        <v>10</v>
      </c>
      <c r="Z587" s="15">
        <v>4.8600000000000003</v>
      </c>
      <c r="AA587" s="15" t="s">
        <v>574</v>
      </c>
      <c r="AB587" s="15">
        <f t="shared" si="541"/>
        <v>4.8600000000000003</v>
      </c>
      <c r="AC587" s="1">
        <v>2</v>
      </c>
      <c r="AD587" s="15">
        <v>3.3</v>
      </c>
      <c r="AF587" s="15">
        <v>5.76</v>
      </c>
      <c r="AH587" s="15">
        <v>6</v>
      </c>
      <c r="AJ587" s="15">
        <v>44.2</v>
      </c>
      <c r="AM587" s="1">
        <v>1</v>
      </c>
      <c r="AP587" s="15" t="s">
        <v>1431</v>
      </c>
      <c r="AQ587" s="1">
        <v>1</v>
      </c>
      <c r="AR587" s="1">
        <v>3</v>
      </c>
      <c r="AT587" s="15" t="s">
        <v>576</v>
      </c>
      <c r="AW587" s="15">
        <v>750</v>
      </c>
      <c r="AX587" s="15">
        <f t="shared" si="539"/>
        <v>750</v>
      </c>
      <c r="AY587" s="15" t="s">
        <v>766</v>
      </c>
      <c r="AZ587" s="15">
        <f t="shared" si="532"/>
        <v>750</v>
      </c>
      <c r="BA587" s="15">
        <f t="shared" si="533"/>
        <v>0.25597269624573377</v>
      </c>
      <c r="BB587" s="15">
        <f t="shared" si="534"/>
        <v>450</v>
      </c>
      <c r="FK587" s="16">
        <f t="shared" si="527"/>
        <v>5.39</v>
      </c>
      <c r="FL587" s="16">
        <f t="shared" si="528"/>
        <v>5.58</v>
      </c>
      <c r="FM587" s="15">
        <v>5.39</v>
      </c>
      <c r="FN587" s="15">
        <f t="shared" ref="FN587:FN650" si="542">FM587*0.05</f>
        <v>0.26950000000000002</v>
      </c>
      <c r="FO587" s="15">
        <f>FN587*SQRT(AR587)</f>
        <v>0.46678769263981246</v>
      </c>
      <c r="FP587" s="15">
        <v>5.58</v>
      </c>
      <c r="FQ587" s="15">
        <f t="shared" ref="FQ587:FQ594" si="543">FP587*0.05</f>
        <v>0.27900000000000003</v>
      </c>
      <c r="FR587" s="15">
        <f>FQ587*SQRT(AR587)</f>
        <v>0.48324217531171676</v>
      </c>
      <c r="FS587" s="15">
        <f t="shared" ref="FS587:FS594" si="544">FP587/FM587</f>
        <v>1.0352504638218925</v>
      </c>
      <c r="FT587" s="15">
        <f t="shared" ref="FT587:FT594" si="545">FP587-FM587</f>
        <v>0.19000000000000039</v>
      </c>
      <c r="FU587" s="15">
        <f t="shared" si="531"/>
        <v>3.4643391472313878E-2</v>
      </c>
      <c r="FV587" s="15">
        <f>((FR587*FR587)/(AR587*FP587*FP587)+(FO587*FO587)/(AR587*FM587*FM587))</f>
        <v>5.0000000000000001E-3</v>
      </c>
      <c r="HE587" s="15">
        <v>1670</v>
      </c>
      <c r="HF587" s="15">
        <f t="shared" si="537"/>
        <v>83.5</v>
      </c>
      <c r="HG587" s="15">
        <f>HF587*SQRT(AR277)</f>
        <v>144.62624243200125</v>
      </c>
      <c r="HH587" s="15">
        <v>1940</v>
      </c>
      <c r="HI587" s="15">
        <f t="shared" si="538"/>
        <v>97</v>
      </c>
      <c r="HJ587" s="15">
        <f>HI587*SQRT(AR277)</f>
        <v>168.00892833418109</v>
      </c>
      <c r="HK587" s="15">
        <f t="shared" si="502"/>
        <v>1.1616766467065869</v>
      </c>
      <c r="HL587" s="15">
        <f t="shared" si="503"/>
        <v>270</v>
      </c>
      <c r="HM587" s="15">
        <f t="shared" si="504"/>
        <v>0.14986434664657367</v>
      </c>
      <c r="HN587" s="15">
        <f>((HJ587*HJ587)/(AR277*HH587*HH587)+(HG587*HG587)/(AR277*HE587*HE587))</f>
        <v>5.0000000000000001E-3</v>
      </c>
      <c r="HP587" s="15" t="s">
        <v>766</v>
      </c>
      <c r="HV587" s="15">
        <f t="shared" si="505"/>
        <v>30.027155228670818</v>
      </c>
      <c r="HW587" s="15">
        <f t="shared" si="540"/>
        <v>0.14986434664657367</v>
      </c>
      <c r="HX587" s="15">
        <f>BB587</f>
        <v>450</v>
      </c>
      <c r="HY587" s="15">
        <f>AZ587</f>
        <v>750</v>
      </c>
      <c r="HZ587" s="15">
        <f>BA587</f>
        <v>0.25597269624573377</v>
      </c>
      <c r="IA587" s="15">
        <f>BB587</f>
        <v>450</v>
      </c>
    </row>
    <row r="588" spans="1:235" s="15" customFormat="1" x14ac:dyDescent="0.25">
      <c r="A588" s="31">
        <v>586</v>
      </c>
      <c r="B588" s="1">
        <v>95</v>
      </c>
      <c r="C588" s="1">
        <v>113</v>
      </c>
      <c r="D588" s="15" t="s">
        <v>1436</v>
      </c>
      <c r="E588" s="1">
        <v>1</v>
      </c>
      <c r="F588" s="15" t="s">
        <v>761</v>
      </c>
      <c r="G588" s="15" t="s">
        <v>1427</v>
      </c>
      <c r="H588" s="15" t="s">
        <v>1428</v>
      </c>
      <c r="I588" s="1">
        <v>2004</v>
      </c>
      <c r="J588" s="15" t="s">
        <v>1263</v>
      </c>
      <c r="K588" s="1" t="s">
        <v>1429</v>
      </c>
      <c r="L588" s="15" t="s">
        <v>1362</v>
      </c>
      <c r="M588" s="15" t="s">
        <v>480</v>
      </c>
      <c r="N588" s="15" t="s">
        <v>520</v>
      </c>
      <c r="O588" s="31">
        <v>2</v>
      </c>
      <c r="P588" s="15">
        <v>29.17</v>
      </c>
      <c r="Q588" s="15">
        <v>119.18</v>
      </c>
      <c r="S588" s="15">
        <v>1333</v>
      </c>
      <c r="T588" s="15">
        <v>17.100000000000001</v>
      </c>
      <c r="U588" s="15" t="s">
        <v>549</v>
      </c>
      <c r="V588" s="31">
        <v>1</v>
      </c>
      <c r="W588" s="15" t="s">
        <v>1430</v>
      </c>
      <c r="X588" s="15" t="s">
        <v>1433</v>
      </c>
      <c r="Y588" s="1">
        <v>10</v>
      </c>
      <c r="Z588" s="15">
        <v>4.8600000000000003</v>
      </c>
      <c r="AA588" s="15" t="s">
        <v>574</v>
      </c>
      <c r="AB588" s="15">
        <f t="shared" si="541"/>
        <v>4.8600000000000003</v>
      </c>
      <c r="AC588" s="1">
        <v>2</v>
      </c>
      <c r="AD588" s="15">
        <v>3.3</v>
      </c>
      <c r="AF588" s="15">
        <v>5.76</v>
      </c>
      <c r="AH588" s="15">
        <v>6</v>
      </c>
      <c r="AJ588" s="15">
        <v>44.2</v>
      </c>
      <c r="AM588" s="1">
        <v>1</v>
      </c>
      <c r="AP588" s="15" t="s">
        <v>1431</v>
      </c>
      <c r="AQ588" s="1">
        <v>1</v>
      </c>
      <c r="AR588" s="1">
        <v>3</v>
      </c>
      <c r="AT588" s="15" t="s">
        <v>576</v>
      </c>
      <c r="AW588" s="15">
        <v>1500</v>
      </c>
      <c r="AX588" s="15">
        <f t="shared" si="539"/>
        <v>1500</v>
      </c>
      <c r="AY588" s="15" t="s">
        <v>766</v>
      </c>
      <c r="AZ588" s="15">
        <f t="shared" si="532"/>
        <v>1500</v>
      </c>
      <c r="BA588" s="15">
        <f t="shared" si="533"/>
        <v>0.51194539249146753</v>
      </c>
      <c r="BB588" s="15">
        <f t="shared" si="534"/>
        <v>900</v>
      </c>
      <c r="FK588" s="16">
        <f t="shared" si="527"/>
        <v>5.39</v>
      </c>
      <c r="FL588" s="16">
        <f t="shared" si="528"/>
        <v>6.28</v>
      </c>
      <c r="FM588" s="15">
        <v>5.39</v>
      </c>
      <c r="FN588" s="15">
        <f t="shared" si="542"/>
        <v>0.26950000000000002</v>
      </c>
      <c r="FO588" s="15">
        <f>FN588*SQRT(AR588)</f>
        <v>0.46678769263981246</v>
      </c>
      <c r="FP588" s="15">
        <v>6.28</v>
      </c>
      <c r="FQ588" s="15">
        <f t="shared" si="543"/>
        <v>0.31400000000000006</v>
      </c>
      <c r="FR588" s="15">
        <f>FQ588*SQRT(AR588)</f>
        <v>0.54386395357662753</v>
      </c>
      <c r="FS588" s="15">
        <f t="shared" si="544"/>
        <v>1.1651205936920224</v>
      </c>
      <c r="FT588" s="15">
        <f t="shared" si="545"/>
        <v>0.89000000000000057</v>
      </c>
      <c r="FU588" s="15">
        <f t="shared" si="531"/>
        <v>0.15282459555920158</v>
      </c>
      <c r="FV588" s="15">
        <f>((FR588*FR588)/(AR588*FP588*FP588)+(FO588*FO588)/(AR588*FM588*FM588))</f>
        <v>5.000000000000001E-3</v>
      </c>
      <c r="HE588" s="15">
        <v>1670</v>
      </c>
      <c r="HF588" s="15">
        <f t="shared" si="537"/>
        <v>83.5</v>
      </c>
      <c r="HG588" s="15">
        <f>HF588*SQRT(AR278)</f>
        <v>144.62624243200125</v>
      </c>
      <c r="HH588" s="15">
        <v>1970</v>
      </c>
      <c r="HI588" s="15">
        <f t="shared" si="538"/>
        <v>98.5</v>
      </c>
      <c r="HJ588" s="15">
        <f>HI588*SQRT(AR278)</f>
        <v>170.60700454553441</v>
      </c>
      <c r="HK588" s="15">
        <f t="shared" si="502"/>
        <v>1.1796407185628743</v>
      </c>
      <c r="HL588" s="15">
        <f t="shared" si="503"/>
        <v>300</v>
      </c>
      <c r="HM588" s="15">
        <f t="shared" si="504"/>
        <v>0.16520991632123394</v>
      </c>
      <c r="HN588" s="15">
        <f>((HJ588*HJ588)/(AR278*HH588*HH588)+(HG588*HG588)/(AR278*HE588*HE588))</f>
        <v>5.0000000000000001E-3</v>
      </c>
      <c r="HP588" s="15" t="s">
        <v>766</v>
      </c>
      <c r="HV588" s="15">
        <f t="shared" si="505"/>
        <v>54.476148892300216</v>
      </c>
      <c r="HW588" s="15">
        <f t="shared" si="540"/>
        <v>0.16520991632123394</v>
      </c>
      <c r="HX588" s="15">
        <f>BB588</f>
        <v>900</v>
      </c>
      <c r="HY588" s="15">
        <f>AZ588</f>
        <v>1500</v>
      </c>
      <c r="HZ588" s="15">
        <f>BA588</f>
        <v>0.51194539249146753</v>
      </c>
      <c r="IA588" s="15">
        <f>BB588</f>
        <v>900</v>
      </c>
    </row>
    <row r="589" spans="1:235" s="15" customFormat="1" x14ac:dyDescent="0.25">
      <c r="A589" s="31">
        <v>587</v>
      </c>
      <c r="B589" s="1">
        <v>95</v>
      </c>
      <c r="C589" s="1">
        <v>113</v>
      </c>
      <c r="D589" s="15" t="s">
        <v>1437</v>
      </c>
      <c r="E589" s="1">
        <v>1</v>
      </c>
      <c r="F589" s="15" t="s">
        <v>761</v>
      </c>
      <c r="G589" s="15" t="s">
        <v>1427</v>
      </c>
      <c r="H589" s="15" t="s">
        <v>1428</v>
      </c>
      <c r="I589" s="1">
        <v>2004</v>
      </c>
      <c r="J589" s="15" t="s">
        <v>1263</v>
      </c>
      <c r="K589" s="1" t="s">
        <v>1429</v>
      </c>
      <c r="L589" s="15" t="s">
        <v>1362</v>
      </c>
      <c r="M589" s="15" t="s">
        <v>480</v>
      </c>
      <c r="N589" s="15" t="s">
        <v>520</v>
      </c>
      <c r="O589" s="31">
        <v>2</v>
      </c>
      <c r="P589" s="15">
        <v>29.17</v>
      </c>
      <c r="Q589" s="15">
        <v>119.18</v>
      </c>
      <c r="S589" s="15">
        <v>1333</v>
      </c>
      <c r="T589" s="15">
        <v>17.100000000000001</v>
      </c>
      <c r="U589" s="15" t="s">
        <v>549</v>
      </c>
      <c r="V589" s="31">
        <v>1</v>
      </c>
      <c r="W589" s="15" t="s">
        <v>1430</v>
      </c>
      <c r="X589" s="15" t="s">
        <v>1433</v>
      </c>
      <c r="Y589" s="1">
        <v>10</v>
      </c>
      <c r="Z589" s="15">
        <v>4.8600000000000003</v>
      </c>
      <c r="AA589" s="15" t="s">
        <v>574</v>
      </c>
      <c r="AB589" s="15">
        <f t="shared" si="541"/>
        <v>4.8600000000000003</v>
      </c>
      <c r="AC589" s="1">
        <v>2</v>
      </c>
      <c r="AD589" s="15">
        <v>3.3</v>
      </c>
      <c r="AF589" s="15">
        <v>5.76</v>
      </c>
      <c r="AH589" s="15">
        <v>6</v>
      </c>
      <c r="AJ589" s="15">
        <v>44.2</v>
      </c>
      <c r="AM589" s="1">
        <v>1</v>
      </c>
      <c r="AP589" s="15" t="s">
        <v>1431</v>
      </c>
      <c r="AQ589" s="1">
        <v>1</v>
      </c>
      <c r="AR589" s="1">
        <v>3</v>
      </c>
      <c r="AT589" s="15" t="s">
        <v>576</v>
      </c>
      <c r="AW589" s="15">
        <v>2250</v>
      </c>
      <c r="AX589" s="15">
        <f t="shared" si="539"/>
        <v>2250</v>
      </c>
      <c r="AY589" s="15" t="s">
        <v>766</v>
      </c>
      <c r="AZ589" s="15">
        <f t="shared" si="532"/>
        <v>2250</v>
      </c>
      <c r="BA589" s="15">
        <f t="shared" si="533"/>
        <v>0.76791808873720124</v>
      </c>
      <c r="BB589" s="15">
        <f t="shared" si="534"/>
        <v>1350</v>
      </c>
      <c r="FK589" s="16">
        <f t="shared" si="527"/>
        <v>5.39</v>
      </c>
      <c r="FL589" s="16">
        <f t="shared" si="528"/>
        <v>6.64</v>
      </c>
      <c r="FM589" s="15">
        <v>5.39</v>
      </c>
      <c r="FN589" s="15">
        <f t="shared" si="542"/>
        <v>0.26950000000000002</v>
      </c>
      <c r="FO589" s="15">
        <f>FN589*SQRT(AR589)</f>
        <v>0.46678769263981246</v>
      </c>
      <c r="FP589" s="15">
        <v>6.64</v>
      </c>
      <c r="FQ589" s="15">
        <f t="shared" si="543"/>
        <v>0.33200000000000002</v>
      </c>
      <c r="FR589" s="15">
        <f>FQ589*SQRT(AR589)</f>
        <v>0.57504086811286725</v>
      </c>
      <c r="FS589" s="15">
        <f t="shared" si="544"/>
        <v>1.2319109461966604</v>
      </c>
      <c r="FT589" s="15">
        <f t="shared" si="545"/>
        <v>1.25</v>
      </c>
      <c r="FU589" s="15">
        <f t="shared" si="531"/>
        <v>0.20856657856743666</v>
      </c>
      <c r="FV589" s="15">
        <f>((FR589*FR589)/(AR589*FP589*FP589)+(FO589*FO589)/(AR589*FM589*FM589))</f>
        <v>5.000000000000001E-3</v>
      </c>
      <c r="HE589" s="15">
        <v>1670</v>
      </c>
      <c r="HF589" s="15">
        <f t="shared" si="537"/>
        <v>83.5</v>
      </c>
      <c r="HG589" s="15">
        <f>HF589*SQRT(AR279)</f>
        <v>144.62624243200125</v>
      </c>
      <c r="HH589" s="15">
        <v>2180</v>
      </c>
      <c r="HI589" s="15">
        <f t="shared" si="538"/>
        <v>109</v>
      </c>
      <c r="HJ589" s="15">
        <f>HI589*SQRT(AR279)</f>
        <v>188.79353802500762</v>
      </c>
      <c r="HK589" s="15">
        <f t="shared" ref="HK589:HK652" si="546">HH589/HE589</f>
        <v>1.3053892215568863</v>
      </c>
      <c r="HL589" s="15">
        <f t="shared" ref="HL589:HL652" si="547">HH589-HE589</f>
        <v>510</v>
      </c>
      <c r="HM589" s="15">
        <f t="shared" ref="HM589:HM652" si="548">LN(HH589)-LN(HE589)</f>
        <v>0.2665012503723343</v>
      </c>
      <c r="HN589" s="15">
        <f>((HJ589*HJ589)/(AR279*HH589*HH589)+(HG589*HG589)/(AR279*HE589*HE589))</f>
        <v>5.0000000000000001E-3</v>
      </c>
      <c r="HP589" s="15" t="s">
        <v>766</v>
      </c>
      <c r="HV589" s="15">
        <f t="shared" ref="HV589:HV652" si="549">HX589/HW589/100</f>
        <v>50.656422741502631</v>
      </c>
      <c r="HW589" s="15">
        <f t="shared" ref="HW589:HW620" si="550">HM589</f>
        <v>0.2665012503723343</v>
      </c>
      <c r="HX589" s="15">
        <f>BB589</f>
        <v>1350</v>
      </c>
      <c r="HY589" s="15">
        <f>AZ589</f>
        <v>2250</v>
      </c>
      <c r="HZ589" s="15">
        <f>BA589</f>
        <v>0.76791808873720124</v>
      </c>
      <c r="IA589" s="15">
        <f>BB589</f>
        <v>1350</v>
      </c>
    </row>
    <row r="590" spans="1:235" s="15" customFormat="1" x14ac:dyDescent="0.25">
      <c r="A590" s="31">
        <v>588</v>
      </c>
      <c r="B590" s="1">
        <v>95</v>
      </c>
      <c r="C590" s="1">
        <v>113</v>
      </c>
      <c r="D590" s="15" t="s">
        <v>1438</v>
      </c>
      <c r="E590" s="1">
        <v>1</v>
      </c>
      <c r="F590" s="15" t="s">
        <v>761</v>
      </c>
      <c r="G590" s="15" t="s">
        <v>1427</v>
      </c>
      <c r="H590" s="15" t="s">
        <v>1428</v>
      </c>
      <c r="I590" s="1">
        <v>2004</v>
      </c>
      <c r="J590" s="15" t="s">
        <v>1263</v>
      </c>
      <c r="K590" s="1" t="s">
        <v>1429</v>
      </c>
      <c r="L590" s="15" t="s">
        <v>1362</v>
      </c>
      <c r="M590" s="15" t="s">
        <v>480</v>
      </c>
      <c r="N590" s="15" t="s">
        <v>520</v>
      </c>
      <c r="O590" s="31">
        <v>2</v>
      </c>
      <c r="P590" s="15">
        <v>29.17</v>
      </c>
      <c r="Q590" s="15">
        <v>119.18</v>
      </c>
      <c r="S590" s="15">
        <v>1333</v>
      </c>
      <c r="T590" s="15">
        <v>17.100000000000001</v>
      </c>
      <c r="U590" s="15" t="s">
        <v>549</v>
      </c>
      <c r="V590" s="31">
        <v>1</v>
      </c>
      <c r="W590" s="15" t="s">
        <v>1430</v>
      </c>
      <c r="X590" s="15" t="s">
        <v>1433</v>
      </c>
      <c r="Y590" s="1">
        <v>10</v>
      </c>
      <c r="Z590" s="15">
        <v>4.8600000000000003</v>
      </c>
      <c r="AA590" s="15" t="s">
        <v>574</v>
      </c>
      <c r="AB590" s="15">
        <f t="shared" si="541"/>
        <v>4.8600000000000003</v>
      </c>
      <c r="AC590" s="1">
        <v>2</v>
      </c>
      <c r="AD590" s="15">
        <v>3.3</v>
      </c>
      <c r="AF590" s="15">
        <v>5.76</v>
      </c>
      <c r="AH590" s="15">
        <v>6</v>
      </c>
      <c r="AJ590" s="15">
        <v>44.2</v>
      </c>
      <c r="AM590" s="1">
        <v>1</v>
      </c>
      <c r="AP590" s="15" t="s">
        <v>1431</v>
      </c>
      <c r="AQ590" s="1">
        <v>1</v>
      </c>
      <c r="AR590" s="1">
        <v>3</v>
      </c>
      <c r="AT590" s="15" t="s">
        <v>576</v>
      </c>
      <c r="AW590" s="15">
        <v>3000</v>
      </c>
      <c r="AX590" s="15">
        <f t="shared" si="539"/>
        <v>3000</v>
      </c>
      <c r="AY590" s="15" t="s">
        <v>766</v>
      </c>
      <c r="AZ590" s="15">
        <f t="shared" si="532"/>
        <v>3000</v>
      </c>
      <c r="BA590" s="15">
        <f t="shared" si="533"/>
        <v>1.0238907849829351</v>
      </c>
      <c r="BB590" s="15">
        <f t="shared" si="534"/>
        <v>1800</v>
      </c>
      <c r="FK590" s="16">
        <f t="shared" si="527"/>
        <v>5.39</v>
      </c>
      <c r="FL590" s="16">
        <f t="shared" si="528"/>
        <v>7.15</v>
      </c>
      <c r="FM590" s="15">
        <v>5.39</v>
      </c>
      <c r="FN590" s="15">
        <f t="shared" si="542"/>
        <v>0.26950000000000002</v>
      </c>
      <c r="FO590" s="15">
        <f>FN590*SQRT(AR590)</f>
        <v>0.46678769263981246</v>
      </c>
      <c r="FP590" s="15">
        <v>7.15</v>
      </c>
      <c r="FQ590" s="15">
        <f t="shared" si="543"/>
        <v>0.35750000000000004</v>
      </c>
      <c r="FR590" s="15">
        <f>FQ590*SQRT(AR590)</f>
        <v>0.61920816370587362</v>
      </c>
      <c r="FS590" s="15">
        <f t="shared" si="544"/>
        <v>1.3265306122448981</v>
      </c>
      <c r="FT590" s="15">
        <f t="shared" si="545"/>
        <v>1.7600000000000007</v>
      </c>
      <c r="FU590" s="15">
        <f t="shared" si="531"/>
        <v>0.28256697178501056</v>
      </c>
      <c r="FV590" s="15">
        <f>((FR590*FR590)/(AR590*FP590*FP590)+(FO590*FO590)/(AR590*FM590*FM590))</f>
        <v>4.9999999999999992E-3</v>
      </c>
      <c r="HE590" s="15">
        <v>1670</v>
      </c>
      <c r="HF590" s="15">
        <f t="shared" si="537"/>
        <v>83.5</v>
      </c>
      <c r="HG590" s="15">
        <f>HF590*SQRT(AR280)</f>
        <v>144.62624243200125</v>
      </c>
      <c r="HH590" s="15">
        <v>2190</v>
      </c>
      <c r="HI590" s="15">
        <f t="shared" si="538"/>
        <v>109.5</v>
      </c>
      <c r="HJ590" s="15">
        <f>HI590*SQRT(AR280)</f>
        <v>189.65956342879204</v>
      </c>
      <c r="HK590" s="15">
        <f t="shared" si="546"/>
        <v>1.311377245508982</v>
      </c>
      <c r="HL590" s="15">
        <f t="shared" si="547"/>
        <v>520</v>
      </c>
      <c r="HM590" s="15">
        <f t="shared" si="548"/>
        <v>0.2710779173997464</v>
      </c>
      <c r="HN590" s="15">
        <f>((HJ590*HJ590)/(AR280*HH590*HH590)+(HG590*HG590)/(AR280*HE590*HE590))</f>
        <v>4.9999999999999992E-3</v>
      </c>
      <c r="HP590" s="15" t="s">
        <v>766</v>
      </c>
      <c r="HV590" s="15">
        <f t="shared" si="549"/>
        <v>66.401572553976095</v>
      </c>
      <c r="HW590" s="15">
        <f t="shared" si="550"/>
        <v>0.2710779173997464</v>
      </c>
      <c r="HX590" s="15">
        <f>BB590</f>
        <v>1800</v>
      </c>
      <c r="HY590" s="15">
        <f>AZ590</f>
        <v>3000</v>
      </c>
      <c r="HZ590" s="15">
        <f>BA590</f>
        <v>1.0238907849829351</v>
      </c>
      <c r="IA590" s="15">
        <f>BB590</f>
        <v>1800</v>
      </c>
    </row>
    <row r="591" spans="1:235" s="15" customFormat="1" x14ac:dyDescent="0.25">
      <c r="A591" s="31">
        <v>589</v>
      </c>
      <c r="B591" s="1">
        <v>95</v>
      </c>
      <c r="C591" s="1">
        <v>113</v>
      </c>
      <c r="D591" s="15" t="s">
        <v>1443</v>
      </c>
      <c r="E591" s="1">
        <v>1</v>
      </c>
      <c r="F591" s="15" t="s">
        <v>761</v>
      </c>
      <c r="G591" s="15" t="s">
        <v>1427</v>
      </c>
      <c r="H591" s="15" t="s">
        <v>1428</v>
      </c>
      <c r="I591" s="1">
        <v>2004</v>
      </c>
      <c r="J591" s="15" t="s">
        <v>1263</v>
      </c>
      <c r="K591" s="1" t="s">
        <v>1429</v>
      </c>
      <c r="L591" s="15" t="s">
        <v>1362</v>
      </c>
      <c r="M591" s="15" t="s">
        <v>480</v>
      </c>
      <c r="N591" s="15" t="s">
        <v>520</v>
      </c>
      <c r="O591" s="31">
        <v>2</v>
      </c>
      <c r="P591" s="15">
        <v>29.17</v>
      </c>
      <c r="Q591" s="15">
        <v>119.18</v>
      </c>
      <c r="S591" s="15">
        <v>1333</v>
      </c>
      <c r="T591" s="15">
        <v>17.100000000000001</v>
      </c>
      <c r="U591" s="15" t="s">
        <v>549</v>
      </c>
      <c r="V591" s="31">
        <v>1</v>
      </c>
      <c r="W591" s="15" t="s">
        <v>1430</v>
      </c>
      <c r="X591" s="15" t="s">
        <v>1195</v>
      </c>
      <c r="Y591" s="1">
        <v>5</v>
      </c>
      <c r="Z591" s="15">
        <v>4.8600000000000003</v>
      </c>
      <c r="AA591" s="15" t="s">
        <v>574</v>
      </c>
      <c r="AB591" s="15">
        <f t="shared" si="541"/>
        <v>4.8600000000000003</v>
      </c>
      <c r="AC591" s="1">
        <v>2</v>
      </c>
      <c r="AD591" s="15">
        <v>3.3</v>
      </c>
      <c r="AF591" s="15">
        <v>5.76</v>
      </c>
      <c r="AH591" s="15">
        <v>6</v>
      </c>
      <c r="AJ591" s="15">
        <v>44.2</v>
      </c>
      <c r="AM591" s="1">
        <v>1</v>
      </c>
      <c r="AP591" s="15" t="s">
        <v>1431</v>
      </c>
      <c r="AQ591" s="1">
        <v>1</v>
      </c>
      <c r="AR591" s="1">
        <v>3</v>
      </c>
      <c r="AT591" s="15" t="s">
        <v>576</v>
      </c>
      <c r="AW591" s="15">
        <f>AW555/6</f>
        <v>625</v>
      </c>
      <c r="AX591" s="15">
        <f t="shared" si="539"/>
        <v>625</v>
      </c>
      <c r="AY591" s="15" t="s">
        <v>766</v>
      </c>
      <c r="AZ591" s="15">
        <f t="shared" si="532"/>
        <v>625</v>
      </c>
      <c r="BA591" s="15">
        <f t="shared" si="533"/>
        <v>0.21331058020477814</v>
      </c>
      <c r="BB591" s="15">
        <f t="shared" si="534"/>
        <v>375</v>
      </c>
      <c r="FK591" s="16">
        <f t="shared" si="527"/>
        <v>5.19</v>
      </c>
      <c r="FL591" s="16">
        <f t="shared" si="528"/>
        <v>5.53</v>
      </c>
      <c r="FM591" s="15">
        <v>5.19</v>
      </c>
      <c r="FN591" s="15">
        <f t="shared" si="542"/>
        <v>0.25950000000000001</v>
      </c>
      <c r="FO591" s="15">
        <f>FN591*SQRT(AR591)</f>
        <v>0.44946718456412366</v>
      </c>
      <c r="FP591" s="15">
        <v>5.53</v>
      </c>
      <c r="FQ591" s="15">
        <f t="shared" si="543"/>
        <v>0.27650000000000002</v>
      </c>
      <c r="FR591" s="15">
        <f>FQ591*SQRT(AR591)</f>
        <v>0.4789120482927946</v>
      </c>
      <c r="FS591" s="15">
        <f t="shared" si="544"/>
        <v>1.0655105973025047</v>
      </c>
      <c r="FT591" s="15">
        <f t="shared" si="545"/>
        <v>0.33999999999999986</v>
      </c>
      <c r="FU591" s="15">
        <f t="shared" si="531"/>
        <v>6.3454118356446099E-2</v>
      </c>
      <c r="FV591" s="15">
        <f>((FR591*FR591)/(AR591*FP591*FP591)+(FO591*FO591)/(AR591*FM591*FM591))</f>
        <v>5.000000000000001E-3</v>
      </c>
      <c r="HE591" s="15">
        <v>1130</v>
      </c>
      <c r="HF591" s="15">
        <f t="shared" si="537"/>
        <v>56.5</v>
      </c>
      <c r="HG591" s="15">
        <f>HF591*SQRT(AR281)</f>
        <v>97.86087062764156</v>
      </c>
      <c r="HH591" s="15">
        <v>1520</v>
      </c>
      <c r="HI591" s="15">
        <f t="shared" si="538"/>
        <v>76</v>
      </c>
      <c r="HJ591" s="15">
        <f>HI591*SQRT(AR281)</f>
        <v>131.63586137523467</v>
      </c>
      <c r="HK591" s="15">
        <f t="shared" si="546"/>
        <v>1.345132743362832</v>
      </c>
      <c r="HL591" s="15">
        <f t="shared" si="547"/>
        <v>390</v>
      </c>
      <c r="HM591" s="15">
        <f t="shared" si="548"/>
        <v>0.29649270213393653</v>
      </c>
      <c r="HN591" s="15">
        <f>((HJ591*HJ591)/(AR281*HH591*HH591)+(HG591*HG591)/(AR281*HE591*HE591))</f>
        <v>4.9999999999999992E-3</v>
      </c>
      <c r="HP591" s="15" t="s">
        <v>766</v>
      </c>
      <c r="HV591" s="15">
        <f t="shared" si="549"/>
        <v>12.647866112758447</v>
      </c>
      <c r="HW591" s="15">
        <f t="shared" si="550"/>
        <v>0.29649270213393653</v>
      </c>
      <c r="HX591" s="15">
        <f>BB591</f>
        <v>375</v>
      </c>
      <c r="HY591" s="15">
        <f>AZ591</f>
        <v>625</v>
      </c>
      <c r="HZ591" s="15">
        <f>BA591</f>
        <v>0.21331058020477814</v>
      </c>
      <c r="IA591" s="15">
        <f>BB591</f>
        <v>375</v>
      </c>
    </row>
    <row r="592" spans="1:235" s="15" customFormat="1" x14ac:dyDescent="0.25">
      <c r="A592" s="31">
        <v>590</v>
      </c>
      <c r="B592" s="1">
        <v>95</v>
      </c>
      <c r="C592" s="1">
        <v>113</v>
      </c>
      <c r="D592" s="15" t="s">
        <v>1444</v>
      </c>
      <c r="E592" s="1">
        <v>1</v>
      </c>
      <c r="F592" s="15" t="s">
        <v>761</v>
      </c>
      <c r="G592" s="15" t="s">
        <v>1427</v>
      </c>
      <c r="H592" s="15" t="s">
        <v>1428</v>
      </c>
      <c r="I592" s="1">
        <v>2004</v>
      </c>
      <c r="J592" s="15" t="s">
        <v>1263</v>
      </c>
      <c r="K592" s="1" t="s">
        <v>1429</v>
      </c>
      <c r="L592" s="15" t="s">
        <v>1362</v>
      </c>
      <c r="M592" s="15" t="s">
        <v>480</v>
      </c>
      <c r="N592" s="15" t="s">
        <v>520</v>
      </c>
      <c r="O592" s="31">
        <v>2</v>
      </c>
      <c r="P592" s="15">
        <v>29.17</v>
      </c>
      <c r="Q592" s="15">
        <v>119.18</v>
      </c>
      <c r="S592" s="15">
        <v>1333</v>
      </c>
      <c r="T592" s="15">
        <v>17.100000000000001</v>
      </c>
      <c r="U592" s="15" t="s">
        <v>549</v>
      </c>
      <c r="V592" s="31">
        <v>1</v>
      </c>
      <c r="W592" s="15" t="s">
        <v>1430</v>
      </c>
      <c r="X592" s="15" t="s">
        <v>1195</v>
      </c>
      <c r="Y592" s="1">
        <v>5</v>
      </c>
      <c r="Z592" s="15">
        <v>4.8600000000000003</v>
      </c>
      <c r="AA592" s="15" t="s">
        <v>574</v>
      </c>
      <c r="AB592" s="15">
        <f t="shared" si="541"/>
        <v>4.8600000000000003</v>
      </c>
      <c r="AC592" s="1">
        <v>2</v>
      </c>
      <c r="AD592" s="15">
        <v>3.3</v>
      </c>
      <c r="AF592" s="15">
        <v>5.76</v>
      </c>
      <c r="AH592" s="15">
        <v>6</v>
      </c>
      <c r="AJ592" s="15">
        <v>44.2</v>
      </c>
      <c r="AM592" s="1">
        <v>1</v>
      </c>
      <c r="AP592" s="15" t="s">
        <v>1431</v>
      </c>
      <c r="AQ592" s="1">
        <v>1</v>
      </c>
      <c r="AR592" s="1">
        <v>3</v>
      </c>
      <c r="AT592" s="15" t="s">
        <v>576</v>
      </c>
      <c r="AW592" s="15">
        <f>AW556/6</f>
        <v>1250</v>
      </c>
      <c r="AX592" s="15">
        <f t="shared" si="539"/>
        <v>1250</v>
      </c>
      <c r="AY592" s="15" t="s">
        <v>766</v>
      </c>
      <c r="AZ592" s="15">
        <f t="shared" si="532"/>
        <v>1250</v>
      </c>
      <c r="BA592" s="15">
        <f t="shared" si="533"/>
        <v>0.42662116040955628</v>
      </c>
      <c r="BB592" s="15">
        <f t="shared" si="534"/>
        <v>750</v>
      </c>
      <c r="FK592" s="16">
        <f t="shared" si="527"/>
        <v>5.19</v>
      </c>
      <c r="FL592" s="16">
        <f t="shared" si="528"/>
        <v>5.89</v>
      </c>
      <c r="FM592" s="15">
        <v>5.19</v>
      </c>
      <c r="FN592" s="15">
        <f t="shared" si="542"/>
        <v>0.25950000000000001</v>
      </c>
      <c r="FO592" s="15">
        <f>FN592*SQRT(AR592)</f>
        <v>0.44946718456412366</v>
      </c>
      <c r="FP592" s="15">
        <v>5.89</v>
      </c>
      <c r="FQ592" s="15">
        <f t="shared" si="543"/>
        <v>0.29449999999999998</v>
      </c>
      <c r="FR592" s="15">
        <f>FQ592*SQRT(AR592)</f>
        <v>0.51008896282903426</v>
      </c>
      <c r="FS592" s="15">
        <f t="shared" si="544"/>
        <v>1.1348747591522157</v>
      </c>
      <c r="FT592" s="15">
        <f t="shared" si="545"/>
        <v>0.69999999999999929</v>
      </c>
      <c r="FU592" s="15">
        <f t="shared" si="531"/>
        <v>0.1265223004856979</v>
      </c>
      <c r="FV592" s="15">
        <f>((FR592*FR592)/(AR592*FP592*FP592)+(FO592*FO592)/(AR592*FM592*FM592))</f>
        <v>4.9999999999999992E-3</v>
      </c>
      <c r="HE592" s="15">
        <v>1130</v>
      </c>
      <c r="HF592" s="15">
        <f t="shared" si="537"/>
        <v>56.5</v>
      </c>
      <c r="HG592" s="15">
        <f>HF592*SQRT(AR282)</f>
        <v>97.86087062764156</v>
      </c>
      <c r="HH592" s="15">
        <v>1380</v>
      </c>
      <c r="HI592" s="15">
        <f t="shared" si="538"/>
        <v>69</v>
      </c>
      <c r="HJ592" s="15">
        <f>HI592*SQRT(AR282)</f>
        <v>119.51150572225252</v>
      </c>
      <c r="HK592" s="15">
        <f t="shared" si="546"/>
        <v>1.2212389380530972</v>
      </c>
      <c r="HL592" s="15">
        <f t="shared" si="547"/>
        <v>250</v>
      </c>
      <c r="HM592" s="15">
        <f t="shared" si="548"/>
        <v>0.19986586644486426</v>
      </c>
      <c r="HN592" s="15">
        <f>((HJ592*HJ592)/(AR282*HH592*HH592)+(HG592*HG592)/(AR282*HE592*HE592))</f>
        <v>4.9999999999999992E-3</v>
      </c>
      <c r="HP592" s="15" t="s">
        <v>766</v>
      </c>
      <c r="HV592" s="15">
        <f t="shared" si="549"/>
        <v>37.525166920230362</v>
      </c>
      <c r="HW592" s="15">
        <f t="shared" si="550"/>
        <v>0.19986586644486426</v>
      </c>
      <c r="HX592" s="15">
        <f>BB592</f>
        <v>750</v>
      </c>
      <c r="HY592" s="15">
        <f>AZ592</f>
        <v>1250</v>
      </c>
      <c r="HZ592" s="15">
        <f>BA592</f>
        <v>0.42662116040955628</v>
      </c>
      <c r="IA592" s="15">
        <f>BB592</f>
        <v>750</v>
      </c>
    </row>
    <row r="593" spans="1:235" s="15" customFormat="1" x14ac:dyDescent="0.25">
      <c r="A593" s="31">
        <v>591</v>
      </c>
      <c r="B593" s="1">
        <v>95</v>
      </c>
      <c r="C593" s="1">
        <v>113</v>
      </c>
      <c r="D593" s="15" t="s">
        <v>1445</v>
      </c>
      <c r="E593" s="1">
        <v>1</v>
      </c>
      <c r="F593" s="15" t="s">
        <v>761</v>
      </c>
      <c r="G593" s="15" t="s">
        <v>1427</v>
      </c>
      <c r="H593" s="15" t="s">
        <v>1428</v>
      </c>
      <c r="I593" s="1">
        <v>2004</v>
      </c>
      <c r="J593" s="15" t="s">
        <v>1263</v>
      </c>
      <c r="K593" s="1" t="s">
        <v>1429</v>
      </c>
      <c r="L593" s="15" t="s">
        <v>1362</v>
      </c>
      <c r="M593" s="15" t="s">
        <v>480</v>
      </c>
      <c r="N593" s="15" t="s">
        <v>520</v>
      </c>
      <c r="O593" s="31">
        <v>2</v>
      </c>
      <c r="P593" s="15">
        <v>29.17</v>
      </c>
      <c r="Q593" s="15">
        <v>119.18</v>
      </c>
      <c r="S593" s="15">
        <v>1333</v>
      </c>
      <c r="T593" s="15">
        <v>17.100000000000001</v>
      </c>
      <c r="U593" s="15" t="s">
        <v>549</v>
      </c>
      <c r="V593" s="31">
        <v>1</v>
      </c>
      <c r="W593" s="15" t="s">
        <v>1430</v>
      </c>
      <c r="X593" s="15" t="s">
        <v>1195</v>
      </c>
      <c r="Y593" s="1">
        <v>5</v>
      </c>
      <c r="Z593" s="15">
        <v>4.8600000000000003</v>
      </c>
      <c r="AA593" s="15" t="s">
        <v>574</v>
      </c>
      <c r="AB593" s="15">
        <f t="shared" si="541"/>
        <v>4.8600000000000003</v>
      </c>
      <c r="AC593" s="1">
        <v>2</v>
      </c>
      <c r="AD593" s="15">
        <v>3.3</v>
      </c>
      <c r="AF593" s="15">
        <v>5.76</v>
      </c>
      <c r="AH593" s="15">
        <v>6</v>
      </c>
      <c r="AJ593" s="15">
        <v>44.2</v>
      </c>
      <c r="AM593" s="1">
        <v>1</v>
      </c>
      <c r="AP593" s="15" t="s">
        <v>1431</v>
      </c>
      <c r="AQ593" s="1">
        <v>1</v>
      </c>
      <c r="AR593" s="1">
        <v>3</v>
      </c>
      <c r="AT593" s="15" t="s">
        <v>576</v>
      </c>
      <c r="AW593" s="15">
        <f>AW557/6</f>
        <v>1875</v>
      </c>
      <c r="AX593" s="15">
        <f t="shared" si="539"/>
        <v>1875</v>
      </c>
      <c r="AY593" s="15" t="s">
        <v>766</v>
      </c>
      <c r="AZ593" s="15">
        <f t="shared" si="532"/>
        <v>1875</v>
      </c>
      <c r="BA593" s="15">
        <f t="shared" si="533"/>
        <v>0.63993174061433444</v>
      </c>
      <c r="BB593" s="15">
        <f t="shared" si="534"/>
        <v>1125</v>
      </c>
      <c r="FK593" s="16">
        <f t="shared" si="527"/>
        <v>5.19</v>
      </c>
      <c r="FL593" s="16">
        <f t="shared" si="528"/>
        <v>6.33</v>
      </c>
      <c r="FM593" s="15">
        <v>5.19</v>
      </c>
      <c r="FN593" s="15">
        <f t="shared" si="542"/>
        <v>0.25950000000000001</v>
      </c>
      <c r="FO593" s="15">
        <f>FN593*SQRT(AR593)</f>
        <v>0.44946718456412366</v>
      </c>
      <c r="FP593" s="15">
        <v>6.33</v>
      </c>
      <c r="FQ593" s="15">
        <f t="shared" si="543"/>
        <v>0.3165</v>
      </c>
      <c r="FR593" s="15">
        <f>FQ593*SQRT(AR593)</f>
        <v>0.54819408059554964</v>
      </c>
      <c r="FS593" s="15">
        <f t="shared" si="544"/>
        <v>1.2196531791907514</v>
      </c>
      <c r="FT593" s="15">
        <f t="shared" si="545"/>
        <v>1.1399999999999997</v>
      </c>
      <c r="FU593" s="15">
        <f t="shared" si="531"/>
        <v>0.19856653897828758</v>
      </c>
      <c r="FV593" s="15">
        <f>((FR593*FR593)/(AR593*FP593*FP593)+(FO593*FO593)/(AR593*FM593*FM593))</f>
        <v>4.9999999999999992E-3</v>
      </c>
      <c r="HE593" s="15">
        <v>1130</v>
      </c>
      <c r="HF593" s="15">
        <f t="shared" si="537"/>
        <v>56.5</v>
      </c>
      <c r="HG593" s="15">
        <f>HF593*SQRT(AR283)</f>
        <v>97.86087062764156</v>
      </c>
      <c r="HH593" s="15">
        <v>1560</v>
      </c>
      <c r="HI593" s="15">
        <f t="shared" si="538"/>
        <v>78</v>
      </c>
      <c r="HJ593" s="15">
        <f>HI593*SQRT(AR283)</f>
        <v>135.09996299037243</v>
      </c>
      <c r="HK593" s="15">
        <f t="shared" si="546"/>
        <v>1.3805309734513274</v>
      </c>
      <c r="HL593" s="15">
        <f t="shared" si="547"/>
        <v>430</v>
      </c>
      <c r="HM593" s="15">
        <f t="shared" si="548"/>
        <v>0.32246818853719716</v>
      </c>
      <c r="HN593" s="15">
        <f>((HJ593*HJ593)/(AR283*HH593*HH593)+(HG593*HG593)/(AR283*HE593*HE593))</f>
        <v>4.9999999999999992E-3</v>
      </c>
      <c r="HP593" s="15" t="s">
        <v>766</v>
      </c>
      <c r="HV593" s="15">
        <f t="shared" si="549"/>
        <v>34.887162206706464</v>
      </c>
      <c r="HW593" s="15">
        <f t="shared" si="550"/>
        <v>0.32246818853719716</v>
      </c>
      <c r="HX593" s="15">
        <f>BB593</f>
        <v>1125</v>
      </c>
      <c r="HY593" s="15">
        <f>AZ593</f>
        <v>1875</v>
      </c>
      <c r="HZ593" s="15">
        <f>BA593</f>
        <v>0.63993174061433444</v>
      </c>
      <c r="IA593" s="15">
        <f>BB593</f>
        <v>1125</v>
      </c>
    </row>
    <row r="594" spans="1:235" s="15" customFormat="1" x14ac:dyDescent="0.25">
      <c r="A594" s="31">
        <v>592</v>
      </c>
      <c r="B594" s="1">
        <v>95</v>
      </c>
      <c r="C594" s="1">
        <v>113</v>
      </c>
      <c r="D594" s="15" t="s">
        <v>1446</v>
      </c>
      <c r="E594" s="1">
        <v>1</v>
      </c>
      <c r="F594" s="15" t="s">
        <v>761</v>
      </c>
      <c r="G594" s="15" t="s">
        <v>1427</v>
      </c>
      <c r="H594" s="15" t="s">
        <v>1428</v>
      </c>
      <c r="I594" s="1">
        <v>2004</v>
      </c>
      <c r="J594" s="15" t="s">
        <v>1263</v>
      </c>
      <c r="K594" s="1" t="s">
        <v>1429</v>
      </c>
      <c r="L594" s="15" t="s">
        <v>1362</v>
      </c>
      <c r="M594" s="15" t="s">
        <v>480</v>
      </c>
      <c r="N594" s="15" t="s">
        <v>520</v>
      </c>
      <c r="O594" s="31">
        <v>2</v>
      </c>
      <c r="P594" s="15">
        <v>29.17</v>
      </c>
      <c r="Q594" s="15">
        <v>119.18</v>
      </c>
      <c r="S594" s="15">
        <v>1333</v>
      </c>
      <c r="T594" s="15">
        <v>17.100000000000001</v>
      </c>
      <c r="U594" s="15" t="s">
        <v>549</v>
      </c>
      <c r="V594" s="31">
        <v>1</v>
      </c>
      <c r="W594" s="15" t="s">
        <v>1430</v>
      </c>
      <c r="X594" s="15" t="s">
        <v>1195</v>
      </c>
      <c r="Y594" s="1">
        <v>5</v>
      </c>
      <c r="Z594" s="15">
        <v>4.8600000000000003</v>
      </c>
      <c r="AA594" s="15" t="s">
        <v>574</v>
      </c>
      <c r="AB594" s="15">
        <f t="shared" si="541"/>
        <v>4.8600000000000003</v>
      </c>
      <c r="AC594" s="1">
        <v>2</v>
      </c>
      <c r="AD594" s="15">
        <v>3.3</v>
      </c>
      <c r="AF594" s="15">
        <v>5.76</v>
      </c>
      <c r="AH594" s="15">
        <v>6</v>
      </c>
      <c r="AJ594" s="15">
        <v>44.2</v>
      </c>
      <c r="AM594" s="1">
        <v>1</v>
      </c>
      <c r="AP594" s="15" t="s">
        <v>1431</v>
      </c>
      <c r="AQ594" s="1">
        <v>1</v>
      </c>
      <c r="AR594" s="1">
        <v>3</v>
      </c>
      <c r="AT594" s="15" t="s">
        <v>576</v>
      </c>
      <c r="AW594" s="15">
        <f>AW558/6</f>
        <v>2500</v>
      </c>
      <c r="AX594" s="15">
        <f t="shared" si="539"/>
        <v>2500</v>
      </c>
      <c r="AY594" s="15" t="s">
        <v>766</v>
      </c>
      <c r="AZ594" s="15">
        <f t="shared" si="532"/>
        <v>2500</v>
      </c>
      <c r="BA594" s="15">
        <f t="shared" si="533"/>
        <v>0.85324232081911255</v>
      </c>
      <c r="BB594" s="15">
        <f t="shared" si="534"/>
        <v>1500</v>
      </c>
      <c r="FK594" s="16">
        <f t="shared" si="527"/>
        <v>5.19</v>
      </c>
      <c r="FL594" s="16">
        <f t="shared" si="528"/>
        <v>6.74</v>
      </c>
      <c r="FM594" s="15">
        <v>5.19</v>
      </c>
      <c r="FN594" s="15">
        <f t="shared" si="542"/>
        <v>0.25950000000000001</v>
      </c>
      <c r="FO594" s="15">
        <f>FN594*SQRT(AR594)</f>
        <v>0.44946718456412366</v>
      </c>
      <c r="FP594" s="15">
        <v>6.74</v>
      </c>
      <c r="FQ594" s="15">
        <f t="shared" si="543"/>
        <v>0.33700000000000002</v>
      </c>
      <c r="FR594" s="15">
        <f>FQ594*SQRT(AR594)</f>
        <v>0.58370112215071168</v>
      </c>
      <c r="FS594" s="15">
        <f t="shared" si="544"/>
        <v>1.2986512524084777</v>
      </c>
      <c r="FT594" s="15">
        <f t="shared" si="545"/>
        <v>1.5499999999999998</v>
      </c>
      <c r="FU594" s="15">
        <f t="shared" si="531"/>
        <v>0.26132622774641834</v>
      </c>
      <c r="FV594" s="15">
        <f>((FR594*FR594)/(AR594*FP594*FP594)+(FO594*FO594)/(AR594*FM594*FM594))</f>
        <v>5.0000000000000001E-3</v>
      </c>
      <c r="HE594" s="15">
        <v>1130</v>
      </c>
      <c r="HF594" s="15">
        <f t="shared" si="537"/>
        <v>56.5</v>
      </c>
      <c r="HG594" s="15">
        <f>HF594*SQRT(AR284)</f>
        <v>97.86087062764156</v>
      </c>
      <c r="HH594" s="15">
        <v>1590</v>
      </c>
      <c r="HI594" s="15">
        <f t="shared" si="538"/>
        <v>79.5</v>
      </c>
      <c r="HJ594" s="15">
        <f>HI594*SQRT(AR284)</f>
        <v>137.69803920172575</v>
      </c>
      <c r="HK594" s="15">
        <f t="shared" si="546"/>
        <v>1.4070796460176991</v>
      </c>
      <c r="HL594" s="15">
        <f t="shared" si="547"/>
        <v>460</v>
      </c>
      <c r="HM594" s="15">
        <f t="shared" si="548"/>
        <v>0.3415163835078916</v>
      </c>
      <c r="HN594" s="15">
        <f>((HJ594*HJ594)/(AR284*HH594*HH594)+(HG594*HG594)/(AR284*HE594*HE594))</f>
        <v>4.9999999999999992E-3</v>
      </c>
      <c r="HP594" s="15" t="s">
        <v>766</v>
      </c>
      <c r="HV594" s="15">
        <f t="shared" si="549"/>
        <v>43.921758147961263</v>
      </c>
      <c r="HW594" s="15">
        <f t="shared" si="550"/>
        <v>0.3415163835078916</v>
      </c>
      <c r="HX594" s="15">
        <f>BB594</f>
        <v>1500</v>
      </c>
      <c r="HY594" s="15">
        <f>AZ594</f>
        <v>2500</v>
      </c>
      <c r="HZ594" s="15">
        <f>BA594</f>
        <v>0.85324232081911255</v>
      </c>
      <c r="IA594" s="15">
        <f>BB594</f>
        <v>1500</v>
      </c>
    </row>
    <row r="595" spans="1:235" s="15" customFormat="1" x14ac:dyDescent="0.25">
      <c r="A595" s="31">
        <v>593</v>
      </c>
      <c r="B595" s="1">
        <v>95</v>
      </c>
      <c r="C595" s="1">
        <v>113</v>
      </c>
      <c r="D595" s="15" t="s">
        <v>1447</v>
      </c>
      <c r="E595" s="1">
        <v>1</v>
      </c>
      <c r="F595" s="15" t="s">
        <v>761</v>
      </c>
      <c r="G595" s="15" t="s">
        <v>1427</v>
      </c>
      <c r="H595" s="15" t="s">
        <v>1428</v>
      </c>
      <c r="I595" s="1">
        <v>2004</v>
      </c>
      <c r="J595" s="15" t="s">
        <v>1263</v>
      </c>
      <c r="K595" s="1" t="s">
        <v>1429</v>
      </c>
      <c r="L595" s="15" t="s">
        <v>1362</v>
      </c>
      <c r="M595" s="15" t="s">
        <v>480</v>
      </c>
      <c r="N595" s="15" t="s">
        <v>520</v>
      </c>
      <c r="O595" s="31">
        <v>2</v>
      </c>
      <c r="P595" s="15">
        <v>29.17</v>
      </c>
      <c r="Q595" s="15">
        <v>119.18</v>
      </c>
      <c r="S595" s="15">
        <v>1333</v>
      </c>
      <c r="T595" s="15">
        <v>17.100000000000001</v>
      </c>
      <c r="U595" s="15" t="s">
        <v>549</v>
      </c>
      <c r="V595" s="31">
        <v>1</v>
      </c>
      <c r="W595" s="15" t="s">
        <v>1430</v>
      </c>
      <c r="X595" s="15" t="s">
        <v>1439</v>
      </c>
      <c r="Y595" s="1">
        <v>5</v>
      </c>
      <c r="Z595" s="15">
        <v>4.8600000000000003</v>
      </c>
      <c r="AA595" s="15" t="s">
        <v>574</v>
      </c>
      <c r="AB595" s="15">
        <f t="shared" si="541"/>
        <v>4.8600000000000003</v>
      </c>
      <c r="AC595" s="1">
        <v>2</v>
      </c>
      <c r="AD595" s="15">
        <v>3.3</v>
      </c>
      <c r="AF595" s="15">
        <v>5.76</v>
      </c>
      <c r="AH595" s="15">
        <v>6</v>
      </c>
      <c r="AJ595" s="15">
        <v>44.2</v>
      </c>
      <c r="AM595" s="1">
        <v>1</v>
      </c>
      <c r="AP595" s="15" t="s">
        <v>1431</v>
      </c>
      <c r="AQ595" s="1">
        <v>1</v>
      </c>
      <c r="AR595" s="1">
        <v>3</v>
      </c>
      <c r="AT595" s="15" t="s">
        <v>576</v>
      </c>
      <c r="AW595" s="15">
        <v>625</v>
      </c>
      <c r="AX595" s="15">
        <f t="shared" si="539"/>
        <v>625</v>
      </c>
      <c r="AY595" s="15" t="s">
        <v>766</v>
      </c>
      <c r="AZ595" s="15">
        <f t="shared" si="532"/>
        <v>625</v>
      </c>
      <c r="BA595" s="15">
        <f t="shared" si="533"/>
        <v>0.21331058020477814</v>
      </c>
      <c r="BB595" s="15">
        <f t="shared" si="534"/>
        <v>375</v>
      </c>
      <c r="FK595" s="16">
        <f t="shared" si="527"/>
        <v>5.19</v>
      </c>
      <c r="FL595" s="16">
        <f t="shared" si="528"/>
        <v>5.53</v>
      </c>
      <c r="FM595" s="15">
        <v>5.19</v>
      </c>
      <c r="FN595" s="15">
        <f t="shared" si="542"/>
        <v>0.25950000000000001</v>
      </c>
      <c r="FO595" s="15">
        <f>FN595*SQRT(AR595)</f>
        <v>0.44946718456412366</v>
      </c>
      <c r="FP595" s="15">
        <v>5.53</v>
      </c>
      <c r="FQ595" s="15">
        <v>0.27650000000000002</v>
      </c>
      <c r="FR595" s="15">
        <f>FQ595*SQRT(AR595)</f>
        <v>0.4789120482927946</v>
      </c>
      <c r="FS595" s="15">
        <v>1.0655105973025047</v>
      </c>
      <c r="FT595" s="15">
        <v>0.33999999999999986</v>
      </c>
      <c r="FU595" s="15">
        <f t="shared" si="531"/>
        <v>6.3454118356446099E-2</v>
      </c>
      <c r="FV595" s="15">
        <f>((FR595*FR595)/(AR595*FP595*FP595)+(FO595*FO595)/(AR595*FM595*FM595))</f>
        <v>5.000000000000001E-3</v>
      </c>
      <c r="HE595" s="15">
        <v>350</v>
      </c>
      <c r="HF595" s="15">
        <f t="shared" si="537"/>
        <v>17.5</v>
      </c>
      <c r="HG595" s="15">
        <f>HF595*SQRT(AR285)</f>
        <v>30.310889132455351</v>
      </c>
      <c r="HH595" s="15">
        <v>450</v>
      </c>
      <c r="HI595" s="15">
        <f t="shared" si="538"/>
        <v>22.5</v>
      </c>
      <c r="HJ595" s="15">
        <f>HI595*SQRT(AR285)</f>
        <v>38.97114317029974</v>
      </c>
      <c r="HK595" s="15">
        <f t="shared" si="546"/>
        <v>1.2857142857142858</v>
      </c>
      <c r="HL595" s="15">
        <f t="shared" si="547"/>
        <v>100</v>
      </c>
      <c r="HM595" s="15">
        <f t="shared" si="548"/>
        <v>0.25131442828090655</v>
      </c>
      <c r="HN595" s="15">
        <f>((HJ595*HJ595)/(AR285*HH595*HH595)+(HG595*HG595)/(AR285*HE595*HE595))</f>
        <v>4.9999999999999992E-3</v>
      </c>
      <c r="HP595" s="15" t="s">
        <v>766</v>
      </c>
      <c r="HV595" s="15">
        <f t="shared" si="549"/>
        <v>14.921546787629875</v>
      </c>
      <c r="HW595" s="15">
        <f t="shared" si="550"/>
        <v>0.25131442828090655</v>
      </c>
      <c r="HX595" s="15">
        <f>BB595</f>
        <v>375</v>
      </c>
      <c r="HY595" s="15">
        <f>AZ595</f>
        <v>625</v>
      </c>
      <c r="HZ595" s="15">
        <f>BA595</f>
        <v>0.21331058020477814</v>
      </c>
      <c r="IA595" s="15">
        <f>BB595</f>
        <v>375</v>
      </c>
    </row>
    <row r="596" spans="1:235" s="15" customFormat="1" x14ac:dyDescent="0.25">
      <c r="A596" s="31">
        <v>594</v>
      </c>
      <c r="B596" s="1">
        <v>95</v>
      </c>
      <c r="C596" s="1">
        <v>113</v>
      </c>
      <c r="D596" s="15" t="s">
        <v>1448</v>
      </c>
      <c r="E596" s="1">
        <v>1</v>
      </c>
      <c r="F596" s="15" t="s">
        <v>761</v>
      </c>
      <c r="G596" s="15" t="s">
        <v>1427</v>
      </c>
      <c r="H596" s="15" t="s">
        <v>1428</v>
      </c>
      <c r="I596" s="1">
        <v>2004</v>
      </c>
      <c r="J596" s="15" t="s">
        <v>1263</v>
      </c>
      <c r="K596" s="1" t="s">
        <v>1429</v>
      </c>
      <c r="L596" s="15" t="s">
        <v>1362</v>
      </c>
      <c r="M596" s="15" t="s">
        <v>480</v>
      </c>
      <c r="N596" s="15" t="s">
        <v>520</v>
      </c>
      <c r="O596" s="31">
        <v>2</v>
      </c>
      <c r="P596" s="15">
        <v>29.17</v>
      </c>
      <c r="Q596" s="15">
        <v>119.18</v>
      </c>
      <c r="S596" s="15">
        <v>1333</v>
      </c>
      <c r="T596" s="15">
        <v>17.100000000000001</v>
      </c>
      <c r="U596" s="15" t="s">
        <v>549</v>
      </c>
      <c r="V596" s="31">
        <v>1</v>
      </c>
      <c r="W596" s="15" t="s">
        <v>1430</v>
      </c>
      <c r="X596" s="15" t="s">
        <v>1439</v>
      </c>
      <c r="Y596" s="1">
        <v>5</v>
      </c>
      <c r="Z596" s="15">
        <v>4.8600000000000003</v>
      </c>
      <c r="AA596" s="15" t="s">
        <v>574</v>
      </c>
      <c r="AB596" s="15">
        <f t="shared" si="541"/>
        <v>4.8600000000000003</v>
      </c>
      <c r="AC596" s="1">
        <v>2</v>
      </c>
      <c r="AD596" s="15">
        <v>3.3</v>
      </c>
      <c r="AF596" s="15">
        <v>5.76</v>
      </c>
      <c r="AH596" s="15">
        <v>6</v>
      </c>
      <c r="AJ596" s="15">
        <v>44.2</v>
      </c>
      <c r="AM596" s="1">
        <v>1</v>
      </c>
      <c r="AP596" s="15" t="s">
        <v>1431</v>
      </c>
      <c r="AQ596" s="1">
        <v>1</v>
      </c>
      <c r="AR596" s="1">
        <v>3</v>
      </c>
      <c r="AT596" s="15" t="s">
        <v>576</v>
      </c>
      <c r="AW596" s="15">
        <v>1250</v>
      </c>
      <c r="AX596" s="15">
        <f t="shared" si="539"/>
        <v>1250</v>
      </c>
      <c r="AY596" s="15" t="s">
        <v>766</v>
      </c>
      <c r="AZ596" s="15">
        <f t="shared" si="532"/>
        <v>1250</v>
      </c>
      <c r="BA596" s="15">
        <f t="shared" si="533"/>
        <v>0.42662116040955628</v>
      </c>
      <c r="BB596" s="15">
        <f t="shared" si="534"/>
        <v>750</v>
      </c>
      <c r="FK596" s="16">
        <f t="shared" si="527"/>
        <v>5.19</v>
      </c>
      <c r="FL596" s="16">
        <f t="shared" si="528"/>
        <v>5.89</v>
      </c>
      <c r="FM596" s="15">
        <v>5.19</v>
      </c>
      <c r="FN596" s="15">
        <f t="shared" si="542"/>
        <v>0.25950000000000001</v>
      </c>
      <c r="FO596" s="15">
        <f>FN596*SQRT(AR596)</f>
        <v>0.44946718456412366</v>
      </c>
      <c r="FP596" s="15">
        <v>5.89</v>
      </c>
      <c r="FQ596" s="15">
        <v>0.29449999999999998</v>
      </c>
      <c r="FR596" s="15">
        <f>FQ596*SQRT(AR596)</f>
        <v>0.51008896282903426</v>
      </c>
      <c r="FS596" s="15">
        <v>1.1348747591522157</v>
      </c>
      <c r="FT596" s="15">
        <v>0.69999999999999929</v>
      </c>
      <c r="FU596" s="15">
        <f t="shared" si="531"/>
        <v>0.1265223004856979</v>
      </c>
      <c r="FV596" s="15">
        <f>((FR596*FR596)/(AR596*FP596*FP596)+(FO596*FO596)/(AR596*FM596*FM596))</f>
        <v>4.9999999999999992E-3</v>
      </c>
      <c r="HE596" s="15">
        <v>351</v>
      </c>
      <c r="HF596" s="15">
        <f t="shared" si="537"/>
        <v>17.55</v>
      </c>
      <c r="HG596" s="15">
        <f>HF596*SQRT(AR286)</f>
        <v>30.397491672833794</v>
      </c>
      <c r="HH596" s="15">
        <v>470</v>
      </c>
      <c r="HI596" s="15">
        <f t="shared" si="538"/>
        <v>23.5</v>
      </c>
      <c r="HJ596" s="15">
        <f>HI596*SQRT(AR286)</f>
        <v>40.703193977868615</v>
      </c>
      <c r="HK596" s="15">
        <f t="shared" si="546"/>
        <v>1.3390313390313391</v>
      </c>
      <c r="HL596" s="15">
        <f t="shared" si="547"/>
        <v>119</v>
      </c>
      <c r="HM596" s="15">
        <f t="shared" si="548"/>
        <v>0.29194647123823891</v>
      </c>
      <c r="HN596" s="15">
        <f>((HJ596*HJ596)/(AR286*HH596*HH596)+(HG596*HG596)/(AR286*HE596*HE596))</f>
        <v>4.9999999999999992E-3</v>
      </c>
      <c r="HP596" s="15" t="s">
        <v>766</v>
      </c>
      <c r="HV596" s="15">
        <f t="shared" si="549"/>
        <v>25.689640872143741</v>
      </c>
      <c r="HW596" s="15">
        <f t="shared" si="550"/>
        <v>0.29194647123823891</v>
      </c>
      <c r="HX596" s="15">
        <f>BB596</f>
        <v>750</v>
      </c>
      <c r="HY596" s="15">
        <f>AZ596</f>
        <v>1250</v>
      </c>
      <c r="HZ596" s="15">
        <f>BA596</f>
        <v>0.42662116040955628</v>
      </c>
      <c r="IA596" s="15">
        <f>BB596</f>
        <v>750</v>
      </c>
    </row>
    <row r="597" spans="1:235" s="15" customFormat="1" x14ac:dyDescent="0.25">
      <c r="A597" s="31">
        <v>595</v>
      </c>
      <c r="B597" s="1">
        <v>95</v>
      </c>
      <c r="C597" s="1">
        <v>113</v>
      </c>
      <c r="D597" s="15" t="s">
        <v>1449</v>
      </c>
      <c r="E597" s="1">
        <v>1</v>
      </c>
      <c r="F597" s="15" t="s">
        <v>761</v>
      </c>
      <c r="G597" s="15" t="s">
        <v>1427</v>
      </c>
      <c r="H597" s="15" t="s">
        <v>1428</v>
      </c>
      <c r="I597" s="1">
        <v>2004</v>
      </c>
      <c r="J597" s="15" t="s">
        <v>1263</v>
      </c>
      <c r="K597" s="1" t="s">
        <v>1429</v>
      </c>
      <c r="L597" s="15" t="s">
        <v>1362</v>
      </c>
      <c r="M597" s="15" t="s">
        <v>480</v>
      </c>
      <c r="N597" s="15" t="s">
        <v>520</v>
      </c>
      <c r="O597" s="31">
        <v>2</v>
      </c>
      <c r="P597" s="15">
        <v>29.17</v>
      </c>
      <c r="Q597" s="15">
        <v>119.18</v>
      </c>
      <c r="S597" s="15">
        <v>1333</v>
      </c>
      <c r="T597" s="15">
        <v>17.100000000000001</v>
      </c>
      <c r="U597" s="15" t="s">
        <v>549</v>
      </c>
      <c r="V597" s="31">
        <v>1</v>
      </c>
      <c r="W597" s="15" t="s">
        <v>1430</v>
      </c>
      <c r="X597" s="15" t="s">
        <v>1439</v>
      </c>
      <c r="Y597" s="1">
        <v>5</v>
      </c>
      <c r="Z597" s="15">
        <v>4.8600000000000003</v>
      </c>
      <c r="AA597" s="15" t="s">
        <v>574</v>
      </c>
      <c r="AB597" s="15">
        <f t="shared" si="541"/>
        <v>4.8600000000000003</v>
      </c>
      <c r="AC597" s="1">
        <v>2</v>
      </c>
      <c r="AD597" s="15">
        <v>3.3</v>
      </c>
      <c r="AF597" s="15">
        <v>5.76</v>
      </c>
      <c r="AH597" s="15">
        <v>6</v>
      </c>
      <c r="AJ597" s="15">
        <v>44.2</v>
      </c>
      <c r="AM597" s="1">
        <v>1</v>
      </c>
      <c r="AP597" s="15" t="s">
        <v>1431</v>
      </c>
      <c r="AQ597" s="1">
        <v>1</v>
      </c>
      <c r="AR597" s="1">
        <v>3</v>
      </c>
      <c r="AT597" s="15" t="s">
        <v>576</v>
      </c>
      <c r="AW597" s="15">
        <v>1875</v>
      </c>
      <c r="AX597" s="15">
        <f t="shared" si="539"/>
        <v>1875</v>
      </c>
      <c r="AY597" s="15" t="s">
        <v>766</v>
      </c>
      <c r="AZ597" s="15">
        <f t="shared" si="532"/>
        <v>1875</v>
      </c>
      <c r="BA597" s="15">
        <f t="shared" si="533"/>
        <v>0.63993174061433444</v>
      </c>
      <c r="BB597" s="15">
        <f t="shared" si="534"/>
        <v>1125</v>
      </c>
      <c r="FK597" s="16">
        <f t="shared" si="527"/>
        <v>5.19</v>
      </c>
      <c r="FL597" s="16">
        <f t="shared" si="528"/>
        <v>6.33</v>
      </c>
      <c r="FM597" s="15">
        <v>5.19</v>
      </c>
      <c r="FN597" s="15">
        <f t="shared" si="542"/>
        <v>0.25950000000000001</v>
      </c>
      <c r="FO597" s="15">
        <f>FN597*SQRT(AR597)</f>
        <v>0.44946718456412366</v>
      </c>
      <c r="FP597" s="15">
        <v>6.33</v>
      </c>
      <c r="FQ597" s="15">
        <v>0.3165</v>
      </c>
      <c r="FR597" s="15">
        <f>FQ597*SQRT(AR597)</f>
        <v>0.54819408059554964</v>
      </c>
      <c r="FS597" s="15">
        <v>1.2196531791907514</v>
      </c>
      <c r="FT597" s="15">
        <v>1.1399999999999997</v>
      </c>
      <c r="FU597" s="15">
        <f t="shared" si="531"/>
        <v>0.19856653897828758</v>
      </c>
      <c r="FV597" s="15">
        <f>((FR597*FR597)/(AR597*FP597*FP597)+(FO597*FO597)/(AR597*FM597*FM597))</f>
        <v>4.9999999999999992E-3</v>
      </c>
      <c r="HE597" s="15">
        <v>352</v>
      </c>
      <c r="HF597" s="15">
        <f t="shared" si="537"/>
        <v>17.600000000000001</v>
      </c>
      <c r="HG597" s="15">
        <f>HF597*SQRT(AR287)</f>
        <v>30.484094213212241</v>
      </c>
      <c r="HH597" s="15">
        <v>570</v>
      </c>
      <c r="HI597" s="15">
        <f t="shared" si="538"/>
        <v>28.5</v>
      </c>
      <c r="HJ597" s="15">
        <f>HI597*SQRT(AR287)</f>
        <v>49.363448015712997</v>
      </c>
      <c r="HK597" s="15">
        <f t="shared" si="546"/>
        <v>1.6193181818181819</v>
      </c>
      <c r="HL597" s="15">
        <f t="shared" si="547"/>
        <v>218</v>
      </c>
      <c r="HM597" s="15">
        <f t="shared" si="548"/>
        <v>0.4820051852304994</v>
      </c>
      <c r="HN597" s="15">
        <f>((HJ597*HJ597)/(AR287*HH597*HH597)+(HG597*HG597)/(AR287*HE597*HE597))</f>
        <v>4.9999999999999992E-3</v>
      </c>
      <c r="HP597" s="15" t="s">
        <v>766</v>
      </c>
      <c r="HV597" s="15">
        <f t="shared" si="549"/>
        <v>23.339997877035586</v>
      </c>
      <c r="HW597" s="15">
        <f t="shared" si="550"/>
        <v>0.4820051852304994</v>
      </c>
      <c r="HX597" s="15">
        <f>BB597</f>
        <v>1125</v>
      </c>
      <c r="HY597" s="15">
        <f>AZ597</f>
        <v>1875</v>
      </c>
      <c r="HZ597" s="15">
        <f>BA597</f>
        <v>0.63993174061433444</v>
      </c>
      <c r="IA597" s="15">
        <f>BB597</f>
        <v>1125</v>
      </c>
    </row>
    <row r="598" spans="1:235" s="15" customFormat="1" x14ac:dyDescent="0.25">
      <c r="A598" s="31">
        <v>596</v>
      </c>
      <c r="B598" s="1">
        <v>95</v>
      </c>
      <c r="C598" s="1">
        <v>113</v>
      </c>
      <c r="D598" s="15" t="s">
        <v>1450</v>
      </c>
      <c r="E598" s="1">
        <v>1</v>
      </c>
      <c r="F598" s="15" t="s">
        <v>761</v>
      </c>
      <c r="G598" s="15" t="s">
        <v>1427</v>
      </c>
      <c r="H598" s="15" t="s">
        <v>1428</v>
      </c>
      <c r="I598" s="1">
        <v>2004</v>
      </c>
      <c r="J598" s="15" t="s">
        <v>1263</v>
      </c>
      <c r="K598" s="1" t="s">
        <v>1429</v>
      </c>
      <c r="L598" s="15" t="s">
        <v>1362</v>
      </c>
      <c r="M598" s="15" t="s">
        <v>480</v>
      </c>
      <c r="N598" s="15" t="s">
        <v>520</v>
      </c>
      <c r="O598" s="31">
        <v>2</v>
      </c>
      <c r="P598" s="15">
        <v>29.17</v>
      </c>
      <c r="Q598" s="15">
        <v>119.18</v>
      </c>
      <c r="S598" s="15">
        <v>1333</v>
      </c>
      <c r="T598" s="15">
        <v>17.100000000000001</v>
      </c>
      <c r="U598" s="15" t="s">
        <v>549</v>
      </c>
      <c r="V598" s="31">
        <v>1</v>
      </c>
      <c r="W598" s="15" t="s">
        <v>1430</v>
      </c>
      <c r="X598" s="15" t="s">
        <v>1439</v>
      </c>
      <c r="Y598" s="1">
        <v>5</v>
      </c>
      <c r="Z598" s="15">
        <v>4.8600000000000003</v>
      </c>
      <c r="AA598" s="15" t="s">
        <v>574</v>
      </c>
      <c r="AB598" s="15">
        <f t="shared" si="541"/>
        <v>4.8600000000000003</v>
      </c>
      <c r="AC598" s="1">
        <v>2</v>
      </c>
      <c r="AD598" s="15">
        <v>3.3</v>
      </c>
      <c r="AF598" s="15">
        <v>5.76</v>
      </c>
      <c r="AH598" s="15">
        <v>6</v>
      </c>
      <c r="AJ598" s="15">
        <v>44.2</v>
      </c>
      <c r="AM598" s="1">
        <v>1</v>
      </c>
      <c r="AP598" s="15" t="s">
        <v>1431</v>
      </c>
      <c r="AQ598" s="1">
        <v>1</v>
      </c>
      <c r="AR598" s="1">
        <v>3</v>
      </c>
      <c r="AT598" s="15" t="s">
        <v>576</v>
      </c>
      <c r="AW598" s="15">
        <v>2500</v>
      </c>
      <c r="AX598" s="15">
        <f t="shared" si="539"/>
        <v>2500</v>
      </c>
      <c r="AY598" s="15" t="s">
        <v>766</v>
      </c>
      <c r="AZ598" s="15">
        <f t="shared" si="532"/>
        <v>2500</v>
      </c>
      <c r="BA598" s="15">
        <f t="shared" si="533"/>
        <v>0.85324232081911255</v>
      </c>
      <c r="BB598" s="15">
        <f t="shared" si="534"/>
        <v>1500</v>
      </c>
      <c r="FK598" s="16">
        <f t="shared" si="527"/>
        <v>5.19</v>
      </c>
      <c r="FL598" s="16">
        <f t="shared" si="528"/>
        <v>6.74</v>
      </c>
      <c r="FM598" s="15">
        <v>5.19</v>
      </c>
      <c r="FN598" s="15">
        <f t="shared" si="542"/>
        <v>0.25950000000000001</v>
      </c>
      <c r="FO598" s="15">
        <f>FN598*SQRT(AR598)</f>
        <v>0.44946718456412366</v>
      </c>
      <c r="FP598" s="15">
        <v>6.74</v>
      </c>
      <c r="FQ598" s="15">
        <f t="shared" ref="FQ598:FQ661" si="551">FP598*0.05</f>
        <v>0.33700000000000002</v>
      </c>
      <c r="FR598" s="15">
        <f>FQ598*SQRT(AR598)</f>
        <v>0.58370112215071168</v>
      </c>
      <c r="FS598" s="15">
        <v>1.2986512524084777</v>
      </c>
      <c r="FT598" s="15">
        <v>1.5499999999999998</v>
      </c>
      <c r="FU598" s="15">
        <f t="shared" si="531"/>
        <v>0.26132622774641834</v>
      </c>
      <c r="FV598" s="15">
        <f>((FR598*FR598)/(AR598*FP598*FP598)+(FO598*FO598)/(AR598*FM598*FM598))</f>
        <v>5.0000000000000001E-3</v>
      </c>
      <c r="HE598" s="15">
        <v>353</v>
      </c>
      <c r="HF598" s="15">
        <f t="shared" si="537"/>
        <v>17.650000000000002</v>
      </c>
      <c r="HG598" s="15">
        <f>HF598*SQRT(AR288)</f>
        <v>30.570696753590685</v>
      </c>
      <c r="HH598" s="15">
        <v>530</v>
      </c>
      <c r="HI598" s="15">
        <f t="shared" si="538"/>
        <v>26.5</v>
      </c>
      <c r="HJ598" s="15">
        <f>HI598*SQRT(AR288)</f>
        <v>45.899346400575247</v>
      </c>
      <c r="HK598" s="15">
        <f t="shared" si="546"/>
        <v>1.5014164305949009</v>
      </c>
      <c r="HL598" s="15">
        <f t="shared" si="547"/>
        <v>177</v>
      </c>
      <c r="HM598" s="15">
        <f t="shared" si="548"/>
        <v>0.40640894961287088</v>
      </c>
      <c r="HN598" s="15">
        <f>((HJ598*HJ598)/(AR288*HH598*HH598)+(HG598*HG598)/(AR288*HE598*HE598))</f>
        <v>5.0000000000000001E-3</v>
      </c>
      <c r="HP598" s="15" t="s">
        <v>766</v>
      </c>
      <c r="HV598" s="15">
        <f t="shared" si="549"/>
        <v>36.908636028533344</v>
      </c>
      <c r="HW598" s="15">
        <f t="shared" si="550"/>
        <v>0.40640894961287088</v>
      </c>
      <c r="HX598" s="15">
        <f>BB598</f>
        <v>1500</v>
      </c>
      <c r="HY598" s="15">
        <f>AZ598</f>
        <v>2500</v>
      </c>
      <c r="HZ598" s="15">
        <f>BA598</f>
        <v>0.85324232081911255</v>
      </c>
      <c r="IA598" s="15">
        <f>BB598</f>
        <v>1500</v>
      </c>
    </row>
    <row r="599" spans="1:235" s="15" customFormat="1" x14ac:dyDescent="0.25">
      <c r="A599" s="31">
        <v>597</v>
      </c>
      <c r="B599" s="1">
        <v>95</v>
      </c>
      <c r="C599" s="1">
        <v>113</v>
      </c>
      <c r="D599" s="15" t="s">
        <v>1451</v>
      </c>
      <c r="E599" s="1">
        <v>1</v>
      </c>
      <c r="F599" s="15" t="s">
        <v>761</v>
      </c>
      <c r="G599" s="15" t="s">
        <v>1427</v>
      </c>
      <c r="H599" s="15" t="s">
        <v>1428</v>
      </c>
      <c r="I599" s="1">
        <v>2004</v>
      </c>
      <c r="J599" s="15" t="s">
        <v>1263</v>
      </c>
      <c r="K599" s="1" t="s">
        <v>1429</v>
      </c>
      <c r="L599" s="15" t="s">
        <v>1362</v>
      </c>
      <c r="M599" s="15" t="s">
        <v>480</v>
      </c>
      <c r="N599" s="15" t="s">
        <v>520</v>
      </c>
      <c r="O599" s="31">
        <v>2</v>
      </c>
      <c r="P599" s="15">
        <v>29.17</v>
      </c>
      <c r="Q599" s="15">
        <v>119.18</v>
      </c>
      <c r="S599" s="15">
        <v>1333</v>
      </c>
      <c r="T599" s="15">
        <v>17.100000000000001</v>
      </c>
      <c r="U599" s="15" t="s">
        <v>549</v>
      </c>
      <c r="V599" s="31">
        <v>1</v>
      </c>
      <c r="W599" s="15" t="s">
        <v>1430</v>
      </c>
      <c r="X599" s="15" t="s">
        <v>1195</v>
      </c>
      <c r="Y599" s="1">
        <v>5</v>
      </c>
      <c r="Z599" s="15">
        <v>4.8600000000000003</v>
      </c>
      <c r="AA599" s="15" t="s">
        <v>574</v>
      </c>
      <c r="AB599" s="15">
        <f t="shared" si="541"/>
        <v>4.8600000000000003</v>
      </c>
      <c r="AC599" s="1">
        <v>2</v>
      </c>
      <c r="AD599" s="15">
        <v>3.3</v>
      </c>
      <c r="AF599" s="15">
        <v>5.76</v>
      </c>
      <c r="AH599" s="15">
        <v>6</v>
      </c>
      <c r="AJ599" s="15">
        <v>44.2</v>
      </c>
      <c r="AM599" s="1">
        <v>1</v>
      </c>
      <c r="AP599" s="15" t="s">
        <v>1431</v>
      </c>
      <c r="AQ599" s="1">
        <v>1</v>
      </c>
      <c r="AR599" s="1">
        <v>3</v>
      </c>
      <c r="AT599" s="15" t="s">
        <v>576</v>
      </c>
      <c r="AW599" s="15">
        <f>AW555/7</f>
        <v>535.71428571428567</v>
      </c>
      <c r="AX599" s="15">
        <f t="shared" si="539"/>
        <v>535.71428571428567</v>
      </c>
      <c r="AY599" s="15" t="s">
        <v>766</v>
      </c>
      <c r="AZ599" s="15">
        <f t="shared" si="532"/>
        <v>535.71428571428567</v>
      </c>
      <c r="BA599" s="15">
        <f t="shared" si="533"/>
        <v>0.18283764017552412</v>
      </c>
      <c r="BB599" s="15">
        <f t="shared" si="534"/>
        <v>321.42857142857139</v>
      </c>
      <c r="FK599" s="16">
        <f t="shared" si="527"/>
        <v>5.09</v>
      </c>
      <c r="FL599" s="16">
        <f t="shared" si="528"/>
        <v>5.46</v>
      </c>
      <c r="FM599" s="15">
        <v>5.09</v>
      </c>
      <c r="FN599" s="15">
        <f t="shared" si="542"/>
        <v>0.2545</v>
      </c>
      <c r="FO599" s="15">
        <f>FN599*SQRT(AR599)</f>
        <v>0.44080693052627923</v>
      </c>
      <c r="FP599" s="15">
        <v>5.46</v>
      </c>
      <c r="FQ599" s="15">
        <f t="shared" si="551"/>
        <v>0.27300000000000002</v>
      </c>
      <c r="FR599" s="15">
        <f>FQ599*SQRT(AR599)</f>
        <v>0.4728498704663035</v>
      </c>
      <c r="FS599" s="15">
        <f t="shared" ref="FS599:FS662" si="552">FP599/FM599</f>
        <v>1.0726915520628684</v>
      </c>
      <c r="FT599" s="15">
        <f t="shared" ref="FT599:FT662" si="553">FP599-FM599</f>
        <v>0.37000000000000011</v>
      </c>
      <c r="FU599" s="15">
        <f t="shared" si="531"/>
        <v>7.017095919438221E-2</v>
      </c>
      <c r="FV599" s="15">
        <f>((FR599*FR599)/(AR599*FP599*FP599)+(FO599*FO599)/(AR599*FM599*FM599))</f>
        <v>4.9999999999999992E-3</v>
      </c>
      <c r="HE599" s="15">
        <v>590</v>
      </c>
      <c r="HF599" s="15">
        <f t="shared" si="537"/>
        <v>29.5</v>
      </c>
      <c r="HG599" s="15">
        <f>HF599*SQRT(AR289)</f>
        <v>51.095498823281879</v>
      </c>
      <c r="HH599" s="15">
        <v>710</v>
      </c>
      <c r="HI599" s="15">
        <f t="shared" si="538"/>
        <v>35.5</v>
      </c>
      <c r="HJ599" s="15">
        <f>HI599*SQRT(AR289)</f>
        <v>61.487803668695143</v>
      </c>
      <c r="HK599" s="15">
        <f t="shared" si="546"/>
        <v>1.2033898305084745</v>
      </c>
      <c r="HL599" s="15">
        <f t="shared" si="547"/>
        <v>120</v>
      </c>
      <c r="HM599" s="15">
        <f t="shared" si="548"/>
        <v>0.18514243313559664</v>
      </c>
      <c r="HN599" s="15">
        <f>((HJ599*HJ599)/(AR289*HH599*HH599)+(HG599*HG599)/(AR289*HE599*HE599))</f>
        <v>5.0000000000000001E-3</v>
      </c>
      <c r="HP599" s="15" t="s">
        <v>766</v>
      </c>
      <c r="HV599" s="15">
        <f t="shared" si="549"/>
        <v>17.361150870970786</v>
      </c>
      <c r="HW599" s="15">
        <f t="shared" si="550"/>
        <v>0.18514243313559664</v>
      </c>
      <c r="HX599" s="15">
        <f>BB599</f>
        <v>321.42857142857139</v>
      </c>
      <c r="HY599" s="15">
        <f>AZ599</f>
        <v>535.71428571428567</v>
      </c>
      <c r="HZ599" s="15">
        <f>BA599</f>
        <v>0.18283764017552412</v>
      </c>
      <c r="IA599" s="15">
        <f>BB599</f>
        <v>321.42857142857139</v>
      </c>
    </row>
    <row r="600" spans="1:235" s="15" customFormat="1" x14ac:dyDescent="0.25">
      <c r="A600" s="31">
        <v>598</v>
      </c>
      <c r="B600" s="1">
        <v>95</v>
      </c>
      <c r="C600" s="1">
        <v>113</v>
      </c>
      <c r="D600" s="15" t="s">
        <v>1452</v>
      </c>
      <c r="E600" s="1">
        <v>1</v>
      </c>
      <c r="F600" s="15" t="s">
        <v>761</v>
      </c>
      <c r="G600" s="15" t="s">
        <v>1427</v>
      </c>
      <c r="H600" s="15" t="s">
        <v>1428</v>
      </c>
      <c r="I600" s="1">
        <v>2004</v>
      </c>
      <c r="J600" s="15" t="s">
        <v>1263</v>
      </c>
      <c r="K600" s="1" t="s">
        <v>1429</v>
      </c>
      <c r="L600" s="15" t="s">
        <v>1362</v>
      </c>
      <c r="M600" s="15" t="s">
        <v>480</v>
      </c>
      <c r="N600" s="15" t="s">
        <v>520</v>
      </c>
      <c r="O600" s="31">
        <v>2</v>
      </c>
      <c r="P600" s="15">
        <v>29.17</v>
      </c>
      <c r="Q600" s="15">
        <v>119.18</v>
      </c>
      <c r="S600" s="15">
        <v>1333</v>
      </c>
      <c r="T600" s="15">
        <v>17.100000000000001</v>
      </c>
      <c r="U600" s="15" t="s">
        <v>549</v>
      </c>
      <c r="V600" s="31">
        <v>1</v>
      </c>
      <c r="W600" s="15" t="s">
        <v>1430</v>
      </c>
      <c r="X600" s="15" t="s">
        <v>1195</v>
      </c>
      <c r="Y600" s="1">
        <v>5</v>
      </c>
      <c r="Z600" s="15">
        <v>4.8600000000000003</v>
      </c>
      <c r="AA600" s="15" t="s">
        <v>574</v>
      </c>
      <c r="AB600" s="15">
        <f t="shared" si="541"/>
        <v>4.8600000000000003</v>
      </c>
      <c r="AC600" s="1">
        <v>2</v>
      </c>
      <c r="AD600" s="15">
        <v>3.3</v>
      </c>
      <c r="AF600" s="15">
        <v>5.76</v>
      </c>
      <c r="AH600" s="15">
        <v>6</v>
      </c>
      <c r="AJ600" s="15">
        <v>44.2</v>
      </c>
      <c r="AM600" s="1">
        <v>1</v>
      </c>
      <c r="AP600" s="15" t="s">
        <v>1431</v>
      </c>
      <c r="AQ600" s="1">
        <v>1</v>
      </c>
      <c r="AR600" s="1">
        <v>3</v>
      </c>
      <c r="AT600" s="15" t="s">
        <v>576</v>
      </c>
      <c r="AW600" s="15">
        <f>AW556/7</f>
        <v>1071.4285714285713</v>
      </c>
      <c r="AX600" s="15">
        <f t="shared" si="539"/>
        <v>1071.4285714285713</v>
      </c>
      <c r="AY600" s="15" t="s">
        <v>766</v>
      </c>
      <c r="AZ600" s="15">
        <f t="shared" si="532"/>
        <v>1071.4285714285713</v>
      </c>
      <c r="BA600" s="15">
        <f t="shared" si="533"/>
        <v>0.36567528035104824</v>
      </c>
      <c r="BB600" s="15">
        <f t="shared" si="534"/>
        <v>642.85714285714278</v>
      </c>
      <c r="FK600" s="16">
        <f t="shared" si="527"/>
        <v>5.09</v>
      </c>
      <c r="FL600" s="16">
        <f t="shared" si="528"/>
        <v>5.82</v>
      </c>
      <c r="FM600" s="15">
        <v>5.09</v>
      </c>
      <c r="FN600" s="15">
        <f t="shared" si="542"/>
        <v>0.2545</v>
      </c>
      <c r="FO600" s="15">
        <f>FN600*SQRT(AR600)</f>
        <v>0.44080693052627923</v>
      </c>
      <c r="FP600" s="15">
        <v>5.82</v>
      </c>
      <c r="FQ600" s="15">
        <f t="shared" si="551"/>
        <v>0.29100000000000004</v>
      </c>
      <c r="FR600" s="15">
        <f>FQ600*SQRT(AR600)</f>
        <v>0.50402678500254328</v>
      </c>
      <c r="FS600" s="15">
        <f t="shared" si="552"/>
        <v>1.1434184675834971</v>
      </c>
      <c r="FT600" s="15">
        <f t="shared" si="553"/>
        <v>0.73000000000000043</v>
      </c>
      <c r="FU600" s="15">
        <f t="shared" si="531"/>
        <v>0.13402243118091506</v>
      </c>
      <c r="FV600" s="15">
        <f>((FR600*FR600)/(AR600*FP600*FP600)+(FO600*FO600)/(AR600*FM600*FM600))</f>
        <v>4.9999999999999984E-3</v>
      </c>
      <c r="HE600" s="15">
        <v>590</v>
      </c>
      <c r="HF600" s="15">
        <f t="shared" si="537"/>
        <v>29.5</v>
      </c>
      <c r="HG600" s="15">
        <f>HF600*SQRT(AR290)</f>
        <v>51.095498823281879</v>
      </c>
      <c r="HH600" s="15">
        <v>720</v>
      </c>
      <c r="HI600" s="15">
        <f t="shared" si="538"/>
        <v>36</v>
      </c>
      <c r="HJ600" s="15">
        <f>HI600*SQRT(AR290)</f>
        <v>62.353829072479577</v>
      </c>
      <c r="HK600" s="15">
        <f t="shared" si="546"/>
        <v>1.2203389830508475</v>
      </c>
      <c r="HL600" s="15">
        <f t="shared" si="547"/>
        <v>130</v>
      </c>
      <c r="HM600" s="15">
        <f t="shared" si="548"/>
        <v>0.19912867511033649</v>
      </c>
      <c r="HN600" s="15">
        <f>((HJ600*HJ600)/(AR290*HH600*HH600)+(HG600*HG600)/(AR290*HE600*HE600))</f>
        <v>4.9999999999999992E-3</v>
      </c>
      <c r="HP600" s="15" t="s">
        <v>766</v>
      </c>
      <c r="HV600" s="15">
        <f t="shared" si="549"/>
        <v>32.283504246735831</v>
      </c>
      <c r="HW600" s="15">
        <f t="shared" si="550"/>
        <v>0.19912867511033649</v>
      </c>
      <c r="HX600" s="15">
        <f>BB600</f>
        <v>642.85714285714278</v>
      </c>
      <c r="HY600" s="15">
        <f>AZ600</f>
        <v>1071.4285714285713</v>
      </c>
      <c r="HZ600" s="15">
        <f>BA600</f>
        <v>0.36567528035104824</v>
      </c>
      <c r="IA600" s="15">
        <f>BB600</f>
        <v>642.85714285714278</v>
      </c>
    </row>
    <row r="601" spans="1:235" s="15" customFormat="1" x14ac:dyDescent="0.25">
      <c r="A601" s="31">
        <v>599</v>
      </c>
      <c r="B601" s="1">
        <v>95</v>
      </c>
      <c r="C601" s="1">
        <v>113</v>
      </c>
      <c r="D601" s="15" t="s">
        <v>1453</v>
      </c>
      <c r="E601" s="1">
        <v>1</v>
      </c>
      <c r="F601" s="15" t="s">
        <v>761</v>
      </c>
      <c r="G601" s="15" t="s">
        <v>1427</v>
      </c>
      <c r="H601" s="15" t="s">
        <v>1428</v>
      </c>
      <c r="I601" s="1">
        <v>2004</v>
      </c>
      <c r="J601" s="15" t="s">
        <v>1263</v>
      </c>
      <c r="K601" s="1" t="s">
        <v>1429</v>
      </c>
      <c r="L601" s="15" t="s">
        <v>1362</v>
      </c>
      <c r="M601" s="15" t="s">
        <v>480</v>
      </c>
      <c r="N601" s="15" t="s">
        <v>520</v>
      </c>
      <c r="O601" s="31">
        <v>2</v>
      </c>
      <c r="P601" s="15">
        <v>29.17</v>
      </c>
      <c r="Q601" s="15">
        <v>119.18</v>
      </c>
      <c r="S601" s="15">
        <v>1333</v>
      </c>
      <c r="T601" s="15">
        <v>17.100000000000001</v>
      </c>
      <c r="U601" s="15" t="s">
        <v>549</v>
      </c>
      <c r="V601" s="31">
        <v>1</v>
      </c>
      <c r="W601" s="15" t="s">
        <v>1430</v>
      </c>
      <c r="X601" s="15" t="s">
        <v>1195</v>
      </c>
      <c r="Y601" s="1">
        <v>5</v>
      </c>
      <c r="Z601" s="15">
        <v>4.8600000000000003</v>
      </c>
      <c r="AA601" s="15" t="s">
        <v>574</v>
      </c>
      <c r="AB601" s="15">
        <f t="shared" si="541"/>
        <v>4.8600000000000003</v>
      </c>
      <c r="AC601" s="1">
        <v>2</v>
      </c>
      <c r="AD601" s="15">
        <v>3.3</v>
      </c>
      <c r="AF601" s="15">
        <v>5.76</v>
      </c>
      <c r="AH601" s="15">
        <v>6</v>
      </c>
      <c r="AJ601" s="15">
        <v>44.2</v>
      </c>
      <c r="AM601" s="1">
        <v>1</v>
      </c>
      <c r="AP601" s="15" t="s">
        <v>1431</v>
      </c>
      <c r="AQ601" s="1">
        <v>1</v>
      </c>
      <c r="AR601" s="1">
        <v>3</v>
      </c>
      <c r="AT601" s="15" t="s">
        <v>576</v>
      </c>
      <c r="AW601" s="15">
        <f>AW557/7</f>
        <v>1607.1428571428571</v>
      </c>
      <c r="AX601" s="15">
        <f t="shared" si="539"/>
        <v>1607.1428571428571</v>
      </c>
      <c r="AY601" s="15" t="s">
        <v>766</v>
      </c>
      <c r="AZ601" s="15">
        <f t="shared" si="532"/>
        <v>1607.1428571428571</v>
      </c>
      <c r="BA601" s="15">
        <f t="shared" si="533"/>
        <v>0.5485129205265723</v>
      </c>
      <c r="BB601" s="15">
        <f t="shared" si="534"/>
        <v>964.28571428571422</v>
      </c>
      <c r="FK601" s="16">
        <f t="shared" si="527"/>
        <v>5.09</v>
      </c>
      <c r="FL601" s="16">
        <f t="shared" si="528"/>
        <v>6.13</v>
      </c>
      <c r="FM601" s="15">
        <v>5.09</v>
      </c>
      <c r="FN601" s="15">
        <f t="shared" si="542"/>
        <v>0.2545</v>
      </c>
      <c r="FO601" s="15">
        <f>FN601*SQRT(AR601)</f>
        <v>0.44080693052627923</v>
      </c>
      <c r="FP601" s="15">
        <v>6.13</v>
      </c>
      <c r="FQ601" s="15">
        <f t="shared" si="551"/>
        <v>0.30649999999999999</v>
      </c>
      <c r="FR601" s="15">
        <f>FQ601*SQRT(AR601)</f>
        <v>0.53087357251986089</v>
      </c>
      <c r="FS601" s="15">
        <f t="shared" si="552"/>
        <v>1.2043222003929273</v>
      </c>
      <c r="FT601" s="15">
        <f t="shared" si="553"/>
        <v>1.04</v>
      </c>
      <c r="FU601" s="15">
        <f t="shared" si="531"/>
        <v>0.18591691938568866</v>
      </c>
      <c r="FV601" s="15">
        <f>((FR601*FR601)/(AR601*FP601*FP601)+(FO601*FO601)/(AR601*FM601*FM601))</f>
        <v>4.9999999999999992E-3</v>
      </c>
      <c r="HE601" s="15">
        <v>590</v>
      </c>
      <c r="HF601" s="15">
        <f t="shared" si="537"/>
        <v>29.5</v>
      </c>
      <c r="HG601" s="15">
        <f>HF601*SQRT(AR291)</f>
        <v>51.095498823281879</v>
      </c>
      <c r="HH601" s="15">
        <v>650</v>
      </c>
      <c r="HI601" s="15">
        <f t="shared" si="538"/>
        <v>32.5</v>
      </c>
      <c r="HJ601" s="15">
        <f>HI601*SQRT(AR291)</f>
        <v>56.291651245988511</v>
      </c>
      <c r="HK601" s="15">
        <f t="shared" si="546"/>
        <v>1.1016949152542372</v>
      </c>
      <c r="HL601" s="15">
        <f t="shared" si="547"/>
        <v>60</v>
      </c>
      <c r="HM601" s="15">
        <f t="shared" si="548"/>
        <v>9.6849825989917981E-2</v>
      </c>
      <c r="HN601" s="15">
        <f>((HJ601*HJ601)/(AR291*HH601*HH601)+(HG601*HG601)/(AR291*HE601*HE601))</f>
        <v>5.0000000000000001E-3</v>
      </c>
      <c r="HP601" s="15" t="s">
        <v>766</v>
      </c>
      <c r="HV601" s="15">
        <f t="shared" si="549"/>
        <v>99.56504355372779</v>
      </c>
      <c r="HW601" s="15">
        <f t="shared" si="550"/>
        <v>9.6849825989917981E-2</v>
      </c>
      <c r="HX601" s="15">
        <f>BB601</f>
        <v>964.28571428571422</v>
      </c>
      <c r="HY601" s="15">
        <f>AZ601</f>
        <v>1607.1428571428571</v>
      </c>
      <c r="HZ601" s="15">
        <f>BA601</f>
        <v>0.5485129205265723</v>
      </c>
      <c r="IA601" s="15">
        <f>BB601</f>
        <v>964.28571428571422</v>
      </c>
    </row>
    <row r="602" spans="1:235" s="15" customFormat="1" x14ac:dyDescent="0.25">
      <c r="A602" s="31">
        <v>600</v>
      </c>
      <c r="B602" s="1">
        <v>95</v>
      </c>
      <c r="C602" s="1">
        <v>113</v>
      </c>
      <c r="D602" s="15" t="s">
        <v>1454</v>
      </c>
      <c r="E602" s="1">
        <v>1</v>
      </c>
      <c r="F602" s="15" t="s">
        <v>761</v>
      </c>
      <c r="G602" s="15" t="s">
        <v>1427</v>
      </c>
      <c r="H602" s="15" t="s">
        <v>1428</v>
      </c>
      <c r="I602" s="1">
        <v>2004</v>
      </c>
      <c r="J602" s="15" t="s">
        <v>1263</v>
      </c>
      <c r="K602" s="1" t="s">
        <v>1429</v>
      </c>
      <c r="L602" s="15" t="s">
        <v>1362</v>
      </c>
      <c r="M602" s="15" t="s">
        <v>480</v>
      </c>
      <c r="N602" s="15" t="s">
        <v>520</v>
      </c>
      <c r="O602" s="31">
        <v>2</v>
      </c>
      <c r="P602" s="15">
        <v>29.17</v>
      </c>
      <c r="Q602" s="15">
        <v>119.18</v>
      </c>
      <c r="S602" s="15">
        <v>1333</v>
      </c>
      <c r="T602" s="15">
        <v>17.100000000000001</v>
      </c>
      <c r="U602" s="15" t="s">
        <v>549</v>
      </c>
      <c r="V602" s="31">
        <v>1</v>
      </c>
      <c r="W602" s="15" t="s">
        <v>1430</v>
      </c>
      <c r="X602" s="15" t="s">
        <v>1195</v>
      </c>
      <c r="Y602" s="1">
        <v>5</v>
      </c>
      <c r="Z602" s="15">
        <v>4.8600000000000003</v>
      </c>
      <c r="AA602" s="15" t="s">
        <v>574</v>
      </c>
      <c r="AB602" s="15">
        <f t="shared" si="541"/>
        <v>4.8600000000000003</v>
      </c>
      <c r="AC602" s="1">
        <v>2</v>
      </c>
      <c r="AD602" s="15">
        <v>3.3</v>
      </c>
      <c r="AF602" s="15">
        <v>5.76</v>
      </c>
      <c r="AH602" s="15">
        <v>6</v>
      </c>
      <c r="AJ602" s="15">
        <v>44.2</v>
      </c>
      <c r="AM602" s="1">
        <v>1</v>
      </c>
      <c r="AP602" s="15" t="s">
        <v>1431</v>
      </c>
      <c r="AQ602" s="1">
        <v>1</v>
      </c>
      <c r="AR602" s="1">
        <v>3</v>
      </c>
      <c r="AT602" s="15" t="s">
        <v>576</v>
      </c>
      <c r="AW602" s="15">
        <f>AW558/7</f>
        <v>2142.8571428571427</v>
      </c>
      <c r="AX602" s="15">
        <f t="shared" si="539"/>
        <v>2142.8571428571427</v>
      </c>
      <c r="AY602" s="15" t="s">
        <v>766</v>
      </c>
      <c r="AZ602" s="15">
        <f t="shared" si="532"/>
        <v>2142.8571428571427</v>
      </c>
      <c r="BA602" s="15">
        <f t="shared" si="533"/>
        <v>0.73135056070209647</v>
      </c>
      <c r="BB602" s="15">
        <f t="shared" si="534"/>
        <v>1285.7142857142856</v>
      </c>
      <c r="FK602" s="16">
        <f t="shared" si="527"/>
        <v>5.09</v>
      </c>
      <c r="FL602" s="16">
        <f t="shared" si="528"/>
        <v>6.83</v>
      </c>
      <c r="FM602" s="15">
        <v>5.09</v>
      </c>
      <c r="FN602" s="15">
        <f t="shared" si="542"/>
        <v>0.2545</v>
      </c>
      <c r="FO602" s="15">
        <f>FN602*SQRT(AR602)</f>
        <v>0.44080693052627923</v>
      </c>
      <c r="FP602" s="15">
        <v>6.83</v>
      </c>
      <c r="FQ602" s="15">
        <f t="shared" si="551"/>
        <v>0.34150000000000003</v>
      </c>
      <c r="FR602" s="15">
        <f>FQ602*SQRT(AR602)</f>
        <v>0.59149535078477156</v>
      </c>
      <c r="FS602" s="15">
        <f t="shared" si="552"/>
        <v>1.3418467583497053</v>
      </c>
      <c r="FT602" s="15">
        <f t="shared" si="553"/>
        <v>1.7400000000000002</v>
      </c>
      <c r="FU602" s="15">
        <f t="shared" si="531"/>
        <v>0.2940468430202674</v>
      </c>
      <c r="FV602" s="15">
        <f>((FR602*FR602)/(AR602*FP602*FP602)+(FO602*FO602)/(AR602*FM602*FM602))</f>
        <v>4.9999999999999984E-3</v>
      </c>
      <c r="HE602" s="15">
        <v>590</v>
      </c>
      <c r="HF602" s="15">
        <f t="shared" si="537"/>
        <v>29.5</v>
      </c>
      <c r="HG602" s="15">
        <f>HF602*SQRT(AR292)</f>
        <v>51.095498823281879</v>
      </c>
      <c r="HH602" s="15">
        <v>750</v>
      </c>
      <c r="HI602" s="15">
        <f t="shared" si="538"/>
        <v>37.5</v>
      </c>
      <c r="HJ602" s="15">
        <f>HI602*SQRT(AR292)</f>
        <v>64.9519052838329</v>
      </c>
      <c r="HK602" s="15">
        <f t="shared" si="546"/>
        <v>1.271186440677966</v>
      </c>
      <c r="HL602" s="15">
        <f t="shared" si="547"/>
        <v>160</v>
      </c>
      <c r="HM602" s="15">
        <f t="shared" si="548"/>
        <v>0.23995066963059131</v>
      </c>
      <c r="HN602" s="15">
        <f>((HJ602*HJ602)/(AR292*HH602*HH602)+(HG602*HG602)/(AR292*HE602*HE602))</f>
        <v>5.0000000000000001E-3</v>
      </c>
      <c r="HP602" s="15" t="s">
        <v>766</v>
      </c>
      <c r="HV602" s="15">
        <f t="shared" si="549"/>
        <v>53.582442078351669</v>
      </c>
      <c r="HW602" s="15">
        <f t="shared" si="550"/>
        <v>0.23995066963059131</v>
      </c>
      <c r="HX602" s="15">
        <f>BB602</f>
        <v>1285.7142857142856</v>
      </c>
      <c r="HY602" s="15">
        <f>AZ602</f>
        <v>2142.8571428571427</v>
      </c>
      <c r="HZ602" s="15">
        <f>BA602</f>
        <v>0.73135056070209647</v>
      </c>
      <c r="IA602" s="15">
        <f>BB602</f>
        <v>1285.7142857142856</v>
      </c>
    </row>
    <row r="603" spans="1:235" s="15" customFormat="1" x14ac:dyDescent="0.25">
      <c r="A603" s="31">
        <v>601</v>
      </c>
      <c r="B603" s="1">
        <v>95</v>
      </c>
      <c r="C603" s="1">
        <v>113</v>
      </c>
      <c r="D603" s="15" t="s">
        <v>1455</v>
      </c>
      <c r="E603" s="1">
        <v>1</v>
      </c>
      <c r="F603" s="15" t="s">
        <v>761</v>
      </c>
      <c r="G603" s="15" t="s">
        <v>1427</v>
      </c>
      <c r="H603" s="15" t="s">
        <v>1428</v>
      </c>
      <c r="I603" s="1">
        <v>2004</v>
      </c>
      <c r="J603" s="15" t="s">
        <v>1263</v>
      </c>
      <c r="K603" s="1" t="s">
        <v>1429</v>
      </c>
      <c r="L603" s="15" t="s">
        <v>1362</v>
      </c>
      <c r="M603" s="15" t="s">
        <v>480</v>
      </c>
      <c r="N603" s="15" t="s">
        <v>520</v>
      </c>
      <c r="O603" s="31">
        <v>2</v>
      </c>
      <c r="P603" s="15">
        <v>29.17</v>
      </c>
      <c r="Q603" s="15">
        <v>119.18</v>
      </c>
      <c r="S603" s="15">
        <v>1333</v>
      </c>
      <c r="T603" s="15">
        <v>17.100000000000001</v>
      </c>
      <c r="U603" s="15" t="s">
        <v>549</v>
      </c>
      <c r="V603" s="31">
        <v>1</v>
      </c>
      <c r="W603" s="15" t="s">
        <v>1430</v>
      </c>
      <c r="X603" s="15" t="s">
        <v>1439</v>
      </c>
      <c r="Y603" s="1">
        <v>5</v>
      </c>
      <c r="Z603" s="15">
        <v>4.8600000000000003</v>
      </c>
      <c r="AA603" s="15" t="s">
        <v>574</v>
      </c>
      <c r="AB603" s="15">
        <f t="shared" si="541"/>
        <v>4.8600000000000003</v>
      </c>
      <c r="AC603" s="1">
        <v>2</v>
      </c>
      <c r="AD603" s="15">
        <v>3.3</v>
      </c>
      <c r="AF603" s="15">
        <v>5.76</v>
      </c>
      <c r="AH603" s="15">
        <v>6</v>
      </c>
      <c r="AJ603" s="15">
        <v>44.2</v>
      </c>
      <c r="AM603" s="1">
        <v>1</v>
      </c>
      <c r="AP603" s="15" t="s">
        <v>1431</v>
      </c>
      <c r="AQ603" s="1">
        <v>1</v>
      </c>
      <c r="AR603" s="1">
        <v>3</v>
      </c>
      <c r="AT603" s="15" t="s">
        <v>576</v>
      </c>
      <c r="AW603" s="15">
        <v>535.71428571428567</v>
      </c>
      <c r="AX603" s="15">
        <f t="shared" si="539"/>
        <v>535.71428571428567</v>
      </c>
      <c r="AY603" s="15" t="s">
        <v>766</v>
      </c>
      <c r="AZ603" s="15">
        <f t="shared" si="532"/>
        <v>535.71428571428567</v>
      </c>
      <c r="BA603" s="15">
        <f t="shared" si="533"/>
        <v>0.18283764017552412</v>
      </c>
      <c r="BB603" s="15">
        <f t="shared" si="534"/>
        <v>321.42857142857139</v>
      </c>
      <c r="FK603" s="16">
        <f t="shared" si="527"/>
        <v>5.09</v>
      </c>
      <c r="FL603" s="16">
        <f t="shared" si="528"/>
        <v>5.46</v>
      </c>
      <c r="FM603" s="15">
        <v>5.09</v>
      </c>
      <c r="FN603" s="15">
        <f t="shared" si="542"/>
        <v>0.2545</v>
      </c>
      <c r="FO603" s="15">
        <f>FN603*SQRT(AR603)</f>
        <v>0.44080693052627923</v>
      </c>
      <c r="FP603" s="15">
        <v>5.46</v>
      </c>
      <c r="FQ603" s="15">
        <f t="shared" si="551"/>
        <v>0.27300000000000002</v>
      </c>
      <c r="FR603" s="15">
        <f>FQ603*SQRT(AR603)</f>
        <v>0.4728498704663035</v>
      </c>
      <c r="FS603" s="15">
        <f t="shared" si="552"/>
        <v>1.0726915520628684</v>
      </c>
      <c r="FT603" s="15">
        <f t="shared" si="553"/>
        <v>0.37000000000000011</v>
      </c>
      <c r="FU603" s="15">
        <f t="shared" si="531"/>
        <v>7.017095919438221E-2</v>
      </c>
      <c r="FV603" s="15">
        <f>((FR603*FR603)/(AR603*FP603*FP603)+(FO603*FO603)/(AR603*FM603*FM603))</f>
        <v>4.9999999999999992E-3</v>
      </c>
      <c r="HE603" s="15">
        <v>930</v>
      </c>
      <c r="HF603" s="15">
        <f t="shared" si="537"/>
        <v>46.5</v>
      </c>
      <c r="HG603" s="15">
        <f>HF603*SQRT(AR293)</f>
        <v>80.540362551952796</v>
      </c>
      <c r="HH603" s="15">
        <v>1250</v>
      </c>
      <c r="HI603" s="15">
        <f t="shared" si="538"/>
        <v>62.5</v>
      </c>
      <c r="HJ603" s="15">
        <f>HI603*SQRT(AR293)</f>
        <v>108.25317547305482</v>
      </c>
      <c r="HK603" s="15">
        <f t="shared" si="546"/>
        <v>1.3440860215053763</v>
      </c>
      <c r="HL603" s="15">
        <f t="shared" si="547"/>
        <v>320</v>
      </c>
      <c r="HM603" s="15">
        <f t="shared" si="548"/>
        <v>0.29571424414904524</v>
      </c>
      <c r="HN603" s="15">
        <f>((HJ603*HJ603)/(AR293*HH603*HH603)+(HG603*HG603)/(AR293*HE603*HE603))</f>
        <v>4.9999999999999992E-3</v>
      </c>
      <c r="HP603" s="15" t="s">
        <v>766</v>
      </c>
      <c r="HV603" s="15">
        <f t="shared" si="549"/>
        <v>10.86956674520439</v>
      </c>
      <c r="HW603" s="15">
        <f t="shared" si="550"/>
        <v>0.29571424414904524</v>
      </c>
      <c r="HX603" s="15">
        <f>BB603</f>
        <v>321.42857142857139</v>
      </c>
      <c r="HY603" s="15">
        <f>AZ603</f>
        <v>535.71428571428567</v>
      </c>
      <c r="HZ603" s="15">
        <f>BA603</f>
        <v>0.18283764017552412</v>
      </c>
      <c r="IA603" s="15">
        <f>BB603</f>
        <v>321.42857142857139</v>
      </c>
    </row>
    <row r="604" spans="1:235" s="15" customFormat="1" x14ac:dyDescent="0.25">
      <c r="A604" s="31">
        <v>602</v>
      </c>
      <c r="B604" s="1">
        <v>95</v>
      </c>
      <c r="C604" s="1">
        <v>113</v>
      </c>
      <c r="D604" s="15" t="s">
        <v>1456</v>
      </c>
      <c r="E604" s="1">
        <v>1</v>
      </c>
      <c r="F604" s="15" t="s">
        <v>761</v>
      </c>
      <c r="G604" s="15" t="s">
        <v>1427</v>
      </c>
      <c r="H604" s="15" t="s">
        <v>1428</v>
      </c>
      <c r="I604" s="1">
        <v>2004</v>
      </c>
      <c r="J604" s="15" t="s">
        <v>1263</v>
      </c>
      <c r="K604" s="1" t="s">
        <v>1429</v>
      </c>
      <c r="L604" s="15" t="s">
        <v>1362</v>
      </c>
      <c r="M604" s="15" t="s">
        <v>480</v>
      </c>
      <c r="N604" s="15" t="s">
        <v>520</v>
      </c>
      <c r="O604" s="31">
        <v>2</v>
      </c>
      <c r="P604" s="15">
        <v>29.17</v>
      </c>
      <c r="Q604" s="15">
        <v>119.18</v>
      </c>
      <c r="S604" s="15">
        <v>1333</v>
      </c>
      <c r="T604" s="15">
        <v>17.100000000000001</v>
      </c>
      <c r="U604" s="15" t="s">
        <v>549</v>
      </c>
      <c r="V604" s="31">
        <v>1</v>
      </c>
      <c r="W604" s="15" t="s">
        <v>1430</v>
      </c>
      <c r="X604" s="15" t="s">
        <v>1439</v>
      </c>
      <c r="Y604" s="1">
        <v>5</v>
      </c>
      <c r="Z604" s="15">
        <v>4.8600000000000003</v>
      </c>
      <c r="AA604" s="15" t="s">
        <v>574</v>
      </c>
      <c r="AB604" s="15">
        <f t="shared" si="541"/>
        <v>4.8600000000000003</v>
      </c>
      <c r="AC604" s="1">
        <v>2</v>
      </c>
      <c r="AD604" s="15">
        <v>3.3</v>
      </c>
      <c r="AF604" s="15">
        <v>5.76</v>
      </c>
      <c r="AH604" s="15">
        <v>6</v>
      </c>
      <c r="AJ604" s="15">
        <v>44.2</v>
      </c>
      <c r="AM604" s="1">
        <v>1</v>
      </c>
      <c r="AP604" s="15" t="s">
        <v>1431</v>
      </c>
      <c r="AQ604" s="1">
        <v>1</v>
      </c>
      <c r="AR604" s="1">
        <v>3</v>
      </c>
      <c r="AT604" s="15" t="s">
        <v>576</v>
      </c>
      <c r="AW604" s="15">
        <v>1071.4285714285713</v>
      </c>
      <c r="AX604" s="15">
        <f t="shared" si="539"/>
        <v>1071.4285714285713</v>
      </c>
      <c r="AY604" s="15" t="s">
        <v>766</v>
      </c>
      <c r="AZ604" s="15">
        <f t="shared" si="532"/>
        <v>1071.4285714285713</v>
      </c>
      <c r="BA604" s="15">
        <f t="shared" si="533"/>
        <v>0.36567528035104824</v>
      </c>
      <c r="BB604" s="15">
        <f t="shared" si="534"/>
        <v>642.85714285714278</v>
      </c>
      <c r="FK604" s="16">
        <f t="shared" si="527"/>
        <v>5.09</v>
      </c>
      <c r="FL604" s="16">
        <f t="shared" si="528"/>
        <v>5.82</v>
      </c>
      <c r="FM604" s="15">
        <v>5.09</v>
      </c>
      <c r="FN604" s="15">
        <f t="shared" si="542"/>
        <v>0.2545</v>
      </c>
      <c r="FO604" s="15">
        <f>FN604*SQRT(AR604)</f>
        <v>0.44080693052627923</v>
      </c>
      <c r="FP604" s="15">
        <v>5.82</v>
      </c>
      <c r="FQ604" s="15">
        <f t="shared" si="551"/>
        <v>0.29100000000000004</v>
      </c>
      <c r="FR604" s="15">
        <f>FQ604*SQRT(AR604)</f>
        <v>0.50402678500254328</v>
      </c>
      <c r="FS604" s="15">
        <f t="shared" si="552"/>
        <v>1.1434184675834971</v>
      </c>
      <c r="FT604" s="15">
        <f t="shared" si="553"/>
        <v>0.73000000000000043</v>
      </c>
      <c r="FU604" s="15">
        <f t="shared" si="531"/>
        <v>0.13402243118091506</v>
      </c>
      <c r="FV604" s="15">
        <f>((FR604*FR604)/(AR604*FP604*FP604)+(FO604*FO604)/(AR604*FM604*FM604))</f>
        <v>4.9999999999999984E-3</v>
      </c>
      <c r="HE604" s="15">
        <v>930</v>
      </c>
      <c r="HF604" s="15">
        <f t="shared" si="537"/>
        <v>46.5</v>
      </c>
      <c r="HG604" s="15">
        <f>HF604*SQRT(AR294)</f>
        <v>80.540362551952796</v>
      </c>
      <c r="HH604" s="15">
        <v>1320</v>
      </c>
      <c r="HI604" s="15">
        <f t="shared" si="538"/>
        <v>66</v>
      </c>
      <c r="HJ604" s="15">
        <f>HI604*SQRT(AR294)</f>
        <v>114.31535329954589</v>
      </c>
      <c r="HK604" s="15">
        <f t="shared" si="546"/>
        <v>1.4193548387096775</v>
      </c>
      <c r="HL604" s="15">
        <f t="shared" si="547"/>
        <v>390</v>
      </c>
      <c r="HM604" s="15">
        <f t="shared" si="548"/>
        <v>0.35020242943311519</v>
      </c>
      <c r="HN604" s="15">
        <f>((HJ604*HJ604)/(AR294*HH604*HH604)+(HG604*HG604)/(AR294*HE604*HE604))</f>
        <v>4.9999999999999992E-3</v>
      </c>
      <c r="HP604" s="15" t="s">
        <v>766</v>
      </c>
      <c r="HV604" s="15">
        <f t="shared" si="549"/>
        <v>18.356729960376285</v>
      </c>
      <c r="HW604" s="15">
        <f t="shared" si="550"/>
        <v>0.35020242943311519</v>
      </c>
      <c r="HX604" s="15">
        <f>BB604</f>
        <v>642.85714285714278</v>
      </c>
      <c r="HY604" s="15">
        <f>AZ604</f>
        <v>1071.4285714285713</v>
      </c>
      <c r="HZ604" s="15">
        <f>BA604</f>
        <v>0.36567528035104824</v>
      </c>
      <c r="IA604" s="15">
        <f>BB604</f>
        <v>642.85714285714278</v>
      </c>
    </row>
    <row r="605" spans="1:235" s="15" customFormat="1" x14ac:dyDescent="0.25">
      <c r="A605" s="31">
        <v>603</v>
      </c>
      <c r="B605" s="1">
        <v>95</v>
      </c>
      <c r="C605" s="1">
        <v>113</v>
      </c>
      <c r="D605" s="15" t="s">
        <v>1457</v>
      </c>
      <c r="E605" s="1">
        <v>1</v>
      </c>
      <c r="F605" s="15" t="s">
        <v>761</v>
      </c>
      <c r="G605" s="15" t="s">
        <v>1427</v>
      </c>
      <c r="H605" s="15" t="s">
        <v>1428</v>
      </c>
      <c r="I605" s="1">
        <v>2004</v>
      </c>
      <c r="J605" s="15" t="s">
        <v>1263</v>
      </c>
      <c r="K605" s="1" t="s">
        <v>1429</v>
      </c>
      <c r="L605" s="15" t="s">
        <v>1362</v>
      </c>
      <c r="M605" s="15" t="s">
        <v>480</v>
      </c>
      <c r="N605" s="15" t="s">
        <v>520</v>
      </c>
      <c r="O605" s="31">
        <v>2</v>
      </c>
      <c r="P605" s="15">
        <v>29.17</v>
      </c>
      <c r="Q605" s="15">
        <v>119.18</v>
      </c>
      <c r="S605" s="15">
        <v>1333</v>
      </c>
      <c r="T605" s="15">
        <v>17.100000000000001</v>
      </c>
      <c r="U605" s="15" t="s">
        <v>549</v>
      </c>
      <c r="V605" s="31">
        <v>1</v>
      </c>
      <c r="W605" s="15" t="s">
        <v>1430</v>
      </c>
      <c r="X605" s="15" t="s">
        <v>1439</v>
      </c>
      <c r="Y605" s="1">
        <v>5</v>
      </c>
      <c r="Z605" s="15">
        <v>4.8600000000000003</v>
      </c>
      <c r="AA605" s="15" t="s">
        <v>574</v>
      </c>
      <c r="AB605" s="15">
        <f t="shared" si="541"/>
        <v>4.8600000000000003</v>
      </c>
      <c r="AC605" s="1">
        <v>2</v>
      </c>
      <c r="AD605" s="15">
        <v>3.3</v>
      </c>
      <c r="AF605" s="15">
        <v>5.76</v>
      </c>
      <c r="AH605" s="15">
        <v>6</v>
      </c>
      <c r="AJ605" s="15">
        <v>44.2</v>
      </c>
      <c r="AM605" s="1">
        <v>1</v>
      </c>
      <c r="AP605" s="15" t="s">
        <v>1431</v>
      </c>
      <c r="AQ605" s="1">
        <v>1</v>
      </c>
      <c r="AR605" s="1">
        <v>3</v>
      </c>
      <c r="AT605" s="15" t="s">
        <v>576</v>
      </c>
      <c r="AW605" s="15">
        <v>1607.1428571428571</v>
      </c>
      <c r="AX605" s="15">
        <f t="shared" si="539"/>
        <v>1607.1428571428571</v>
      </c>
      <c r="AY605" s="15" t="s">
        <v>766</v>
      </c>
      <c r="AZ605" s="15">
        <f t="shared" si="532"/>
        <v>1607.1428571428571</v>
      </c>
      <c r="BA605" s="15">
        <f t="shared" si="533"/>
        <v>0.5485129205265723</v>
      </c>
      <c r="BB605" s="15">
        <f t="shared" si="534"/>
        <v>964.28571428571422</v>
      </c>
      <c r="FK605" s="16">
        <f t="shared" si="527"/>
        <v>5.09</v>
      </c>
      <c r="FL605" s="16">
        <f t="shared" si="528"/>
        <v>6.13</v>
      </c>
      <c r="FM605" s="15">
        <v>5.09</v>
      </c>
      <c r="FN605" s="15">
        <f t="shared" si="542"/>
        <v>0.2545</v>
      </c>
      <c r="FO605" s="15">
        <f>FN605*SQRT(AR605)</f>
        <v>0.44080693052627923</v>
      </c>
      <c r="FP605" s="15">
        <v>6.13</v>
      </c>
      <c r="FQ605" s="15">
        <f t="shared" si="551"/>
        <v>0.30649999999999999</v>
      </c>
      <c r="FR605" s="15">
        <f>FQ605*SQRT(AR605)</f>
        <v>0.53087357251986089</v>
      </c>
      <c r="FS605" s="15">
        <f t="shared" si="552"/>
        <v>1.2043222003929273</v>
      </c>
      <c r="FT605" s="15">
        <f t="shared" si="553"/>
        <v>1.04</v>
      </c>
      <c r="FU605" s="15">
        <f t="shared" si="531"/>
        <v>0.18591691938568866</v>
      </c>
      <c r="FV605" s="15">
        <f>((FR605*FR605)/(AR605*FP605*FP605)+(FO605*FO605)/(AR605*FM605*FM605))</f>
        <v>4.9999999999999992E-3</v>
      </c>
      <c r="HE605" s="15">
        <v>930</v>
      </c>
      <c r="HF605" s="15">
        <f t="shared" si="537"/>
        <v>46.5</v>
      </c>
      <c r="HG605" s="15">
        <f>HF605*SQRT(AR295)</f>
        <v>80.540362551952796</v>
      </c>
      <c r="HH605" s="15">
        <v>1340</v>
      </c>
      <c r="HI605" s="15">
        <f t="shared" si="538"/>
        <v>67</v>
      </c>
      <c r="HJ605" s="15">
        <f>HI605*SQRT(AR295)</f>
        <v>116.04740410711477</v>
      </c>
      <c r="HK605" s="15">
        <f t="shared" si="546"/>
        <v>1.4408602150537635</v>
      </c>
      <c r="HL605" s="15">
        <f t="shared" si="547"/>
        <v>410</v>
      </c>
      <c r="HM605" s="15">
        <f t="shared" si="548"/>
        <v>0.36524030679765573</v>
      </c>
      <c r="HN605" s="15">
        <f>((HJ605*HJ605)/(AR295*HH605*HH605)+(HG605*HG605)/(AR295*HE605*HE605))</f>
        <v>4.9999999999999992E-3</v>
      </c>
      <c r="HP605" s="15" t="s">
        <v>766</v>
      </c>
      <c r="HV605" s="15">
        <f t="shared" si="549"/>
        <v>26.401404673551855</v>
      </c>
      <c r="HW605" s="15">
        <f t="shared" si="550"/>
        <v>0.36524030679765573</v>
      </c>
      <c r="HX605" s="15">
        <f>BB605</f>
        <v>964.28571428571422</v>
      </c>
      <c r="HY605" s="15">
        <f>AZ605</f>
        <v>1607.1428571428571</v>
      </c>
      <c r="HZ605" s="15">
        <f>BA605</f>
        <v>0.5485129205265723</v>
      </c>
      <c r="IA605" s="15">
        <f>BB605</f>
        <v>964.28571428571422</v>
      </c>
    </row>
    <row r="606" spans="1:235" s="15" customFormat="1" x14ac:dyDescent="0.25">
      <c r="A606" s="31">
        <v>604</v>
      </c>
      <c r="B606" s="1">
        <v>95</v>
      </c>
      <c r="C606" s="1">
        <v>113</v>
      </c>
      <c r="D606" s="15" t="s">
        <v>1458</v>
      </c>
      <c r="E606" s="1">
        <v>1</v>
      </c>
      <c r="F606" s="15" t="s">
        <v>761</v>
      </c>
      <c r="G606" s="15" t="s">
        <v>1427</v>
      </c>
      <c r="H606" s="15" t="s">
        <v>1428</v>
      </c>
      <c r="I606" s="1">
        <v>2004</v>
      </c>
      <c r="J606" s="15" t="s">
        <v>1263</v>
      </c>
      <c r="K606" s="1" t="s">
        <v>1429</v>
      </c>
      <c r="L606" s="15" t="s">
        <v>1362</v>
      </c>
      <c r="M606" s="15" t="s">
        <v>480</v>
      </c>
      <c r="N606" s="15" t="s">
        <v>520</v>
      </c>
      <c r="O606" s="31">
        <v>2</v>
      </c>
      <c r="P606" s="15">
        <v>29.17</v>
      </c>
      <c r="Q606" s="15">
        <v>119.18</v>
      </c>
      <c r="S606" s="15">
        <v>1333</v>
      </c>
      <c r="T606" s="15">
        <v>17.100000000000001</v>
      </c>
      <c r="U606" s="15" t="s">
        <v>549</v>
      </c>
      <c r="V606" s="31">
        <v>1</v>
      </c>
      <c r="W606" s="15" t="s">
        <v>1430</v>
      </c>
      <c r="X606" s="15" t="s">
        <v>1439</v>
      </c>
      <c r="Y606" s="1">
        <v>5</v>
      </c>
      <c r="Z606" s="15">
        <v>4.8600000000000003</v>
      </c>
      <c r="AA606" s="15" t="s">
        <v>574</v>
      </c>
      <c r="AB606" s="15">
        <f t="shared" si="541"/>
        <v>4.8600000000000003</v>
      </c>
      <c r="AC606" s="1">
        <v>2</v>
      </c>
      <c r="AD606" s="15">
        <v>3.3</v>
      </c>
      <c r="AF606" s="15">
        <v>5.76</v>
      </c>
      <c r="AH606" s="15">
        <v>6</v>
      </c>
      <c r="AJ606" s="15">
        <v>44.2</v>
      </c>
      <c r="AM606" s="1">
        <v>1</v>
      </c>
      <c r="AP606" s="15" t="s">
        <v>1431</v>
      </c>
      <c r="AQ606" s="1">
        <v>1</v>
      </c>
      <c r="AR606" s="1">
        <v>3</v>
      </c>
      <c r="AT606" s="15" t="s">
        <v>576</v>
      </c>
      <c r="AW606" s="15">
        <v>2142.8571428571427</v>
      </c>
      <c r="AX606" s="15">
        <f t="shared" si="539"/>
        <v>2142.8571428571427</v>
      </c>
      <c r="AY606" s="15" t="s">
        <v>766</v>
      </c>
      <c r="AZ606" s="15">
        <f t="shared" si="532"/>
        <v>2142.8571428571427</v>
      </c>
      <c r="BA606" s="15">
        <f t="shared" si="533"/>
        <v>0.73135056070209647</v>
      </c>
      <c r="BB606" s="15">
        <f t="shared" si="534"/>
        <v>1285.7142857142856</v>
      </c>
      <c r="FK606" s="16">
        <f t="shared" si="527"/>
        <v>5.09</v>
      </c>
      <c r="FL606" s="16">
        <f t="shared" si="528"/>
        <v>6.83</v>
      </c>
      <c r="FM606" s="15">
        <v>5.09</v>
      </c>
      <c r="FN606" s="15">
        <f t="shared" si="542"/>
        <v>0.2545</v>
      </c>
      <c r="FO606" s="15">
        <f>FN606*SQRT(AR606)</f>
        <v>0.44080693052627923</v>
      </c>
      <c r="FP606" s="15">
        <v>6.83</v>
      </c>
      <c r="FQ606" s="15">
        <f t="shared" si="551"/>
        <v>0.34150000000000003</v>
      </c>
      <c r="FR606" s="15">
        <f>FQ606*SQRT(AR606)</f>
        <v>0.59149535078477156</v>
      </c>
      <c r="FS606" s="15">
        <f t="shared" si="552"/>
        <v>1.3418467583497053</v>
      </c>
      <c r="FT606" s="15">
        <f t="shared" si="553"/>
        <v>1.7400000000000002</v>
      </c>
      <c r="FU606" s="15">
        <f t="shared" si="531"/>
        <v>0.2940468430202674</v>
      </c>
      <c r="FV606" s="15">
        <f>((FR606*FR606)/(AR606*FP606*FP606)+(FO606*FO606)/(AR606*FM606*FM606))</f>
        <v>4.9999999999999984E-3</v>
      </c>
      <c r="HE606" s="15">
        <v>930</v>
      </c>
      <c r="HF606" s="15">
        <f t="shared" si="537"/>
        <v>46.5</v>
      </c>
      <c r="HG606" s="15">
        <f>HF606*SQRT(AR296)</f>
        <v>80.540362551952796</v>
      </c>
      <c r="HH606" s="15">
        <v>1280</v>
      </c>
      <c r="HI606" s="15">
        <f t="shared" si="538"/>
        <v>64</v>
      </c>
      <c r="HJ606" s="15">
        <f>HI606*SQRT(AR296)</f>
        <v>110.85125168440814</v>
      </c>
      <c r="HK606" s="15">
        <f t="shared" si="546"/>
        <v>1.3763440860215055</v>
      </c>
      <c r="HL606" s="15">
        <f t="shared" si="547"/>
        <v>350</v>
      </c>
      <c r="HM606" s="15">
        <f t="shared" si="548"/>
        <v>0.3194307707663615</v>
      </c>
      <c r="HN606" s="15">
        <f>((HJ606*HJ606)/(AR296*HH606*HH606)+(HG606*HG606)/(AR296*HE606*HE606))</f>
        <v>4.9999999999999992E-3</v>
      </c>
      <c r="HP606" s="15" t="s">
        <v>766</v>
      </c>
      <c r="HV606" s="15">
        <f t="shared" si="549"/>
        <v>40.250170095688262</v>
      </c>
      <c r="HW606" s="15">
        <f t="shared" si="550"/>
        <v>0.3194307707663615</v>
      </c>
      <c r="HX606" s="15">
        <f>BB606</f>
        <v>1285.7142857142856</v>
      </c>
      <c r="HY606" s="15">
        <f>AZ606</f>
        <v>2142.8571428571427</v>
      </c>
      <c r="HZ606" s="15">
        <f>BA606</f>
        <v>0.73135056070209647</v>
      </c>
      <c r="IA606" s="15">
        <f>BB606</f>
        <v>1285.7142857142856</v>
      </c>
    </row>
    <row r="607" spans="1:235" s="15" customFormat="1" x14ac:dyDescent="0.25">
      <c r="A607" s="31">
        <v>605</v>
      </c>
      <c r="B607" s="1">
        <v>95</v>
      </c>
      <c r="C607" s="1">
        <v>113</v>
      </c>
      <c r="D607" s="15" t="s">
        <v>1459</v>
      </c>
      <c r="E607" s="1">
        <v>1</v>
      </c>
      <c r="F607" s="15" t="s">
        <v>761</v>
      </c>
      <c r="G607" s="15" t="s">
        <v>1427</v>
      </c>
      <c r="H607" s="15" t="s">
        <v>1428</v>
      </c>
      <c r="I607" s="1">
        <v>2004</v>
      </c>
      <c r="J607" s="15" t="s">
        <v>1263</v>
      </c>
      <c r="K607" s="1" t="s">
        <v>1429</v>
      </c>
      <c r="L607" s="15" t="s">
        <v>1362</v>
      </c>
      <c r="M607" s="15" t="s">
        <v>480</v>
      </c>
      <c r="N607" s="15" t="s">
        <v>520</v>
      </c>
      <c r="O607" s="31">
        <v>2</v>
      </c>
      <c r="P607" s="15">
        <v>29.17</v>
      </c>
      <c r="Q607" s="15">
        <v>119.18</v>
      </c>
      <c r="S607" s="15">
        <v>1333</v>
      </c>
      <c r="T607" s="15">
        <v>17.100000000000001</v>
      </c>
      <c r="U607" s="15" t="s">
        <v>549</v>
      </c>
      <c r="V607" s="31">
        <v>1</v>
      </c>
      <c r="W607" s="15" t="s">
        <v>1430</v>
      </c>
      <c r="X607" s="15" t="s">
        <v>1227</v>
      </c>
      <c r="Y607" s="61">
        <v>11</v>
      </c>
      <c r="Z607" s="15">
        <v>4.8600000000000003</v>
      </c>
      <c r="AA607" s="15" t="s">
        <v>574</v>
      </c>
      <c r="AB607" s="15">
        <f t="shared" si="541"/>
        <v>4.8600000000000003</v>
      </c>
      <c r="AC607" s="1">
        <v>2</v>
      </c>
      <c r="AD607" s="15">
        <v>3.3</v>
      </c>
      <c r="AF607" s="15">
        <v>5.76</v>
      </c>
      <c r="AH607" s="15">
        <v>6</v>
      </c>
      <c r="AJ607" s="15">
        <v>44.2</v>
      </c>
      <c r="AM607" s="1">
        <v>1</v>
      </c>
      <c r="AP607" s="15" t="s">
        <v>1431</v>
      </c>
      <c r="AQ607" s="1">
        <v>1</v>
      </c>
      <c r="AR607" s="1">
        <v>3</v>
      </c>
      <c r="AT607" s="15" t="s">
        <v>576</v>
      </c>
      <c r="AW607" s="15">
        <f>AW555/8</f>
        <v>468.75</v>
      </c>
      <c r="AX607" s="15">
        <f t="shared" si="539"/>
        <v>468.75</v>
      </c>
      <c r="AY607" s="15" t="s">
        <v>766</v>
      </c>
      <c r="AZ607" s="15">
        <f t="shared" si="532"/>
        <v>468.75</v>
      </c>
      <c r="BA607" s="15">
        <f t="shared" si="533"/>
        <v>0.15998293515358361</v>
      </c>
      <c r="BB607" s="15">
        <f t="shared" si="534"/>
        <v>281.25</v>
      </c>
      <c r="FK607" s="16">
        <f t="shared" si="527"/>
        <v>5.2</v>
      </c>
      <c r="FL607" s="16">
        <f t="shared" si="528"/>
        <v>5.51</v>
      </c>
      <c r="FM607" s="15">
        <v>5.2</v>
      </c>
      <c r="FN607" s="15">
        <f t="shared" si="542"/>
        <v>0.26</v>
      </c>
      <c r="FO607" s="15">
        <f>FN607*SQRT(AR607)</f>
        <v>0.4503332099679081</v>
      </c>
      <c r="FP607" s="15">
        <v>5.51</v>
      </c>
      <c r="FQ607" s="15">
        <f t="shared" si="551"/>
        <v>0.27550000000000002</v>
      </c>
      <c r="FR607" s="15">
        <f>FQ607*SQRT(AR607)</f>
        <v>0.47717999748522572</v>
      </c>
      <c r="FS607" s="15">
        <f t="shared" si="552"/>
        <v>1.0596153846153846</v>
      </c>
      <c r="FT607" s="15">
        <f t="shared" si="553"/>
        <v>0.30999999999999961</v>
      </c>
      <c r="FU607" s="15">
        <f t="shared" si="531"/>
        <v>5.7905997577441415E-2</v>
      </c>
      <c r="FV607" s="15">
        <f>((FR607*FR607)/(AR607*FP607*FP607)+(FO607*FO607)/(AR607*FM607*FM607))</f>
        <v>5.0000000000000001E-3</v>
      </c>
      <c r="HE607" s="15">
        <v>450</v>
      </c>
      <c r="HF607" s="15">
        <f t="shared" si="537"/>
        <v>22.5</v>
      </c>
      <c r="HG607" s="15">
        <f>HF607*SQRT(AR297)</f>
        <v>38.97114317029974</v>
      </c>
      <c r="HH607" s="15">
        <v>1640</v>
      </c>
      <c r="HI607" s="15">
        <f t="shared" si="538"/>
        <v>82</v>
      </c>
      <c r="HJ607" s="15">
        <f>HI607*SQRT(AR297)</f>
        <v>142.02816622064793</v>
      </c>
      <c r="HK607" s="15">
        <f t="shared" si="546"/>
        <v>3.6444444444444444</v>
      </c>
      <c r="HL607" s="15">
        <f t="shared" si="547"/>
        <v>1190</v>
      </c>
      <c r="HM607" s="15">
        <f t="shared" si="548"/>
        <v>1.2932039380538782</v>
      </c>
      <c r="HN607" s="15">
        <f>((HJ607*HJ607)/(AR297*HH607*HH607)+(HG607*HG607)/(AR297*HE607*HE607))</f>
        <v>5.0000000000000001E-3</v>
      </c>
      <c r="HP607" s="15" t="s">
        <v>766</v>
      </c>
      <c r="HV607" s="15">
        <f t="shared" si="549"/>
        <v>2.1748309893275501</v>
      </c>
      <c r="HW607" s="15">
        <f t="shared" si="550"/>
        <v>1.2932039380538782</v>
      </c>
      <c r="HX607" s="15">
        <f>BB607</f>
        <v>281.25</v>
      </c>
      <c r="HY607" s="15">
        <f>AZ607</f>
        <v>468.75</v>
      </c>
      <c r="HZ607" s="15">
        <f>BA607</f>
        <v>0.15998293515358361</v>
      </c>
      <c r="IA607" s="15">
        <f>BB607</f>
        <v>281.25</v>
      </c>
    </row>
    <row r="608" spans="1:235" s="15" customFormat="1" x14ac:dyDescent="0.25">
      <c r="A608" s="31">
        <v>606</v>
      </c>
      <c r="B608" s="1">
        <v>95</v>
      </c>
      <c r="C608" s="1">
        <v>113</v>
      </c>
      <c r="D608" s="15" t="s">
        <v>1460</v>
      </c>
      <c r="E608" s="1">
        <v>1</v>
      </c>
      <c r="F608" s="15" t="s">
        <v>761</v>
      </c>
      <c r="G608" s="15" t="s">
        <v>1427</v>
      </c>
      <c r="H608" s="15" t="s">
        <v>1428</v>
      </c>
      <c r="I608" s="1">
        <v>2004</v>
      </c>
      <c r="J608" s="15" t="s">
        <v>1263</v>
      </c>
      <c r="K608" s="1" t="s">
        <v>1429</v>
      </c>
      <c r="L608" s="15" t="s">
        <v>1362</v>
      </c>
      <c r="M608" s="15" t="s">
        <v>480</v>
      </c>
      <c r="N608" s="15" t="s">
        <v>520</v>
      </c>
      <c r="O608" s="31">
        <v>2</v>
      </c>
      <c r="P608" s="15">
        <v>29.17</v>
      </c>
      <c r="Q608" s="15">
        <v>119.18</v>
      </c>
      <c r="S608" s="15">
        <v>1333</v>
      </c>
      <c r="T608" s="15">
        <v>17.100000000000001</v>
      </c>
      <c r="U608" s="15" t="s">
        <v>549</v>
      </c>
      <c r="V608" s="31">
        <v>1</v>
      </c>
      <c r="W608" s="15" t="s">
        <v>1430</v>
      </c>
      <c r="X608" s="15" t="s">
        <v>1227</v>
      </c>
      <c r="Y608" s="61">
        <v>11</v>
      </c>
      <c r="Z608" s="15">
        <v>4.8600000000000003</v>
      </c>
      <c r="AA608" s="15" t="s">
        <v>574</v>
      </c>
      <c r="AB608" s="15">
        <f t="shared" si="541"/>
        <v>4.8600000000000003</v>
      </c>
      <c r="AC608" s="1">
        <v>2</v>
      </c>
      <c r="AD608" s="15">
        <v>3.3</v>
      </c>
      <c r="AF608" s="15">
        <v>5.76</v>
      </c>
      <c r="AH608" s="15">
        <v>6</v>
      </c>
      <c r="AJ608" s="15">
        <v>44.2</v>
      </c>
      <c r="AM608" s="1">
        <v>1</v>
      </c>
      <c r="AP608" s="15" t="s">
        <v>1431</v>
      </c>
      <c r="AQ608" s="1">
        <v>1</v>
      </c>
      <c r="AR608" s="1">
        <v>3</v>
      </c>
      <c r="AT608" s="15" t="s">
        <v>576</v>
      </c>
      <c r="AW608" s="15">
        <f>AW556/8</f>
        <v>937.5</v>
      </c>
      <c r="AX608" s="15">
        <f t="shared" si="539"/>
        <v>937.5</v>
      </c>
      <c r="AY608" s="15" t="s">
        <v>766</v>
      </c>
      <c r="AZ608" s="15">
        <f t="shared" si="532"/>
        <v>937.5</v>
      </c>
      <c r="BA608" s="15">
        <f t="shared" si="533"/>
        <v>0.31996587030716722</v>
      </c>
      <c r="BB608" s="15">
        <f t="shared" si="534"/>
        <v>562.5</v>
      </c>
      <c r="FK608" s="16">
        <f t="shared" si="527"/>
        <v>5.2</v>
      </c>
      <c r="FL608" s="16">
        <f t="shared" si="528"/>
        <v>5.74</v>
      </c>
      <c r="FM608" s="15">
        <v>5.2</v>
      </c>
      <c r="FN608" s="15">
        <f t="shared" si="542"/>
        <v>0.26</v>
      </c>
      <c r="FO608" s="15">
        <f>FN608*SQRT(AR608)</f>
        <v>0.4503332099679081</v>
      </c>
      <c r="FP608" s="15">
        <v>5.74</v>
      </c>
      <c r="FQ608" s="15">
        <f t="shared" si="551"/>
        <v>0.28700000000000003</v>
      </c>
      <c r="FR608" s="15">
        <f>FQ608*SQRT(AR608)</f>
        <v>0.49709858177226779</v>
      </c>
      <c r="FS608" s="15">
        <f t="shared" si="552"/>
        <v>1.1038461538461539</v>
      </c>
      <c r="FT608" s="15">
        <f t="shared" si="553"/>
        <v>0.54</v>
      </c>
      <c r="FU608" s="15">
        <f t="shared" si="531"/>
        <v>9.8800584744093367E-2</v>
      </c>
      <c r="FV608" s="15">
        <f>((FR608*FR608)/(AR608*FP608*FP608)+(FO608*FO608)/(AR608*FM608*FM608))</f>
        <v>5.0000000000000001E-3</v>
      </c>
      <c r="HE608" s="15">
        <v>450</v>
      </c>
      <c r="HF608" s="15">
        <f t="shared" si="537"/>
        <v>22.5</v>
      </c>
      <c r="HG608" s="15">
        <f>HF608*SQRT(AR298)</f>
        <v>38.97114317029974</v>
      </c>
      <c r="HH608" s="15">
        <v>1890</v>
      </c>
      <c r="HI608" s="15">
        <f t="shared" si="538"/>
        <v>94.5</v>
      </c>
      <c r="HJ608" s="15">
        <f>HI608*SQRT(AR298)</f>
        <v>163.67880131525891</v>
      </c>
      <c r="HK608" s="15">
        <f t="shared" si="546"/>
        <v>4.2</v>
      </c>
      <c r="HL608" s="15">
        <f t="shared" si="547"/>
        <v>1440</v>
      </c>
      <c r="HM608" s="15">
        <f t="shared" si="548"/>
        <v>1.435084525289323</v>
      </c>
      <c r="HN608" s="15">
        <f>((HJ608*HJ608)/(AR298*HH608*HH608)+(HG608*HG608)/(AR298*HE608*HE608))</f>
        <v>5.0000000000000001E-3</v>
      </c>
      <c r="HP608" s="15" t="s">
        <v>766</v>
      </c>
      <c r="HV608" s="15">
        <f t="shared" si="549"/>
        <v>3.9196297506350444</v>
      </c>
      <c r="HW608" s="15">
        <f t="shared" si="550"/>
        <v>1.435084525289323</v>
      </c>
      <c r="HX608" s="15">
        <f>BB608</f>
        <v>562.5</v>
      </c>
      <c r="HY608" s="15">
        <f>AZ608</f>
        <v>937.5</v>
      </c>
      <c r="HZ608" s="15">
        <f>BA608</f>
        <v>0.31996587030716722</v>
      </c>
      <c r="IA608" s="15">
        <f>BB608</f>
        <v>562.5</v>
      </c>
    </row>
    <row r="609" spans="1:235" s="15" customFormat="1" x14ac:dyDescent="0.25">
      <c r="A609" s="31">
        <v>607</v>
      </c>
      <c r="B609" s="1">
        <v>95</v>
      </c>
      <c r="C609" s="1">
        <v>113</v>
      </c>
      <c r="D609" s="15" t="s">
        <v>1461</v>
      </c>
      <c r="E609" s="1">
        <v>1</v>
      </c>
      <c r="F609" s="15" t="s">
        <v>761</v>
      </c>
      <c r="G609" s="15" t="s">
        <v>1427</v>
      </c>
      <c r="H609" s="15" t="s">
        <v>1428</v>
      </c>
      <c r="I609" s="1">
        <v>2004</v>
      </c>
      <c r="J609" s="15" t="s">
        <v>1263</v>
      </c>
      <c r="K609" s="1" t="s">
        <v>1429</v>
      </c>
      <c r="L609" s="15" t="s">
        <v>1362</v>
      </c>
      <c r="M609" s="15" t="s">
        <v>480</v>
      </c>
      <c r="N609" s="15" t="s">
        <v>520</v>
      </c>
      <c r="O609" s="31">
        <v>2</v>
      </c>
      <c r="P609" s="15">
        <v>29.17</v>
      </c>
      <c r="Q609" s="15">
        <v>119.18</v>
      </c>
      <c r="S609" s="15">
        <v>1333</v>
      </c>
      <c r="T609" s="15">
        <v>17.100000000000001</v>
      </c>
      <c r="U609" s="15" t="s">
        <v>549</v>
      </c>
      <c r="V609" s="31">
        <v>1</v>
      </c>
      <c r="W609" s="15" t="s">
        <v>1430</v>
      </c>
      <c r="X609" s="15" t="s">
        <v>1227</v>
      </c>
      <c r="Y609" s="61">
        <v>11</v>
      </c>
      <c r="Z609" s="15">
        <v>4.8600000000000003</v>
      </c>
      <c r="AA609" s="15" t="s">
        <v>574</v>
      </c>
      <c r="AB609" s="15">
        <f t="shared" si="541"/>
        <v>4.8600000000000003</v>
      </c>
      <c r="AC609" s="1">
        <v>2</v>
      </c>
      <c r="AD609" s="15">
        <v>3.3</v>
      </c>
      <c r="AF609" s="15">
        <v>5.76</v>
      </c>
      <c r="AH609" s="15">
        <v>6</v>
      </c>
      <c r="AJ609" s="15">
        <v>44.2</v>
      </c>
      <c r="AM609" s="1">
        <v>1</v>
      </c>
      <c r="AP609" s="15" t="s">
        <v>1431</v>
      </c>
      <c r="AQ609" s="1">
        <v>1</v>
      </c>
      <c r="AR609" s="1">
        <v>3</v>
      </c>
      <c r="AT609" s="15" t="s">
        <v>576</v>
      </c>
      <c r="AW609" s="15">
        <f>AW557/8</f>
        <v>1406.25</v>
      </c>
      <c r="AX609" s="15">
        <f t="shared" si="539"/>
        <v>1406.25</v>
      </c>
      <c r="AY609" s="15" t="s">
        <v>766</v>
      </c>
      <c r="AZ609" s="15">
        <f t="shared" si="532"/>
        <v>1406.25</v>
      </c>
      <c r="BA609" s="15">
        <f t="shared" si="533"/>
        <v>0.4799488054607508</v>
      </c>
      <c r="BB609" s="15">
        <f t="shared" si="534"/>
        <v>843.75</v>
      </c>
      <c r="FK609" s="16">
        <f t="shared" si="527"/>
        <v>5.2</v>
      </c>
      <c r="FL609" s="16">
        <f t="shared" si="528"/>
        <v>6.18</v>
      </c>
      <c r="FM609" s="15">
        <v>5.2</v>
      </c>
      <c r="FN609" s="15">
        <f t="shared" si="542"/>
        <v>0.26</v>
      </c>
      <c r="FO609" s="15">
        <f>FN609*SQRT(AR609)</f>
        <v>0.4503332099679081</v>
      </c>
      <c r="FP609" s="15">
        <v>6.18</v>
      </c>
      <c r="FQ609" s="15">
        <f t="shared" si="551"/>
        <v>0.309</v>
      </c>
      <c r="FR609" s="15">
        <f>FQ609*SQRT(AR609)</f>
        <v>0.535203699538783</v>
      </c>
      <c r="FS609" s="15">
        <f t="shared" si="552"/>
        <v>1.1884615384615385</v>
      </c>
      <c r="FT609" s="15">
        <f t="shared" si="553"/>
        <v>0.97999999999999954</v>
      </c>
      <c r="FU609" s="15">
        <f t="shared" si="531"/>
        <v>0.17265964588221783</v>
      </c>
      <c r="FV609" s="15">
        <f>((FR609*FR609)/(AR609*FP609*FP609)+(FO609*FO609)/(AR609*FM609*FM609))</f>
        <v>4.9999999999999992E-3</v>
      </c>
      <c r="HE609" s="15">
        <v>450</v>
      </c>
      <c r="HF609" s="15">
        <f t="shared" si="537"/>
        <v>22.5</v>
      </c>
      <c r="HG609" s="15">
        <f>HF609*SQRT(AR299)</f>
        <v>38.97114317029974</v>
      </c>
      <c r="HH609" s="15">
        <v>1940</v>
      </c>
      <c r="HI609" s="15">
        <f t="shared" si="538"/>
        <v>97</v>
      </c>
      <c r="HJ609" s="15">
        <f>HI609*SQRT(AR299)</f>
        <v>168.00892833418109</v>
      </c>
      <c r="HK609" s="15">
        <f t="shared" si="546"/>
        <v>4.3111111111111109</v>
      </c>
      <c r="HL609" s="15">
        <f t="shared" si="547"/>
        <v>1490</v>
      </c>
      <c r="HM609" s="15">
        <f t="shared" si="548"/>
        <v>1.4611956692930086</v>
      </c>
      <c r="HN609" s="15">
        <f>((HJ609*HJ609)/(AR299*HH609*HH609)+(HG609*HG609)/(AR299*HE609*HE609))</f>
        <v>5.0000000000000001E-3</v>
      </c>
      <c r="HP609" s="15" t="s">
        <v>766</v>
      </c>
      <c r="HV609" s="15">
        <f t="shared" si="549"/>
        <v>5.774380650938034</v>
      </c>
      <c r="HW609" s="15">
        <f t="shared" si="550"/>
        <v>1.4611956692930086</v>
      </c>
      <c r="HX609" s="15">
        <f>BB609</f>
        <v>843.75</v>
      </c>
      <c r="HY609" s="15">
        <f>AZ609</f>
        <v>1406.25</v>
      </c>
      <c r="HZ609" s="15">
        <f>BA609</f>
        <v>0.4799488054607508</v>
      </c>
      <c r="IA609" s="15">
        <f>BB609</f>
        <v>843.75</v>
      </c>
    </row>
    <row r="610" spans="1:235" s="15" customFormat="1" x14ac:dyDescent="0.25">
      <c r="A610" s="31">
        <v>608</v>
      </c>
      <c r="B610" s="1">
        <v>95</v>
      </c>
      <c r="C610" s="1">
        <v>113</v>
      </c>
      <c r="D610" s="15" t="s">
        <v>1462</v>
      </c>
      <c r="E610" s="1">
        <v>1</v>
      </c>
      <c r="F610" s="15" t="s">
        <v>761</v>
      </c>
      <c r="G610" s="15" t="s">
        <v>1427</v>
      </c>
      <c r="H610" s="15" t="s">
        <v>1428</v>
      </c>
      <c r="I610" s="1">
        <v>2004</v>
      </c>
      <c r="J610" s="15" t="s">
        <v>1263</v>
      </c>
      <c r="K610" s="1" t="s">
        <v>1429</v>
      </c>
      <c r="L610" s="15" t="s">
        <v>1362</v>
      </c>
      <c r="M610" s="15" t="s">
        <v>480</v>
      </c>
      <c r="N610" s="15" t="s">
        <v>520</v>
      </c>
      <c r="O610" s="31">
        <v>2</v>
      </c>
      <c r="P610" s="15">
        <v>29.17</v>
      </c>
      <c r="Q610" s="15">
        <v>119.18</v>
      </c>
      <c r="S610" s="15">
        <v>1333</v>
      </c>
      <c r="T610" s="15">
        <v>17.100000000000001</v>
      </c>
      <c r="U610" s="15" t="s">
        <v>549</v>
      </c>
      <c r="V610" s="31">
        <v>1</v>
      </c>
      <c r="W610" s="15" t="s">
        <v>1430</v>
      </c>
      <c r="X610" s="15" t="s">
        <v>1227</v>
      </c>
      <c r="Y610" s="61">
        <v>11</v>
      </c>
      <c r="Z610" s="15">
        <v>4.8600000000000003</v>
      </c>
      <c r="AA610" s="15" t="s">
        <v>574</v>
      </c>
      <c r="AB610" s="15">
        <f t="shared" si="541"/>
        <v>4.8600000000000003</v>
      </c>
      <c r="AC610" s="1">
        <v>2</v>
      </c>
      <c r="AD610" s="15">
        <v>3.3</v>
      </c>
      <c r="AF610" s="15">
        <v>5.76</v>
      </c>
      <c r="AH610" s="15">
        <v>6</v>
      </c>
      <c r="AJ610" s="15">
        <v>44.2</v>
      </c>
      <c r="AM610" s="1">
        <v>1</v>
      </c>
      <c r="AP610" s="15" t="s">
        <v>1431</v>
      </c>
      <c r="AQ610" s="1">
        <v>1</v>
      </c>
      <c r="AR610" s="1">
        <v>3</v>
      </c>
      <c r="AT610" s="15" t="s">
        <v>576</v>
      </c>
      <c r="AW610" s="15">
        <f>AW558/8</f>
        <v>1875</v>
      </c>
      <c r="AX610" s="15">
        <f t="shared" si="539"/>
        <v>1875</v>
      </c>
      <c r="AY610" s="15" t="s">
        <v>766</v>
      </c>
      <c r="AZ610" s="15">
        <f t="shared" si="532"/>
        <v>1875</v>
      </c>
      <c r="BA610" s="15">
        <f t="shared" si="533"/>
        <v>0.63993174061433444</v>
      </c>
      <c r="BB610" s="15">
        <f t="shared" si="534"/>
        <v>1125</v>
      </c>
      <c r="FK610" s="16">
        <f t="shared" ref="FK610:FK668" si="554">FM610</f>
        <v>5.2</v>
      </c>
      <c r="FL610" s="16">
        <f t="shared" ref="FL610:FL668" si="555">FP610</f>
        <v>6.78</v>
      </c>
      <c r="FM610" s="15">
        <v>5.2</v>
      </c>
      <c r="FN610" s="15">
        <f t="shared" si="542"/>
        <v>0.26</v>
      </c>
      <c r="FO610" s="15">
        <f>FN610*SQRT(AR610)</f>
        <v>0.4503332099679081</v>
      </c>
      <c r="FP610" s="15">
        <v>6.78</v>
      </c>
      <c r="FQ610" s="15">
        <f t="shared" si="551"/>
        <v>0.33900000000000002</v>
      </c>
      <c r="FR610" s="15">
        <f>FQ610*SQRT(AR610)</f>
        <v>0.58716522376584945</v>
      </c>
      <c r="FS610" s="15">
        <f t="shared" si="552"/>
        <v>1.3038461538461539</v>
      </c>
      <c r="FT610" s="15">
        <f t="shared" si="553"/>
        <v>1.58</v>
      </c>
      <c r="FU610" s="15">
        <f t="shared" ref="FU610:FU668" si="556">LN(FP610)-LN(FM610)</f>
        <v>0.26531847636492256</v>
      </c>
      <c r="FV610" s="15">
        <f>((FR610*FR610)/(AR610*FP610*FP610)+(FO610*FO610)/(AR610*FM610*FM610))</f>
        <v>5.0000000000000001E-3</v>
      </c>
      <c r="HE610" s="15">
        <v>450</v>
      </c>
      <c r="HF610" s="15">
        <f t="shared" si="537"/>
        <v>22.5</v>
      </c>
      <c r="HG610" s="15">
        <f>HF610*SQRT(AR300)</f>
        <v>38.97114317029974</v>
      </c>
      <c r="HH610" s="15">
        <v>2550</v>
      </c>
      <c r="HI610" s="15">
        <f t="shared" si="538"/>
        <v>127.5</v>
      </c>
      <c r="HJ610" s="15">
        <f>HI610*SQRT(AR300)</f>
        <v>220.83647796503183</v>
      </c>
      <c r="HK610" s="15">
        <f t="shared" si="546"/>
        <v>5.666666666666667</v>
      </c>
      <c r="HL610" s="15">
        <f t="shared" si="547"/>
        <v>2100</v>
      </c>
      <c r="HM610" s="15">
        <f t="shared" si="548"/>
        <v>1.7346010553881062</v>
      </c>
      <c r="HN610" s="15">
        <f>((HJ610*HJ610)/(AR300*HH610*HH610)+(HG610*HG610)/(AR300*HE610*HE610))</f>
        <v>4.9999999999999992E-3</v>
      </c>
      <c r="HP610" s="15" t="s">
        <v>766</v>
      </c>
      <c r="HV610" s="15">
        <f t="shared" si="549"/>
        <v>6.4856411594208803</v>
      </c>
      <c r="HW610" s="15">
        <f t="shared" si="550"/>
        <v>1.7346010553881062</v>
      </c>
      <c r="HX610" s="15">
        <f>BB610</f>
        <v>1125</v>
      </c>
      <c r="HY610" s="15">
        <f>AZ610</f>
        <v>1875</v>
      </c>
      <c r="HZ610" s="15">
        <f>BA610</f>
        <v>0.63993174061433444</v>
      </c>
      <c r="IA610" s="15">
        <f>BB610</f>
        <v>1125</v>
      </c>
    </row>
    <row r="611" spans="1:235" s="15" customFormat="1" x14ac:dyDescent="0.25">
      <c r="A611" s="31">
        <v>609</v>
      </c>
      <c r="B611" s="1">
        <v>95</v>
      </c>
      <c r="C611" s="1">
        <v>113</v>
      </c>
      <c r="D611" s="15" t="s">
        <v>1463</v>
      </c>
      <c r="E611" s="1">
        <v>1</v>
      </c>
      <c r="F611" s="15" t="s">
        <v>761</v>
      </c>
      <c r="G611" s="15" t="s">
        <v>1427</v>
      </c>
      <c r="H611" s="15" t="s">
        <v>1428</v>
      </c>
      <c r="I611" s="1">
        <v>2004</v>
      </c>
      <c r="J611" s="15" t="s">
        <v>1263</v>
      </c>
      <c r="K611" s="1" t="s">
        <v>1429</v>
      </c>
      <c r="L611" s="15" t="s">
        <v>1362</v>
      </c>
      <c r="M611" s="15" t="s">
        <v>480</v>
      </c>
      <c r="N611" s="15" t="s">
        <v>520</v>
      </c>
      <c r="O611" s="31">
        <v>2</v>
      </c>
      <c r="P611" s="15">
        <v>29.17</v>
      </c>
      <c r="Q611" s="15">
        <v>119.18</v>
      </c>
      <c r="S611" s="15">
        <v>1333</v>
      </c>
      <c r="T611" s="15">
        <v>17.100000000000001</v>
      </c>
      <c r="U611" s="15" t="s">
        <v>549</v>
      </c>
      <c r="V611" s="31">
        <v>1</v>
      </c>
      <c r="W611" s="15" t="s">
        <v>1430</v>
      </c>
      <c r="X611" s="15" t="s">
        <v>1433</v>
      </c>
      <c r="Y611" s="1">
        <v>10</v>
      </c>
      <c r="Z611" s="15">
        <v>4.8600000000000003</v>
      </c>
      <c r="AA611" s="15" t="s">
        <v>574</v>
      </c>
      <c r="AB611" s="15">
        <f t="shared" si="541"/>
        <v>4.8600000000000003</v>
      </c>
      <c r="AC611" s="1">
        <v>2</v>
      </c>
      <c r="AD611" s="15">
        <v>3.3</v>
      </c>
      <c r="AF611" s="15">
        <v>5.76</v>
      </c>
      <c r="AH611" s="15">
        <v>6</v>
      </c>
      <c r="AJ611" s="15">
        <v>44.2</v>
      </c>
      <c r="AM611" s="1">
        <v>1</v>
      </c>
      <c r="AP611" s="15" t="s">
        <v>1431</v>
      </c>
      <c r="AQ611" s="1">
        <v>1</v>
      </c>
      <c r="AR611" s="1">
        <v>3</v>
      </c>
      <c r="AT611" s="15" t="s">
        <v>576</v>
      </c>
      <c r="AW611" s="15">
        <v>468.75</v>
      </c>
      <c r="AX611" s="15">
        <f t="shared" si="539"/>
        <v>468.75</v>
      </c>
      <c r="AY611" s="15" t="s">
        <v>766</v>
      </c>
      <c r="AZ611" s="15">
        <f t="shared" si="532"/>
        <v>468.75</v>
      </c>
      <c r="BA611" s="15">
        <f t="shared" si="533"/>
        <v>0.15998293515358361</v>
      </c>
      <c r="BB611" s="15">
        <f t="shared" si="534"/>
        <v>281.25</v>
      </c>
      <c r="FK611" s="16">
        <f t="shared" si="554"/>
        <v>5.2</v>
      </c>
      <c r="FL611" s="16">
        <f t="shared" si="555"/>
        <v>5.51</v>
      </c>
      <c r="FM611" s="15">
        <v>5.2</v>
      </c>
      <c r="FN611" s="15">
        <f t="shared" si="542"/>
        <v>0.26</v>
      </c>
      <c r="FO611" s="15">
        <f>FN611*SQRT(AR611)</f>
        <v>0.4503332099679081</v>
      </c>
      <c r="FP611" s="15">
        <v>5.51</v>
      </c>
      <c r="FQ611" s="15">
        <f t="shared" si="551"/>
        <v>0.27550000000000002</v>
      </c>
      <c r="FR611" s="15">
        <f>FQ611*SQRT(AR611)</f>
        <v>0.47717999748522572</v>
      </c>
      <c r="FS611" s="15">
        <f t="shared" si="552"/>
        <v>1.0596153846153846</v>
      </c>
      <c r="FT611" s="15">
        <f t="shared" si="553"/>
        <v>0.30999999999999961</v>
      </c>
      <c r="FU611" s="15">
        <f t="shared" si="556"/>
        <v>5.7905997577441415E-2</v>
      </c>
      <c r="FV611" s="15">
        <f>((FR611*FR611)/(AR611*FP611*FP611)+(FO611*FO611)/(AR611*FM611*FM611))</f>
        <v>5.0000000000000001E-3</v>
      </c>
      <c r="HE611" s="15">
        <v>3480</v>
      </c>
      <c r="HF611" s="15">
        <f t="shared" si="537"/>
        <v>174</v>
      </c>
      <c r="HG611" s="15">
        <f>HF611*SQRT(AR301)</f>
        <v>301.37684051698466</v>
      </c>
      <c r="HH611" s="15">
        <v>3960</v>
      </c>
      <c r="HI611" s="15">
        <f t="shared" si="538"/>
        <v>198</v>
      </c>
      <c r="HJ611" s="15">
        <f>HI611*SQRT(AR301)</f>
        <v>342.94605989863766</v>
      </c>
      <c r="HK611" s="15">
        <f t="shared" si="546"/>
        <v>1.1379310344827587</v>
      </c>
      <c r="HL611" s="15">
        <f t="shared" si="547"/>
        <v>480</v>
      </c>
      <c r="HM611" s="15">
        <f t="shared" si="548"/>
        <v>0.12921173148000697</v>
      </c>
      <c r="HN611" s="15">
        <f>((HJ611*HJ611)/(AR301*HH611*HH611)+(HG611*HG611)/(AR301*HE611*HE611))</f>
        <v>4.9999999999999992E-3</v>
      </c>
      <c r="HP611" s="15" t="s">
        <v>766</v>
      </c>
      <c r="HV611" s="15">
        <f t="shared" si="549"/>
        <v>21.766599423947664</v>
      </c>
      <c r="HW611" s="15">
        <f t="shared" si="550"/>
        <v>0.12921173148000697</v>
      </c>
      <c r="HX611" s="15">
        <f>BB611</f>
        <v>281.25</v>
      </c>
      <c r="HY611" s="15">
        <f>AZ611</f>
        <v>468.75</v>
      </c>
      <c r="HZ611" s="15">
        <f>BA611</f>
        <v>0.15998293515358361</v>
      </c>
      <c r="IA611" s="15">
        <f>BB611</f>
        <v>281.25</v>
      </c>
    </row>
    <row r="612" spans="1:235" s="15" customFormat="1" x14ac:dyDescent="0.25">
      <c r="A612" s="31">
        <v>610</v>
      </c>
      <c r="B612" s="1">
        <v>95</v>
      </c>
      <c r="C612" s="1">
        <v>113</v>
      </c>
      <c r="D612" s="15" t="s">
        <v>1464</v>
      </c>
      <c r="E612" s="1">
        <v>1</v>
      </c>
      <c r="F612" s="15" t="s">
        <v>761</v>
      </c>
      <c r="G612" s="15" t="s">
        <v>1427</v>
      </c>
      <c r="H612" s="15" t="s">
        <v>1428</v>
      </c>
      <c r="I612" s="1">
        <v>2004</v>
      </c>
      <c r="J612" s="15" t="s">
        <v>1263</v>
      </c>
      <c r="K612" s="1" t="s">
        <v>1429</v>
      </c>
      <c r="L612" s="15" t="s">
        <v>1362</v>
      </c>
      <c r="M612" s="15" t="s">
        <v>480</v>
      </c>
      <c r="N612" s="15" t="s">
        <v>520</v>
      </c>
      <c r="O612" s="31">
        <v>2</v>
      </c>
      <c r="P612" s="15">
        <v>29.17</v>
      </c>
      <c r="Q612" s="15">
        <v>119.18</v>
      </c>
      <c r="S612" s="15">
        <v>1333</v>
      </c>
      <c r="T612" s="15">
        <v>17.100000000000001</v>
      </c>
      <c r="U612" s="15" t="s">
        <v>549</v>
      </c>
      <c r="V612" s="31">
        <v>1</v>
      </c>
      <c r="W612" s="15" t="s">
        <v>1430</v>
      </c>
      <c r="X612" s="15" t="s">
        <v>1433</v>
      </c>
      <c r="Y612" s="1">
        <v>10</v>
      </c>
      <c r="Z612" s="15">
        <v>4.8600000000000003</v>
      </c>
      <c r="AA612" s="15" t="s">
        <v>574</v>
      </c>
      <c r="AB612" s="15">
        <f t="shared" si="541"/>
        <v>4.8600000000000003</v>
      </c>
      <c r="AC612" s="1">
        <v>2</v>
      </c>
      <c r="AD612" s="15">
        <v>3.3</v>
      </c>
      <c r="AF612" s="15">
        <v>5.76</v>
      </c>
      <c r="AH612" s="15">
        <v>6</v>
      </c>
      <c r="AJ612" s="15">
        <v>44.2</v>
      </c>
      <c r="AM612" s="1">
        <v>1</v>
      </c>
      <c r="AP612" s="15" t="s">
        <v>1431</v>
      </c>
      <c r="AQ612" s="1">
        <v>1</v>
      </c>
      <c r="AR612" s="1">
        <v>3</v>
      </c>
      <c r="AT612" s="15" t="s">
        <v>576</v>
      </c>
      <c r="AW612" s="15">
        <v>937.5</v>
      </c>
      <c r="AX612" s="15">
        <f t="shared" si="539"/>
        <v>937.5</v>
      </c>
      <c r="AY612" s="15" t="s">
        <v>766</v>
      </c>
      <c r="AZ612" s="15">
        <f t="shared" si="532"/>
        <v>937.5</v>
      </c>
      <c r="BA612" s="15">
        <f t="shared" si="533"/>
        <v>0.31996587030716722</v>
      </c>
      <c r="BB612" s="15">
        <f t="shared" si="534"/>
        <v>562.5</v>
      </c>
      <c r="FK612" s="16">
        <f t="shared" si="554"/>
        <v>5.2</v>
      </c>
      <c r="FL612" s="16">
        <f t="shared" si="555"/>
        <v>5.74</v>
      </c>
      <c r="FM612" s="15">
        <v>5.2</v>
      </c>
      <c r="FN612" s="15">
        <f t="shared" si="542"/>
        <v>0.26</v>
      </c>
      <c r="FO612" s="15">
        <f>FN612*SQRT(AR612)</f>
        <v>0.4503332099679081</v>
      </c>
      <c r="FP612" s="15">
        <v>5.74</v>
      </c>
      <c r="FQ612" s="15">
        <f t="shared" si="551"/>
        <v>0.28700000000000003</v>
      </c>
      <c r="FR612" s="15">
        <f>FQ612*SQRT(AR612)</f>
        <v>0.49709858177226779</v>
      </c>
      <c r="FS612" s="15">
        <f t="shared" si="552"/>
        <v>1.1038461538461539</v>
      </c>
      <c r="FT612" s="15">
        <f t="shared" si="553"/>
        <v>0.54</v>
      </c>
      <c r="FU612" s="15">
        <f t="shared" si="556"/>
        <v>9.8800584744093367E-2</v>
      </c>
      <c r="FV612" s="15">
        <f>((FR612*FR612)/(AR612*FP612*FP612)+(FO612*FO612)/(AR612*FM612*FM612))</f>
        <v>5.0000000000000001E-3</v>
      </c>
      <c r="HE612" s="15">
        <v>3480</v>
      </c>
      <c r="HF612" s="15">
        <f t="shared" si="537"/>
        <v>174</v>
      </c>
      <c r="HG612" s="15">
        <f>HF612*SQRT(AR302)</f>
        <v>301.37684051698466</v>
      </c>
      <c r="HH612" s="15">
        <v>4420</v>
      </c>
      <c r="HI612" s="15">
        <f t="shared" si="538"/>
        <v>221</v>
      </c>
      <c r="HJ612" s="15">
        <f>HI612*SQRT(AR302)</f>
        <v>382.78322847272187</v>
      </c>
      <c r="HK612" s="15">
        <f t="shared" si="546"/>
        <v>1.2701149425287357</v>
      </c>
      <c r="HL612" s="15">
        <f t="shared" si="547"/>
        <v>940</v>
      </c>
      <c r="HM612" s="15">
        <f t="shared" si="548"/>
        <v>0.23910740230322425</v>
      </c>
      <c r="HN612" s="15">
        <f>((HJ612*HJ612)/(AR302*HH612*HH612)+(HG612*HG612)/(AR302*HE612*HE612))</f>
        <v>5.0000000000000001E-3</v>
      </c>
      <c r="HP612" s="15" t="s">
        <v>766</v>
      </c>
      <c r="HV612" s="15">
        <f t="shared" si="549"/>
        <v>23.524993144572964</v>
      </c>
      <c r="HW612" s="15">
        <f t="shared" si="550"/>
        <v>0.23910740230322425</v>
      </c>
      <c r="HX612" s="15">
        <f>BB612</f>
        <v>562.5</v>
      </c>
      <c r="HY612" s="15">
        <f>AZ612</f>
        <v>937.5</v>
      </c>
      <c r="HZ612" s="15">
        <f>BA612</f>
        <v>0.31996587030716722</v>
      </c>
      <c r="IA612" s="15">
        <f>BB612</f>
        <v>562.5</v>
      </c>
    </row>
    <row r="613" spans="1:235" s="15" customFormat="1" x14ac:dyDescent="0.25">
      <c r="A613" s="31">
        <v>611</v>
      </c>
      <c r="B613" s="1">
        <v>95</v>
      </c>
      <c r="C613" s="1">
        <v>113</v>
      </c>
      <c r="D613" s="15" t="s">
        <v>1465</v>
      </c>
      <c r="E613" s="1">
        <v>1</v>
      </c>
      <c r="F613" s="15" t="s">
        <v>761</v>
      </c>
      <c r="G613" s="15" t="s">
        <v>1427</v>
      </c>
      <c r="H613" s="15" t="s">
        <v>1428</v>
      </c>
      <c r="I613" s="1">
        <v>2004</v>
      </c>
      <c r="J613" s="15" t="s">
        <v>1263</v>
      </c>
      <c r="K613" s="1" t="s">
        <v>1429</v>
      </c>
      <c r="L613" s="15" t="s">
        <v>1362</v>
      </c>
      <c r="M613" s="15" t="s">
        <v>480</v>
      </c>
      <c r="N613" s="15" t="s">
        <v>520</v>
      </c>
      <c r="O613" s="31">
        <v>2</v>
      </c>
      <c r="P613" s="15">
        <v>29.17</v>
      </c>
      <c r="Q613" s="15">
        <v>119.18</v>
      </c>
      <c r="S613" s="15">
        <v>1333</v>
      </c>
      <c r="T613" s="15">
        <v>17.100000000000001</v>
      </c>
      <c r="U613" s="15" t="s">
        <v>549</v>
      </c>
      <c r="V613" s="31">
        <v>1</v>
      </c>
      <c r="W613" s="15" t="s">
        <v>1430</v>
      </c>
      <c r="X613" s="15" t="s">
        <v>1433</v>
      </c>
      <c r="Y613" s="1">
        <v>10</v>
      </c>
      <c r="Z613" s="15">
        <v>4.8600000000000003</v>
      </c>
      <c r="AA613" s="15" t="s">
        <v>574</v>
      </c>
      <c r="AB613" s="15">
        <f t="shared" si="541"/>
        <v>4.8600000000000003</v>
      </c>
      <c r="AC613" s="1">
        <v>2</v>
      </c>
      <c r="AD613" s="15">
        <v>3.3</v>
      </c>
      <c r="AF613" s="15">
        <v>5.76</v>
      </c>
      <c r="AH613" s="15">
        <v>6</v>
      </c>
      <c r="AJ613" s="15">
        <v>44.2</v>
      </c>
      <c r="AM613" s="1">
        <v>1</v>
      </c>
      <c r="AP613" s="15" t="s">
        <v>1431</v>
      </c>
      <c r="AQ613" s="1">
        <v>1</v>
      </c>
      <c r="AR613" s="1">
        <v>3</v>
      </c>
      <c r="AT613" s="15" t="s">
        <v>576</v>
      </c>
      <c r="AW613" s="15">
        <v>1406.25</v>
      </c>
      <c r="AX613" s="15">
        <f t="shared" si="539"/>
        <v>1406.25</v>
      </c>
      <c r="AY613" s="15" t="s">
        <v>766</v>
      </c>
      <c r="AZ613" s="15">
        <f t="shared" si="532"/>
        <v>1406.25</v>
      </c>
      <c r="BA613" s="15">
        <f t="shared" si="533"/>
        <v>0.4799488054607508</v>
      </c>
      <c r="BB613" s="15">
        <f t="shared" si="534"/>
        <v>843.75</v>
      </c>
      <c r="FK613" s="16">
        <f t="shared" si="554"/>
        <v>5.2</v>
      </c>
      <c r="FL613" s="16">
        <f t="shared" si="555"/>
        <v>6.18</v>
      </c>
      <c r="FM613" s="15">
        <v>5.2</v>
      </c>
      <c r="FN613" s="15">
        <f t="shared" si="542"/>
        <v>0.26</v>
      </c>
      <c r="FO613" s="15">
        <f>FN613*SQRT(AR613)</f>
        <v>0.4503332099679081</v>
      </c>
      <c r="FP613" s="15">
        <v>6.18</v>
      </c>
      <c r="FQ613" s="15">
        <f t="shared" si="551"/>
        <v>0.309</v>
      </c>
      <c r="FR613" s="15">
        <f>FQ613*SQRT(AR613)</f>
        <v>0.535203699538783</v>
      </c>
      <c r="FS613" s="15">
        <f t="shared" si="552"/>
        <v>1.1884615384615385</v>
      </c>
      <c r="FT613" s="15">
        <f t="shared" si="553"/>
        <v>0.97999999999999954</v>
      </c>
      <c r="FU613" s="15">
        <f t="shared" si="556"/>
        <v>0.17265964588221783</v>
      </c>
      <c r="FV613" s="15">
        <f>((FR613*FR613)/(AR613*FP613*FP613)+(FO613*FO613)/(AR613*FM613*FM613))</f>
        <v>4.9999999999999992E-3</v>
      </c>
      <c r="HE613" s="15">
        <v>3480</v>
      </c>
      <c r="HF613" s="15">
        <f t="shared" si="537"/>
        <v>174</v>
      </c>
      <c r="HG613" s="15">
        <f>HF613*SQRT(AR303)</f>
        <v>301.37684051698466</v>
      </c>
      <c r="HH613" s="15">
        <v>4970</v>
      </c>
      <c r="HI613" s="15">
        <f t="shared" si="538"/>
        <v>248.5</v>
      </c>
      <c r="HJ613" s="15">
        <f>HI613*SQRT(AR303)</f>
        <v>430.41462568086598</v>
      </c>
      <c r="HK613" s="15">
        <f t="shared" si="546"/>
        <v>1.4281609195402298</v>
      </c>
      <c r="HL613" s="15">
        <f t="shared" si="547"/>
        <v>1490</v>
      </c>
      <c r="HM613" s="15">
        <f t="shared" si="548"/>
        <v>0.3563875463221553</v>
      </c>
      <c r="HN613" s="15">
        <f>((HJ613*HJ613)/(AR303*HH613*HH613)+(HG613*HG613)/(AR303*HE613*HE613))</f>
        <v>4.9999999999999992E-3</v>
      </c>
      <c r="HP613" s="15" t="s">
        <v>766</v>
      </c>
      <c r="HV613" s="15">
        <f t="shared" si="549"/>
        <v>23.67506970171441</v>
      </c>
      <c r="HW613" s="15">
        <f t="shared" si="550"/>
        <v>0.3563875463221553</v>
      </c>
      <c r="HX613" s="15">
        <f>BB613</f>
        <v>843.75</v>
      </c>
      <c r="HY613" s="15">
        <f>AZ613</f>
        <v>1406.25</v>
      </c>
      <c r="HZ613" s="15">
        <f>BA613</f>
        <v>0.4799488054607508</v>
      </c>
      <c r="IA613" s="15">
        <f>BB613</f>
        <v>843.75</v>
      </c>
    </row>
    <row r="614" spans="1:235" s="15" customFormat="1" x14ac:dyDescent="0.25">
      <c r="A614" s="31">
        <v>612</v>
      </c>
      <c r="B614" s="1">
        <v>95</v>
      </c>
      <c r="C614" s="1">
        <v>113</v>
      </c>
      <c r="D614" s="15" t="s">
        <v>1466</v>
      </c>
      <c r="E614" s="1">
        <v>1</v>
      </c>
      <c r="F614" s="15" t="s">
        <v>761</v>
      </c>
      <c r="G614" s="15" t="s">
        <v>1427</v>
      </c>
      <c r="H614" s="15" t="s">
        <v>1428</v>
      </c>
      <c r="I614" s="1">
        <v>2004</v>
      </c>
      <c r="J614" s="15" t="s">
        <v>1263</v>
      </c>
      <c r="K614" s="1" t="s">
        <v>1429</v>
      </c>
      <c r="L614" s="15" t="s">
        <v>1362</v>
      </c>
      <c r="M614" s="15" t="s">
        <v>480</v>
      </c>
      <c r="N614" s="15" t="s">
        <v>520</v>
      </c>
      <c r="O614" s="31">
        <v>2</v>
      </c>
      <c r="P614" s="15">
        <v>29.17</v>
      </c>
      <c r="Q614" s="15">
        <v>119.18</v>
      </c>
      <c r="S614" s="15">
        <v>1333</v>
      </c>
      <c r="T614" s="15">
        <v>17.100000000000001</v>
      </c>
      <c r="U614" s="15" t="s">
        <v>549</v>
      </c>
      <c r="V614" s="31">
        <v>1</v>
      </c>
      <c r="W614" s="15" t="s">
        <v>1430</v>
      </c>
      <c r="X614" s="15" t="s">
        <v>1433</v>
      </c>
      <c r="Y614" s="1">
        <v>10</v>
      </c>
      <c r="Z614" s="15">
        <v>4.8600000000000003</v>
      </c>
      <c r="AA614" s="15" t="s">
        <v>574</v>
      </c>
      <c r="AB614" s="15">
        <f t="shared" si="541"/>
        <v>4.8600000000000003</v>
      </c>
      <c r="AC614" s="1">
        <v>2</v>
      </c>
      <c r="AD614" s="15">
        <v>3.3</v>
      </c>
      <c r="AF614" s="15">
        <v>5.76</v>
      </c>
      <c r="AH614" s="15">
        <v>6</v>
      </c>
      <c r="AJ614" s="15">
        <v>44.2</v>
      </c>
      <c r="AM614" s="1">
        <v>1</v>
      </c>
      <c r="AP614" s="15" t="s">
        <v>1431</v>
      </c>
      <c r="AQ614" s="1">
        <v>1</v>
      </c>
      <c r="AR614" s="1">
        <v>3</v>
      </c>
      <c r="AT614" s="15" t="s">
        <v>576</v>
      </c>
      <c r="AW614" s="15">
        <v>1875</v>
      </c>
      <c r="AX614" s="15">
        <f t="shared" si="539"/>
        <v>1875</v>
      </c>
      <c r="AY614" s="15" t="s">
        <v>766</v>
      </c>
      <c r="AZ614" s="15">
        <f t="shared" si="532"/>
        <v>1875</v>
      </c>
      <c r="BA614" s="15">
        <f t="shared" si="533"/>
        <v>0.63993174061433444</v>
      </c>
      <c r="BB614" s="15">
        <f t="shared" si="534"/>
        <v>1125</v>
      </c>
      <c r="FK614" s="16">
        <f t="shared" si="554"/>
        <v>5.2</v>
      </c>
      <c r="FL614" s="16">
        <f t="shared" si="555"/>
        <v>6.78</v>
      </c>
      <c r="FM614" s="15">
        <v>5.2</v>
      </c>
      <c r="FN614" s="15">
        <f t="shared" si="542"/>
        <v>0.26</v>
      </c>
      <c r="FO614" s="15">
        <f>FN614*SQRT(AR614)</f>
        <v>0.4503332099679081</v>
      </c>
      <c r="FP614" s="15">
        <v>6.78</v>
      </c>
      <c r="FQ614" s="15">
        <f t="shared" si="551"/>
        <v>0.33900000000000002</v>
      </c>
      <c r="FR614" s="15">
        <f>FQ614*SQRT(AR614)</f>
        <v>0.58716522376584945</v>
      </c>
      <c r="FS614" s="15">
        <f t="shared" si="552"/>
        <v>1.3038461538461539</v>
      </c>
      <c r="FT614" s="15">
        <f t="shared" si="553"/>
        <v>1.58</v>
      </c>
      <c r="FU614" s="15">
        <f t="shared" si="556"/>
        <v>0.26531847636492256</v>
      </c>
      <c r="FV614" s="15">
        <f>((FR614*FR614)/(AR614*FP614*FP614)+(FO614*FO614)/(AR614*FM614*FM614))</f>
        <v>5.0000000000000001E-3</v>
      </c>
      <c r="HE614" s="15">
        <v>3480</v>
      </c>
      <c r="HF614" s="15">
        <f t="shared" si="537"/>
        <v>174</v>
      </c>
      <c r="HG614" s="15">
        <f>HF614*SQRT(AR304)</f>
        <v>301.37684051698466</v>
      </c>
      <c r="HH614" s="15">
        <v>4140</v>
      </c>
      <c r="HI614" s="15">
        <f t="shared" si="538"/>
        <v>207</v>
      </c>
      <c r="HJ614" s="15">
        <f>HI614*SQRT(AR304)</f>
        <v>358.53451716675755</v>
      </c>
      <c r="HK614" s="15">
        <f t="shared" si="546"/>
        <v>1.1896551724137931</v>
      </c>
      <c r="HL614" s="15">
        <f t="shared" si="547"/>
        <v>660</v>
      </c>
      <c r="HM614" s="15">
        <f t="shared" si="548"/>
        <v>0.17366349405084058</v>
      </c>
      <c r="HN614" s="15">
        <f>((HJ614*HJ614)/(AR304*HH614*HH614)+(HG614*HG614)/(AR304*HE614*HE614))</f>
        <v>4.9999999999999992E-3</v>
      </c>
      <c r="HP614" s="15" t="s">
        <v>766</v>
      </c>
      <c r="HV614" s="15">
        <f t="shared" si="549"/>
        <v>64.780454070021904</v>
      </c>
      <c r="HW614" s="15">
        <f t="shared" si="550"/>
        <v>0.17366349405084058</v>
      </c>
      <c r="HX614" s="15">
        <f>BB614</f>
        <v>1125</v>
      </c>
      <c r="HY614" s="15">
        <f>AZ614</f>
        <v>1875</v>
      </c>
      <c r="HZ614" s="15">
        <f>BA614</f>
        <v>0.63993174061433444</v>
      </c>
      <c r="IA614" s="15">
        <f>BB614</f>
        <v>1125</v>
      </c>
    </row>
    <row r="615" spans="1:235" s="15" customFormat="1" x14ac:dyDescent="0.25">
      <c r="A615" s="31">
        <v>613</v>
      </c>
      <c r="B615" s="1">
        <v>95</v>
      </c>
      <c r="C615" s="1">
        <v>113</v>
      </c>
      <c r="D615" s="15" t="s">
        <v>1467</v>
      </c>
      <c r="E615" s="1">
        <v>1</v>
      </c>
      <c r="F615" s="15" t="s">
        <v>761</v>
      </c>
      <c r="G615" s="15" t="s">
        <v>1427</v>
      </c>
      <c r="H615" s="15" t="s">
        <v>1428</v>
      </c>
      <c r="I615" s="1">
        <v>2004</v>
      </c>
      <c r="J615" s="15" t="s">
        <v>1263</v>
      </c>
      <c r="K615" s="1" t="s">
        <v>1429</v>
      </c>
      <c r="L615" s="15" t="s">
        <v>1362</v>
      </c>
      <c r="M615" s="15" t="s">
        <v>480</v>
      </c>
      <c r="N615" s="15" t="s">
        <v>520</v>
      </c>
      <c r="O615" s="31">
        <v>2</v>
      </c>
      <c r="P615" s="15">
        <v>29.17</v>
      </c>
      <c r="Q615" s="15">
        <v>119.18</v>
      </c>
      <c r="S615" s="15">
        <v>1333</v>
      </c>
      <c r="T615" s="15">
        <v>17.100000000000001</v>
      </c>
      <c r="U615" s="15" t="s">
        <v>549</v>
      </c>
      <c r="V615" s="31">
        <v>1</v>
      </c>
      <c r="W615" s="15" t="s">
        <v>1430</v>
      </c>
      <c r="X615" s="15" t="s">
        <v>729</v>
      </c>
      <c r="Y615" s="61">
        <v>11</v>
      </c>
      <c r="Z615" s="15">
        <v>4.8600000000000003</v>
      </c>
      <c r="AA615" s="15" t="s">
        <v>574</v>
      </c>
      <c r="AB615" s="15">
        <f t="shared" si="541"/>
        <v>4.8600000000000003</v>
      </c>
      <c r="AC615" s="1">
        <v>2</v>
      </c>
      <c r="AD615" s="15">
        <v>3.3</v>
      </c>
      <c r="AF615" s="15">
        <v>5.76</v>
      </c>
      <c r="AH615" s="15">
        <v>6</v>
      </c>
      <c r="AJ615" s="15">
        <v>44.2</v>
      </c>
      <c r="AM615" s="1">
        <v>1</v>
      </c>
      <c r="AP615" s="15" t="s">
        <v>1431</v>
      </c>
      <c r="AQ615" s="1">
        <v>1</v>
      </c>
      <c r="AR615" s="1">
        <v>3</v>
      </c>
      <c r="AT615" s="15" t="s">
        <v>576</v>
      </c>
      <c r="AW615" s="15">
        <f>AW555/9</f>
        <v>416.66666666666669</v>
      </c>
      <c r="AX615" s="15">
        <f t="shared" si="539"/>
        <v>416.66666666666669</v>
      </c>
      <c r="AY615" s="15" t="s">
        <v>766</v>
      </c>
      <c r="AZ615" s="15">
        <f t="shared" si="532"/>
        <v>416.66666666666669</v>
      </c>
      <c r="BA615" s="15">
        <f t="shared" si="533"/>
        <v>0.1422070534698521</v>
      </c>
      <c r="BB615" s="15">
        <f t="shared" si="534"/>
        <v>250</v>
      </c>
      <c r="FK615" s="16">
        <f t="shared" si="554"/>
        <v>5.0999999999999996</v>
      </c>
      <c r="FL615" s="16">
        <f t="shared" si="555"/>
        <v>5.41</v>
      </c>
      <c r="FM615" s="15">
        <v>5.0999999999999996</v>
      </c>
      <c r="FN615" s="15">
        <f t="shared" si="542"/>
        <v>0.255</v>
      </c>
      <c r="FO615" s="15">
        <f>FN615*SQRT(AR615)</f>
        <v>0.44167295593006367</v>
      </c>
      <c r="FP615" s="15">
        <v>5.41</v>
      </c>
      <c r="FQ615" s="15">
        <f t="shared" si="551"/>
        <v>0.27050000000000002</v>
      </c>
      <c r="FR615" s="15">
        <f>FQ615*SQRT(AR615)</f>
        <v>0.46851974344738129</v>
      </c>
      <c r="FS615" s="15">
        <f t="shared" si="552"/>
        <v>1.0607843137254902</v>
      </c>
      <c r="FT615" s="15">
        <f t="shared" si="553"/>
        <v>0.3100000000000005</v>
      </c>
      <c r="FU615" s="15">
        <f t="shared" si="556"/>
        <v>5.9008553128110153E-2</v>
      </c>
      <c r="FV615" s="15">
        <f>((FR615*FR615)/(AR615*FP615*FP615)+(FO615*FO615)/(AR615*FM615*FM615))</f>
        <v>4.9999999999999992E-3</v>
      </c>
      <c r="HE615" s="15">
        <v>680</v>
      </c>
      <c r="HF615" s="15">
        <f t="shared" si="537"/>
        <v>34</v>
      </c>
      <c r="HG615" s="15">
        <f>HF615*SQRT(AR305)</f>
        <v>83.28265125462805</v>
      </c>
      <c r="HH615" s="15">
        <v>1560</v>
      </c>
      <c r="HI615" s="15">
        <f t="shared" si="538"/>
        <v>78</v>
      </c>
      <c r="HJ615" s="15">
        <f>HI615*SQRT(AR305)</f>
        <v>191.06019993708787</v>
      </c>
      <c r="HK615" s="15">
        <f t="shared" si="546"/>
        <v>2.2941176470588234</v>
      </c>
      <c r="HL615" s="15">
        <f t="shared" si="547"/>
        <v>880</v>
      </c>
      <c r="HM615" s="15">
        <f t="shared" si="548"/>
        <v>0.83034830207343102</v>
      </c>
      <c r="HN615" s="15">
        <f>((HJ615*HJ615)/(AR305*HH615*HH615)+(HG615*HG615)/(AR305*HE615*HE615))</f>
        <v>4.9999999999999992E-3</v>
      </c>
      <c r="HP615" s="15" t="s">
        <v>766</v>
      </c>
      <c r="HV615" s="15">
        <f t="shared" si="549"/>
        <v>3.0107847438928288</v>
      </c>
      <c r="HW615" s="15">
        <f t="shared" si="550"/>
        <v>0.83034830207343102</v>
      </c>
      <c r="HX615" s="15">
        <f>BB615</f>
        <v>250</v>
      </c>
      <c r="HY615" s="15">
        <f>AZ615</f>
        <v>416.66666666666669</v>
      </c>
      <c r="HZ615" s="15">
        <f>BA615</f>
        <v>0.1422070534698521</v>
      </c>
      <c r="IA615" s="15">
        <f>BB615</f>
        <v>250</v>
      </c>
    </row>
    <row r="616" spans="1:235" s="15" customFormat="1" x14ac:dyDescent="0.25">
      <c r="A616" s="31">
        <v>614</v>
      </c>
      <c r="B616" s="1">
        <v>95</v>
      </c>
      <c r="C616" s="1">
        <v>113</v>
      </c>
      <c r="D616" s="15" t="s">
        <v>1468</v>
      </c>
      <c r="E616" s="1">
        <v>1</v>
      </c>
      <c r="F616" s="15" t="s">
        <v>761</v>
      </c>
      <c r="G616" s="15" t="s">
        <v>1427</v>
      </c>
      <c r="H616" s="15" t="s">
        <v>1428</v>
      </c>
      <c r="I616" s="1">
        <v>2004</v>
      </c>
      <c r="J616" s="15" t="s">
        <v>1263</v>
      </c>
      <c r="K616" s="1" t="s">
        <v>1429</v>
      </c>
      <c r="L616" s="15" t="s">
        <v>1362</v>
      </c>
      <c r="M616" s="15" t="s">
        <v>480</v>
      </c>
      <c r="N616" s="15" t="s">
        <v>520</v>
      </c>
      <c r="O616" s="31">
        <v>2</v>
      </c>
      <c r="P616" s="15">
        <v>29.17</v>
      </c>
      <c r="Q616" s="15">
        <v>119.18</v>
      </c>
      <c r="S616" s="15">
        <v>1333</v>
      </c>
      <c r="T616" s="15">
        <v>17.100000000000001</v>
      </c>
      <c r="U616" s="15" t="s">
        <v>549</v>
      </c>
      <c r="V616" s="31">
        <v>1</v>
      </c>
      <c r="W616" s="15" t="s">
        <v>1430</v>
      </c>
      <c r="X616" s="15" t="s">
        <v>729</v>
      </c>
      <c r="Y616" s="61">
        <v>11</v>
      </c>
      <c r="Z616" s="15">
        <v>4.8600000000000003</v>
      </c>
      <c r="AA616" s="15" t="s">
        <v>574</v>
      </c>
      <c r="AB616" s="15">
        <f t="shared" si="541"/>
        <v>4.8600000000000003</v>
      </c>
      <c r="AC616" s="1">
        <v>2</v>
      </c>
      <c r="AD616" s="15">
        <v>3.3</v>
      </c>
      <c r="AF616" s="15">
        <v>5.76</v>
      </c>
      <c r="AH616" s="15">
        <v>6</v>
      </c>
      <c r="AJ616" s="15">
        <v>44.2</v>
      </c>
      <c r="AM616" s="1">
        <v>1</v>
      </c>
      <c r="AP616" s="15" t="s">
        <v>1431</v>
      </c>
      <c r="AQ616" s="1">
        <v>1</v>
      </c>
      <c r="AR616" s="1">
        <v>3</v>
      </c>
      <c r="AT616" s="15" t="s">
        <v>576</v>
      </c>
      <c r="AW616" s="15">
        <f>AW556/9</f>
        <v>833.33333333333337</v>
      </c>
      <c r="AX616" s="15">
        <f t="shared" si="539"/>
        <v>833.33333333333337</v>
      </c>
      <c r="AY616" s="15" t="s">
        <v>766</v>
      </c>
      <c r="AZ616" s="15">
        <f t="shared" ref="AZ616:AZ666" si="557">AX616</f>
        <v>833.33333333333337</v>
      </c>
      <c r="BA616" s="15">
        <f t="shared" ref="BA616:BA666" si="558">AZ616/2.93/1000</f>
        <v>0.2844141069397042</v>
      </c>
      <c r="BB616" s="15">
        <f t="shared" ref="BB616:BB666" si="559">AZ616*0.6</f>
        <v>500</v>
      </c>
      <c r="FK616" s="16">
        <f t="shared" si="554"/>
        <v>5.0999999999999996</v>
      </c>
      <c r="FL616" s="16">
        <f t="shared" si="555"/>
        <v>5.62</v>
      </c>
      <c r="FM616" s="15">
        <v>5.0999999999999996</v>
      </c>
      <c r="FN616" s="15">
        <f t="shared" si="542"/>
        <v>0.255</v>
      </c>
      <c r="FO616" s="15">
        <f>FN616*SQRT(AR616)</f>
        <v>0.44167295593006367</v>
      </c>
      <c r="FP616" s="15">
        <v>5.62</v>
      </c>
      <c r="FQ616" s="15">
        <f t="shared" si="551"/>
        <v>0.28100000000000003</v>
      </c>
      <c r="FR616" s="15">
        <f>FQ616*SQRT(AR616)</f>
        <v>0.48670627692685453</v>
      </c>
      <c r="FS616" s="15">
        <f t="shared" si="552"/>
        <v>1.1019607843137256</v>
      </c>
      <c r="FT616" s="15">
        <f t="shared" si="553"/>
        <v>0.52000000000000046</v>
      </c>
      <c r="FU616" s="15">
        <f t="shared" si="556"/>
        <v>9.7091124175319621E-2</v>
      </c>
      <c r="FV616" s="15">
        <f>((FR616*FR616)/(AR616*FP616*FP616)+(FO616*FO616)/(AR616*FM616*FM616))</f>
        <v>5.000000000000001E-3</v>
      </c>
      <c r="HE616" s="15">
        <v>680</v>
      </c>
      <c r="HF616" s="15">
        <f t="shared" ref="HF616:HF679" si="560">HE616*0.05</f>
        <v>34</v>
      </c>
      <c r="HG616" s="15">
        <f>HF616*SQRT(AR306)</f>
        <v>83.28265125462805</v>
      </c>
      <c r="HH616" s="15">
        <v>1890</v>
      </c>
      <c r="HI616" s="15">
        <f t="shared" ref="HI616:HI679" si="561">HH616*0.05</f>
        <v>94.5</v>
      </c>
      <c r="HJ616" s="15">
        <f>HI616*SQRT(AR306)</f>
        <v>231.47678069301031</v>
      </c>
      <c r="HK616" s="15">
        <f t="shared" si="546"/>
        <v>2.7794117647058822</v>
      </c>
      <c r="HL616" s="15">
        <f t="shared" si="547"/>
        <v>1210</v>
      </c>
      <c r="HM616" s="15">
        <f t="shared" si="548"/>
        <v>1.0222393098835365</v>
      </c>
      <c r="HN616" s="15">
        <f>((HJ616*HJ616)/(AR306*HH616*HH616)+(HG616*HG616)/(AR306*HE616*HE616))</f>
        <v>4.9999999999999992E-3</v>
      </c>
      <c r="HP616" s="15" t="s">
        <v>766</v>
      </c>
      <c r="HV616" s="15">
        <f t="shared" si="549"/>
        <v>4.8912225852179851</v>
      </c>
      <c r="HW616" s="15">
        <f t="shared" si="550"/>
        <v>1.0222393098835365</v>
      </c>
      <c r="HX616" s="15">
        <f>BB616</f>
        <v>500</v>
      </c>
      <c r="HY616" s="15">
        <f>AZ616</f>
        <v>833.33333333333337</v>
      </c>
      <c r="HZ616" s="15">
        <f>BA616</f>
        <v>0.2844141069397042</v>
      </c>
      <c r="IA616" s="15">
        <f>BB616</f>
        <v>500</v>
      </c>
    </row>
    <row r="617" spans="1:235" s="15" customFormat="1" x14ac:dyDescent="0.25">
      <c r="A617" s="31">
        <v>615</v>
      </c>
      <c r="B617" s="1">
        <v>95</v>
      </c>
      <c r="C617" s="1">
        <v>113</v>
      </c>
      <c r="D617" s="15" t="s">
        <v>1469</v>
      </c>
      <c r="E617" s="1">
        <v>1</v>
      </c>
      <c r="F617" s="15" t="s">
        <v>761</v>
      </c>
      <c r="G617" s="15" t="s">
        <v>1427</v>
      </c>
      <c r="H617" s="15" t="s">
        <v>1428</v>
      </c>
      <c r="I617" s="1">
        <v>2004</v>
      </c>
      <c r="J617" s="15" t="s">
        <v>1263</v>
      </c>
      <c r="K617" s="1" t="s">
        <v>1429</v>
      </c>
      <c r="L617" s="15" t="s">
        <v>1362</v>
      </c>
      <c r="M617" s="15" t="s">
        <v>480</v>
      </c>
      <c r="N617" s="15" t="s">
        <v>520</v>
      </c>
      <c r="O617" s="31">
        <v>2</v>
      </c>
      <c r="P617" s="15">
        <v>29.17</v>
      </c>
      <c r="Q617" s="15">
        <v>119.18</v>
      </c>
      <c r="S617" s="15">
        <v>1333</v>
      </c>
      <c r="T617" s="15">
        <v>17.100000000000001</v>
      </c>
      <c r="U617" s="15" t="s">
        <v>549</v>
      </c>
      <c r="V617" s="31">
        <v>1</v>
      </c>
      <c r="W617" s="15" t="s">
        <v>1430</v>
      </c>
      <c r="X617" s="15" t="s">
        <v>729</v>
      </c>
      <c r="Y617" s="61">
        <v>11</v>
      </c>
      <c r="Z617" s="15">
        <v>4.8600000000000003</v>
      </c>
      <c r="AA617" s="15" t="s">
        <v>574</v>
      </c>
      <c r="AB617" s="15">
        <f t="shared" si="541"/>
        <v>4.8600000000000003</v>
      </c>
      <c r="AC617" s="1">
        <v>2</v>
      </c>
      <c r="AD617" s="15">
        <v>3.3</v>
      </c>
      <c r="AF617" s="15">
        <v>5.76</v>
      </c>
      <c r="AH617" s="15">
        <v>6</v>
      </c>
      <c r="AJ617" s="15">
        <v>44.2</v>
      </c>
      <c r="AM617" s="1">
        <v>1</v>
      </c>
      <c r="AP617" s="15" t="s">
        <v>1431</v>
      </c>
      <c r="AQ617" s="1">
        <v>1</v>
      </c>
      <c r="AR617" s="1">
        <v>3</v>
      </c>
      <c r="AT617" s="15" t="s">
        <v>576</v>
      </c>
      <c r="AW617" s="15">
        <f>AW557/9</f>
        <v>1250</v>
      </c>
      <c r="AX617" s="15">
        <f t="shared" si="539"/>
        <v>1250</v>
      </c>
      <c r="AY617" s="15" t="s">
        <v>766</v>
      </c>
      <c r="AZ617" s="15">
        <f t="shared" si="557"/>
        <v>1250</v>
      </c>
      <c r="BA617" s="15">
        <f t="shared" si="558"/>
        <v>0.42662116040955628</v>
      </c>
      <c r="BB617" s="15">
        <f t="shared" si="559"/>
        <v>750</v>
      </c>
      <c r="FK617" s="16">
        <f t="shared" si="554"/>
        <v>5.0999999999999996</v>
      </c>
      <c r="FL617" s="16">
        <f t="shared" si="555"/>
        <v>5.98</v>
      </c>
      <c r="FM617" s="15">
        <v>5.0999999999999996</v>
      </c>
      <c r="FN617" s="15">
        <f t="shared" si="542"/>
        <v>0.255</v>
      </c>
      <c r="FO617" s="15">
        <f>FN617*SQRT(AR617)</f>
        <v>0.44167295593006367</v>
      </c>
      <c r="FP617" s="15">
        <v>5.98</v>
      </c>
      <c r="FQ617" s="15">
        <f t="shared" si="551"/>
        <v>0.29900000000000004</v>
      </c>
      <c r="FR617" s="15">
        <f>FQ617*SQRT(AR617)</f>
        <v>0.51788319146309436</v>
      </c>
      <c r="FS617" s="15">
        <f t="shared" si="552"/>
        <v>1.1725490196078434</v>
      </c>
      <c r="FT617" s="15">
        <f t="shared" si="553"/>
        <v>0.88000000000000078</v>
      </c>
      <c r="FU617" s="15">
        <f t="shared" si="556"/>
        <v>0.15918002823226041</v>
      </c>
      <c r="FV617" s="15">
        <f>((FR617*FR617)/(AR617*FP617*FP617)+(FO617*FO617)/(AR617*FM617*FM617))</f>
        <v>5.0000000000000001E-3</v>
      </c>
      <c r="HE617" s="15">
        <v>680</v>
      </c>
      <c r="HF617" s="15">
        <f t="shared" si="560"/>
        <v>34</v>
      </c>
      <c r="HG617" s="15">
        <f>HF617*SQRT(AR307)</f>
        <v>83.28265125462805</v>
      </c>
      <c r="HH617" s="15">
        <v>2130</v>
      </c>
      <c r="HI617" s="15">
        <f t="shared" si="561"/>
        <v>106.5</v>
      </c>
      <c r="HJ617" s="15">
        <f>HI617*SQRT(AR307)</f>
        <v>260.87065760640843</v>
      </c>
      <c r="HK617" s="15">
        <f t="shared" si="546"/>
        <v>3.1323529411764706</v>
      </c>
      <c r="HL617" s="15">
        <f t="shared" si="547"/>
        <v>1450</v>
      </c>
      <c r="HM617" s="15">
        <f t="shared" si="548"/>
        <v>1.1417844605333185</v>
      </c>
      <c r="HN617" s="15">
        <f>((HJ617*HJ617)/(AR307*HH617*HH617)+(HG617*HG617)/(AR307*HE617*HE617))</f>
        <v>4.9999999999999992E-3</v>
      </c>
      <c r="HP617" s="15" t="s">
        <v>766</v>
      </c>
      <c r="HV617" s="15">
        <f t="shared" si="549"/>
        <v>6.5686653297915871</v>
      </c>
      <c r="HW617" s="15">
        <f t="shared" si="550"/>
        <v>1.1417844605333185</v>
      </c>
      <c r="HX617" s="15">
        <f>BB617</f>
        <v>750</v>
      </c>
      <c r="HY617" s="15">
        <f>AZ617</f>
        <v>1250</v>
      </c>
      <c r="HZ617" s="15">
        <f>BA617</f>
        <v>0.42662116040955628</v>
      </c>
      <c r="IA617" s="15">
        <f>BB617</f>
        <v>750</v>
      </c>
    </row>
    <row r="618" spans="1:235" s="15" customFormat="1" x14ac:dyDescent="0.25">
      <c r="A618" s="31">
        <v>616</v>
      </c>
      <c r="B618" s="1">
        <v>95</v>
      </c>
      <c r="C618" s="1">
        <v>113</v>
      </c>
      <c r="D618" s="15" t="s">
        <v>1470</v>
      </c>
      <c r="E618" s="1">
        <v>1</v>
      </c>
      <c r="F618" s="15" t="s">
        <v>761</v>
      </c>
      <c r="G618" s="15" t="s">
        <v>1427</v>
      </c>
      <c r="H618" s="15" t="s">
        <v>1428</v>
      </c>
      <c r="I618" s="1">
        <v>2004</v>
      </c>
      <c r="J618" s="15" t="s">
        <v>1263</v>
      </c>
      <c r="K618" s="1" t="s">
        <v>1429</v>
      </c>
      <c r="L618" s="15" t="s">
        <v>1362</v>
      </c>
      <c r="M618" s="15" t="s">
        <v>480</v>
      </c>
      <c r="N618" s="15" t="s">
        <v>520</v>
      </c>
      <c r="O618" s="31">
        <v>2</v>
      </c>
      <c r="P618" s="15">
        <v>29.17</v>
      </c>
      <c r="Q618" s="15">
        <v>119.18</v>
      </c>
      <c r="S618" s="15">
        <v>1333</v>
      </c>
      <c r="T618" s="15">
        <v>17.100000000000001</v>
      </c>
      <c r="U618" s="15" t="s">
        <v>549</v>
      </c>
      <c r="V618" s="31">
        <v>1</v>
      </c>
      <c r="W618" s="15" t="s">
        <v>1430</v>
      </c>
      <c r="X618" s="15" t="s">
        <v>729</v>
      </c>
      <c r="Y618" s="61">
        <v>11</v>
      </c>
      <c r="Z618" s="15">
        <v>4.8600000000000003</v>
      </c>
      <c r="AA618" s="15" t="s">
        <v>574</v>
      </c>
      <c r="AB618" s="15">
        <f t="shared" si="541"/>
        <v>4.8600000000000003</v>
      </c>
      <c r="AC618" s="1">
        <v>2</v>
      </c>
      <c r="AD618" s="15">
        <v>3.3</v>
      </c>
      <c r="AF618" s="15">
        <v>5.76</v>
      </c>
      <c r="AH618" s="15">
        <v>6</v>
      </c>
      <c r="AJ618" s="15">
        <v>44.2</v>
      </c>
      <c r="AM618" s="1">
        <v>1</v>
      </c>
      <c r="AP618" s="15" t="s">
        <v>1431</v>
      </c>
      <c r="AQ618" s="1">
        <v>1</v>
      </c>
      <c r="AR618" s="1">
        <v>3</v>
      </c>
      <c r="AT618" s="15" t="s">
        <v>576</v>
      </c>
      <c r="AW618" s="15">
        <f>AW558/9</f>
        <v>1666.6666666666667</v>
      </c>
      <c r="AX618" s="15">
        <f t="shared" si="539"/>
        <v>1666.6666666666667</v>
      </c>
      <c r="AY618" s="15" t="s">
        <v>766</v>
      </c>
      <c r="AZ618" s="15">
        <f t="shared" si="557"/>
        <v>1666.6666666666667</v>
      </c>
      <c r="BA618" s="15">
        <f t="shared" si="558"/>
        <v>0.56882821387940841</v>
      </c>
      <c r="BB618" s="15">
        <f t="shared" si="559"/>
        <v>1000</v>
      </c>
      <c r="FK618" s="16">
        <f t="shared" si="554"/>
        <v>5.0999999999999996</v>
      </c>
      <c r="FL618" s="16">
        <f t="shared" si="555"/>
        <v>6.42</v>
      </c>
      <c r="FM618" s="15">
        <v>5.0999999999999996</v>
      </c>
      <c r="FN618" s="15">
        <f t="shared" si="542"/>
        <v>0.255</v>
      </c>
      <c r="FO618" s="15">
        <f>FN618*SQRT(AR618)</f>
        <v>0.44167295593006367</v>
      </c>
      <c r="FP618" s="15">
        <v>6.42</v>
      </c>
      <c r="FQ618" s="15">
        <f t="shared" si="551"/>
        <v>0.32100000000000001</v>
      </c>
      <c r="FR618" s="15">
        <f>FQ618*SQRT(AR618)</f>
        <v>0.55598830922960962</v>
      </c>
      <c r="FS618" s="15">
        <f t="shared" si="552"/>
        <v>1.2588235294117647</v>
      </c>
      <c r="FT618" s="15">
        <f t="shared" si="553"/>
        <v>1.3200000000000003</v>
      </c>
      <c r="FU618" s="15">
        <f t="shared" si="556"/>
        <v>0.23017757797158978</v>
      </c>
      <c r="FV618" s="15">
        <f>((FR618*FR618)/(AR618*FP618*FP618)+(FO618*FO618)/(AR618*FM618*FM618))</f>
        <v>5.000000000000001E-3</v>
      </c>
      <c r="HE618" s="15">
        <v>680</v>
      </c>
      <c r="HF618" s="15">
        <f t="shared" si="560"/>
        <v>34</v>
      </c>
      <c r="HG618" s="15">
        <f>HF618*SQRT(AR308)</f>
        <v>83.28265125462805</v>
      </c>
      <c r="HH618" s="15">
        <v>2270</v>
      </c>
      <c r="HI618" s="15">
        <f t="shared" si="561"/>
        <v>113.5</v>
      </c>
      <c r="HJ618" s="15">
        <f>HI618*SQRT(AR308)</f>
        <v>278.0170858058907</v>
      </c>
      <c r="HK618" s="15">
        <f t="shared" si="546"/>
        <v>3.3382352941176472</v>
      </c>
      <c r="HL618" s="15">
        <f t="shared" si="547"/>
        <v>1590</v>
      </c>
      <c r="HM618" s="15">
        <f t="shared" si="548"/>
        <v>1.205442312305296</v>
      </c>
      <c r="HN618" s="15">
        <f>((HJ618*HJ618)/(AR308*HH618*HH618)+(HG618*HG618)/(AR308*HE618*HE618))</f>
        <v>4.9999999999999992E-3</v>
      </c>
      <c r="HP618" s="15" t="s">
        <v>766</v>
      </c>
      <c r="HV618" s="15">
        <f t="shared" si="549"/>
        <v>8.2957101289035826</v>
      </c>
      <c r="HW618" s="15">
        <f t="shared" si="550"/>
        <v>1.205442312305296</v>
      </c>
      <c r="HX618" s="15">
        <f>BB618</f>
        <v>1000</v>
      </c>
      <c r="HY618" s="15">
        <f>AZ618</f>
        <v>1666.6666666666667</v>
      </c>
      <c r="HZ618" s="15">
        <f>BA618</f>
        <v>0.56882821387940841</v>
      </c>
      <c r="IA618" s="15">
        <f>BB618</f>
        <v>1000</v>
      </c>
    </row>
    <row r="619" spans="1:235" s="15" customFormat="1" x14ac:dyDescent="0.25">
      <c r="A619" s="31">
        <v>617</v>
      </c>
      <c r="B619" s="1">
        <v>95</v>
      </c>
      <c r="C619" s="1">
        <v>113</v>
      </c>
      <c r="D619" s="15" t="s">
        <v>1471</v>
      </c>
      <c r="E619" s="1">
        <v>1</v>
      </c>
      <c r="F619" s="15" t="s">
        <v>761</v>
      </c>
      <c r="G619" s="15" t="s">
        <v>1427</v>
      </c>
      <c r="H619" s="15" t="s">
        <v>1428</v>
      </c>
      <c r="I619" s="1">
        <v>2004</v>
      </c>
      <c r="J619" s="15" t="s">
        <v>1263</v>
      </c>
      <c r="K619" s="1" t="s">
        <v>1429</v>
      </c>
      <c r="L619" s="15" t="s">
        <v>1362</v>
      </c>
      <c r="M619" s="15" t="s">
        <v>480</v>
      </c>
      <c r="N619" s="15" t="s">
        <v>520</v>
      </c>
      <c r="O619" s="31">
        <v>2</v>
      </c>
      <c r="P619" s="15">
        <v>29.17</v>
      </c>
      <c r="Q619" s="15">
        <v>119.18</v>
      </c>
      <c r="S619" s="15">
        <v>1333</v>
      </c>
      <c r="T619" s="15">
        <v>17.100000000000001</v>
      </c>
      <c r="U619" s="15" t="s">
        <v>549</v>
      </c>
      <c r="V619" s="31">
        <v>1</v>
      </c>
      <c r="W619" s="15" t="s">
        <v>1430</v>
      </c>
      <c r="X619" s="15" t="s">
        <v>1440</v>
      </c>
      <c r="Y619" s="1">
        <v>3</v>
      </c>
      <c r="Z619" s="15">
        <v>4.8600000000000003</v>
      </c>
      <c r="AA619" s="15" t="s">
        <v>574</v>
      </c>
      <c r="AB619" s="15">
        <f t="shared" si="541"/>
        <v>4.8600000000000003</v>
      </c>
      <c r="AC619" s="1">
        <v>2</v>
      </c>
      <c r="AD619" s="15">
        <v>3.3</v>
      </c>
      <c r="AF619" s="15">
        <v>5.76</v>
      </c>
      <c r="AH619" s="15">
        <v>6</v>
      </c>
      <c r="AJ619" s="15">
        <v>44.2</v>
      </c>
      <c r="AM619" s="1">
        <v>1</v>
      </c>
      <c r="AP619" s="15" t="s">
        <v>1431</v>
      </c>
      <c r="AQ619" s="1">
        <v>1</v>
      </c>
      <c r="AR619" s="1">
        <v>3</v>
      </c>
      <c r="AT619" s="15" t="s">
        <v>576</v>
      </c>
      <c r="AW619" s="15">
        <v>416.66666666666669</v>
      </c>
      <c r="AX619" s="15">
        <f t="shared" ref="AX619:AX666" si="562">AW619</f>
        <v>416.66666666666669</v>
      </c>
      <c r="AY619" s="15" t="s">
        <v>766</v>
      </c>
      <c r="AZ619" s="15">
        <f t="shared" si="557"/>
        <v>416.66666666666669</v>
      </c>
      <c r="BA619" s="15">
        <f t="shared" si="558"/>
        <v>0.1422070534698521</v>
      </c>
      <c r="BB619" s="15">
        <f t="shared" si="559"/>
        <v>250</v>
      </c>
      <c r="FK619" s="16">
        <f t="shared" si="554"/>
        <v>5.0999999999999996</v>
      </c>
      <c r="FL619" s="16">
        <f t="shared" si="555"/>
        <v>5.41</v>
      </c>
      <c r="FM619" s="15">
        <v>5.0999999999999996</v>
      </c>
      <c r="FN619" s="15">
        <f t="shared" si="542"/>
        <v>0.255</v>
      </c>
      <c r="FO619" s="15">
        <f>FN619*SQRT(AR619)</f>
        <v>0.44167295593006367</v>
      </c>
      <c r="FP619" s="15">
        <v>5.41</v>
      </c>
      <c r="FQ619" s="15">
        <f t="shared" si="551"/>
        <v>0.27050000000000002</v>
      </c>
      <c r="FR619" s="15">
        <f>FQ619*SQRT(AR619)</f>
        <v>0.46851974344738129</v>
      </c>
      <c r="FS619" s="15">
        <f t="shared" si="552"/>
        <v>1.0607843137254902</v>
      </c>
      <c r="FT619" s="15">
        <f t="shared" si="553"/>
        <v>0.3100000000000005</v>
      </c>
      <c r="FU619" s="15">
        <f t="shared" si="556"/>
        <v>5.9008553128110153E-2</v>
      </c>
      <c r="FV619" s="15">
        <f>((FR619*FR619)/(AR619*FP619*FP619)+(FO619*FO619)/(AR619*FM619*FM619))</f>
        <v>4.9999999999999992E-3</v>
      </c>
      <c r="HE619" s="15">
        <v>210</v>
      </c>
      <c r="HF619" s="15">
        <f t="shared" si="560"/>
        <v>10.5</v>
      </c>
      <c r="HG619" s="15">
        <f>HF619*SQRT(AR309)</f>
        <v>25.719642299223366</v>
      </c>
      <c r="HH619" s="15">
        <v>530</v>
      </c>
      <c r="HI619" s="15">
        <f t="shared" si="561"/>
        <v>26.5</v>
      </c>
      <c r="HJ619" s="15">
        <f>HI619*SQRT(AR309)</f>
        <v>64.911478183754213</v>
      </c>
      <c r="HK619" s="15">
        <f t="shared" si="546"/>
        <v>2.5238095238095237</v>
      </c>
      <c r="HL619" s="15">
        <f t="shared" si="547"/>
        <v>320</v>
      </c>
      <c r="HM619" s="15">
        <f t="shared" si="548"/>
        <v>0.92576947582869895</v>
      </c>
      <c r="HN619" s="15">
        <f>((HJ619*HJ619)/(AR309*HH619*HH619)+(HG619*HG619)/(AR309*HE619*HE619))</f>
        <v>4.9999999999999992E-3</v>
      </c>
      <c r="HP619" s="15" t="s">
        <v>766</v>
      </c>
      <c r="HV619" s="15">
        <f t="shared" si="549"/>
        <v>2.7004562855803114</v>
      </c>
      <c r="HW619" s="15">
        <f t="shared" si="550"/>
        <v>0.92576947582869895</v>
      </c>
      <c r="HX619" s="15">
        <f>BB619</f>
        <v>250</v>
      </c>
      <c r="HY619" s="15">
        <f>AZ619</f>
        <v>416.66666666666669</v>
      </c>
      <c r="HZ619" s="15">
        <f>BA619</f>
        <v>0.1422070534698521</v>
      </c>
      <c r="IA619" s="15">
        <f>BB619</f>
        <v>250</v>
      </c>
    </row>
    <row r="620" spans="1:235" s="15" customFormat="1" x14ac:dyDescent="0.25">
      <c r="A620" s="31">
        <v>618</v>
      </c>
      <c r="B620" s="1">
        <v>95</v>
      </c>
      <c r="C620" s="1">
        <v>113</v>
      </c>
      <c r="D620" s="15" t="s">
        <v>1472</v>
      </c>
      <c r="E620" s="1">
        <v>1</v>
      </c>
      <c r="F620" s="15" t="s">
        <v>761</v>
      </c>
      <c r="G620" s="15" t="s">
        <v>1427</v>
      </c>
      <c r="H620" s="15" t="s">
        <v>1428</v>
      </c>
      <c r="I620" s="1">
        <v>2004</v>
      </c>
      <c r="J620" s="15" t="s">
        <v>1263</v>
      </c>
      <c r="K620" s="1" t="s">
        <v>1429</v>
      </c>
      <c r="L620" s="15" t="s">
        <v>1362</v>
      </c>
      <c r="M620" s="15" t="s">
        <v>480</v>
      </c>
      <c r="N620" s="15" t="s">
        <v>520</v>
      </c>
      <c r="O620" s="31">
        <v>2</v>
      </c>
      <c r="P620" s="15">
        <v>29.17</v>
      </c>
      <c r="Q620" s="15">
        <v>119.18</v>
      </c>
      <c r="S620" s="15">
        <v>1333</v>
      </c>
      <c r="T620" s="15">
        <v>17.100000000000001</v>
      </c>
      <c r="U620" s="15" t="s">
        <v>549</v>
      </c>
      <c r="V620" s="31">
        <v>1</v>
      </c>
      <c r="W620" s="15" t="s">
        <v>1430</v>
      </c>
      <c r="X620" s="15" t="s">
        <v>1440</v>
      </c>
      <c r="Y620" s="1">
        <v>3</v>
      </c>
      <c r="Z620" s="15">
        <v>4.8600000000000003</v>
      </c>
      <c r="AA620" s="15" t="s">
        <v>574</v>
      </c>
      <c r="AB620" s="15">
        <f t="shared" si="541"/>
        <v>4.8600000000000003</v>
      </c>
      <c r="AC620" s="1">
        <v>2</v>
      </c>
      <c r="AD620" s="15">
        <v>3.3</v>
      </c>
      <c r="AF620" s="15">
        <v>5.76</v>
      </c>
      <c r="AH620" s="15">
        <v>6</v>
      </c>
      <c r="AJ620" s="15">
        <v>44.2</v>
      </c>
      <c r="AM620" s="1">
        <v>1</v>
      </c>
      <c r="AP620" s="15" t="s">
        <v>1431</v>
      </c>
      <c r="AQ620" s="1">
        <v>1</v>
      </c>
      <c r="AR620" s="1">
        <v>3</v>
      </c>
      <c r="AT620" s="15" t="s">
        <v>576</v>
      </c>
      <c r="AW620" s="15">
        <v>833.33333333333337</v>
      </c>
      <c r="AX620" s="15">
        <f t="shared" si="562"/>
        <v>833.33333333333337</v>
      </c>
      <c r="AY620" s="15" t="s">
        <v>766</v>
      </c>
      <c r="AZ620" s="15">
        <f t="shared" si="557"/>
        <v>833.33333333333337</v>
      </c>
      <c r="BA620" s="15">
        <f t="shared" si="558"/>
        <v>0.2844141069397042</v>
      </c>
      <c r="BB620" s="15">
        <f t="shared" si="559"/>
        <v>500</v>
      </c>
      <c r="FK620" s="16">
        <f t="shared" si="554"/>
        <v>5.0999999999999996</v>
      </c>
      <c r="FL620" s="16">
        <f t="shared" si="555"/>
        <v>5.62</v>
      </c>
      <c r="FM620" s="15">
        <v>5.0999999999999996</v>
      </c>
      <c r="FN620" s="15">
        <f t="shared" si="542"/>
        <v>0.255</v>
      </c>
      <c r="FO620" s="15">
        <f>FN620*SQRT(AR620)</f>
        <v>0.44167295593006367</v>
      </c>
      <c r="FP620" s="15">
        <v>5.62</v>
      </c>
      <c r="FQ620" s="15">
        <f t="shared" si="551"/>
        <v>0.28100000000000003</v>
      </c>
      <c r="FR620" s="15">
        <f>FQ620*SQRT(AR620)</f>
        <v>0.48670627692685453</v>
      </c>
      <c r="FS620" s="15">
        <f t="shared" si="552"/>
        <v>1.1019607843137256</v>
      </c>
      <c r="FT620" s="15">
        <f t="shared" si="553"/>
        <v>0.52000000000000046</v>
      </c>
      <c r="FU620" s="15">
        <f t="shared" si="556"/>
        <v>9.7091124175319621E-2</v>
      </c>
      <c r="FV620" s="15">
        <f>((FR620*FR620)/(AR620*FP620*FP620)+(FO620*FO620)/(AR620*FM620*FM620))</f>
        <v>5.000000000000001E-3</v>
      </c>
      <c r="HE620" s="15">
        <v>210</v>
      </c>
      <c r="HF620" s="15">
        <f t="shared" si="560"/>
        <v>10.5</v>
      </c>
      <c r="HG620" s="15">
        <f>HF620*SQRT(AR310)</f>
        <v>25.719642299223366</v>
      </c>
      <c r="HH620" s="15">
        <v>630</v>
      </c>
      <c r="HI620" s="15">
        <f t="shared" si="561"/>
        <v>31.5</v>
      </c>
      <c r="HJ620" s="15">
        <f>HI620*SQRT(AR310)</f>
        <v>77.158926897670099</v>
      </c>
      <c r="HK620" s="15">
        <f t="shared" si="546"/>
        <v>3</v>
      </c>
      <c r="HL620" s="15">
        <f t="shared" si="547"/>
        <v>420</v>
      </c>
      <c r="HM620" s="15">
        <f t="shared" si="548"/>
        <v>1.09861228866811</v>
      </c>
      <c r="HN620" s="15">
        <f>((HJ620*HJ620)/(AR310*HH620*HH620)+(HG620*HG620)/(AR310*HE620*HE620))</f>
        <v>4.9999999999999984E-3</v>
      </c>
      <c r="HP620" s="15" t="s">
        <v>766</v>
      </c>
      <c r="HV620" s="15">
        <f t="shared" si="549"/>
        <v>4.5511961331341855</v>
      </c>
      <c r="HW620" s="15">
        <f t="shared" si="550"/>
        <v>1.09861228866811</v>
      </c>
      <c r="HX620" s="15">
        <f>BB620</f>
        <v>500</v>
      </c>
      <c r="HY620" s="15">
        <f>AZ620</f>
        <v>833.33333333333337</v>
      </c>
      <c r="HZ620" s="15">
        <f>BA620</f>
        <v>0.2844141069397042</v>
      </c>
      <c r="IA620" s="15">
        <f>BB620</f>
        <v>500</v>
      </c>
    </row>
    <row r="621" spans="1:235" s="15" customFormat="1" x14ac:dyDescent="0.25">
      <c r="A621" s="31">
        <v>619</v>
      </c>
      <c r="B621" s="1">
        <v>95</v>
      </c>
      <c r="C621" s="1">
        <v>113</v>
      </c>
      <c r="D621" s="15" t="s">
        <v>1473</v>
      </c>
      <c r="E621" s="1">
        <v>1</v>
      </c>
      <c r="F621" s="15" t="s">
        <v>761</v>
      </c>
      <c r="G621" s="15" t="s">
        <v>1427</v>
      </c>
      <c r="H621" s="15" t="s">
        <v>1428</v>
      </c>
      <c r="I621" s="1">
        <v>2004</v>
      </c>
      <c r="J621" s="15" t="s">
        <v>1263</v>
      </c>
      <c r="K621" s="1" t="s">
        <v>1429</v>
      </c>
      <c r="L621" s="15" t="s">
        <v>1362</v>
      </c>
      <c r="M621" s="15" t="s">
        <v>480</v>
      </c>
      <c r="N621" s="15" t="s">
        <v>520</v>
      </c>
      <c r="O621" s="31">
        <v>2</v>
      </c>
      <c r="P621" s="15">
        <v>29.17</v>
      </c>
      <c r="Q621" s="15">
        <v>119.18</v>
      </c>
      <c r="S621" s="15">
        <v>1333</v>
      </c>
      <c r="T621" s="15">
        <v>17.100000000000001</v>
      </c>
      <c r="U621" s="15" t="s">
        <v>549</v>
      </c>
      <c r="V621" s="31">
        <v>1</v>
      </c>
      <c r="W621" s="15" t="s">
        <v>1430</v>
      </c>
      <c r="X621" s="15" t="s">
        <v>1440</v>
      </c>
      <c r="Y621" s="1">
        <v>3</v>
      </c>
      <c r="Z621" s="15">
        <v>4.8600000000000003</v>
      </c>
      <c r="AA621" s="15" t="s">
        <v>574</v>
      </c>
      <c r="AB621" s="15">
        <f t="shared" si="541"/>
        <v>4.8600000000000003</v>
      </c>
      <c r="AC621" s="1">
        <v>2</v>
      </c>
      <c r="AD621" s="15">
        <v>3.3</v>
      </c>
      <c r="AF621" s="15">
        <v>5.76</v>
      </c>
      <c r="AH621" s="15">
        <v>6</v>
      </c>
      <c r="AJ621" s="15">
        <v>44.2</v>
      </c>
      <c r="AM621" s="1">
        <v>1</v>
      </c>
      <c r="AP621" s="15" t="s">
        <v>1431</v>
      </c>
      <c r="AQ621" s="1">
        <v>1</v>
      </c>
      <c r="AR621" s="1">
        <v>3</v>
      </c>
      <c r="AT621" s="15" t="s">
        <v>576</v>
      </c>
      <c r="AW621" s="15">
        <v>1250</v>
      </c>
      <c r="AX621" s="15">
        <f t="shared" si="562"/>
        <v>1250</v>
      </c>
      <c r="AY621" s="15" t="s">
        <v>766</v>
      </c>
      <c r="AZ621" s="15">
        <f t="shared" si="557"/>
        <v>1250</v>
      </c>
      <c r="BA621" s="15">
        <f t="shared" si="558"/>
        <v>0.42662116040955628</v>
      </c>
      <c r="BB621" s="15">
        <f t="shared" si="559"/>
        <v>750</v>
      </c>
      <c r="FK621" s="16">
        <f t="shared" si="554"/>
        <v>5.0999999999999996</v>
      </c>
      <c r="FL621" s="16">
        <f t="shared" si="555"/>
        <v>5.98</v>
      </c>
      <c r="FM621" s="15">
        <v>5.0999999999999996</v>
      </c>
      <c r="FN621" s="15">
        <f t="shared" si="542"/>
        <v>0.255</v>
      </c>
      <c r="FO621" s="15">
        <f>FN621*SQRT(AR621)</f>
        <v>0.44167295593006367</v>
      </c>
      <c r="FP621" s="15">
        <v>5.98</v>
      </c>
      <c r="FQ621" s="15">
        <f t="shared" si="551"/>
        <v>0.29900000000000004</v>
      </c>
      <c r="FR621" s="15">
        <f>FQ621*SQRT(AR621)</f>
        <v>0.51788319146309436</v>
      </c>
      <c r="FS621" s="15">
        <f t="shared" si="552"/>
        <v>1.1725490196078434</v>
      </c>
      <c r="FT621" s="15">
        <f t="shared" si="553"/>
        <v>0.88000000000000078</v>
      </c>
      <c r="FU621" s="15">
        <f t="shared" si="556"/>
        <v>0.15918002823226041</v>
      </c>
      <c r="FV621" s="15">
        <f>((FR621*FR621)/(AR621*FP621*FP621)+(FO621*FO621)/(AR621*FM621*FM621))</f>
        <v>5.0000000000000001E-3</v>
      </c>
      <c r="HE621" s="15">
        <v>210</v>
      </c>
      <c r="HF621" s="15">
        <f t="shared" si="560"/>
        <v>10.5</v>
      </c>
      <c r="HG621" s="15">
        <f>HF621*SQRT(AR311)</f>
        <v>25.719642299223366</v>
      </c>
      <c r="HH621" s="15">
        <v>800</v>
      </c>
      <c r="HI621" s="15">
        <f t="shared" si="561"/>
        <v>40</v>
      </c>
      <c r="HJ621" s="15">
        <f>HI621*SQRT(AR311)</f>
        <v>97.979589711327122</v>
      </c>
      <c r="HK621" s="15">
        <f t="shared" si="546"/>
        <v>3.8095238095238093</v>
      </c>
      <c r="HL621" s="15">
        <f t="shared" si="547"/>
        <v>590</v>
      </c>
      <c r="HM621" s="15">
        <f t="shared" si="548"/>
        <v>1.3375041969504586</v>
      </c>
      <c r="HN621" s="15">
        <f>((HJ621*HJ621)/(AR311*HH621*HH621)+(HG621*HG621)/(AR311*HE621*HE621))</f>
        <v>4.9999999999999992E-3</v>
      </c>
      <c r="HP621" s="15" t="s">
        <v>766</v>
      </c>
      <c r="HV621" s="15">
        <f t="shared" si="549"/>
        <v>5.6074590398296902</v>
      </c>
      <c r="HW621" s="15">
        <f t="shared" ref="HW621:HW652" si="563">HM621</f>
        <v>1.3375041969504586</v>
      </c>
      <c r="HX621" s="15">
        <f>BB621</f>
        <v>750</v>
      </c>
      <c r="HY621" s="15">
        <f>AZ621</f>
        <v>1250</v>
      </c>
      <c r="HZ621" s="15">
        <f>BA621</f>
        <v>0.42662116040955628</v>
      </c>
      <c r="IA621" s="15">
        <f>BB621</f>
        <v>750</v>
      </c>
    </row>
    <row r="622" spans="1:235" s="15" customFormat="1" x14ac:dyDescent="0.25">
      <c r="A622" s="31">
        <v>620</v>
      </c>
      <c r="B622" s="1">
        <v>95</v>
      </c>
      <c r="C622" s="1">
        <v>113</v>
      </c>
      <c r="D622" s="15" t="s">
        <v>1474</v>
      </c>
      <c r="E622" s="1">
        <v>1</v>
      </c>
      <c r="F622" s="15" t="s">
        <v>761</v>
      </c>
      <c r="G622" s="15" t="s">
        <v>1427</v>
      </c>
      <c r="H622" s="15" t="s">
        <v>1428</v>
      </c>
      <c r="I622" s="1">
        <v>2004</v>
      </c>
      <c r="J622" s="15" t="s">
        <v>1263</v>
      </c>
      <c r="K622" s="1" t="s">
        <v>1429</v>
      </c>
      <c r="L622" s="15" t="s">
        <v>1362</v>
      </c>
      <c r="M622" s="15" t="s">
        <v>480</v>
      </c>
      <c r="N622" s="15" t="s">
        <v>520</v>
      </c>
      <c r="O622" s="31">
        <v>2</v>
      </c>
      <c r="P622" s="15">
        <v>29.17</v>
      </c>
      <c r="Q622" s="15">
        <v>119.18</v>
      </c>
      <c r="S622" s="15">
        <v>1333</v>
      </c>
      <c r="T622" s="15">
        <v>17.100000000000001</v>
      </c>
      <c r="U622" s="15" t="s">
        <v>549</v>
      </c>
      <c r="V622" s="31">
        <v>1</v>
      </c>
      <c r="W622" s="15" t="s">
        <v>1430</v>
      </c>
      <c r="X622" s="15" t="s">
        <v>1440</v>
      </c>
      <c r="Y622" s="1">
        <v>3</v>
      </c>
      <c r="Z622" s="15">
        <v>4.8600000000000003</v>
      </c>
      <c r="AA622" s="15" t="s">
        <v>574</v>
      </c>
      <c r="AB622" s="15">
        <f t="shared" si="541"/>
        <v>4.8600000000000003</v>
      </c>
      <c r="AC622" s="1">
        <v>2</v>
      </c>
      <c r="AD622" s="15">
        <v>3.3</v>
      </c>
      <c r="AF622" s="15">
        <v>5.76</v>
      </c>
      <c r="AH622" s="15">
        <v>6</v>
      </c>
      <c r="AJ622" s="15">
        <v>44.2</v>
      </c>
      <c r="AM622" s="1">
        <v>1</v>
      </c>
      <c r="AP622" s="15" t="s">
        <v>1431</v>
      </c>
      <c r="AQ622" s="1">
        <v>1</v>
      </c>
      <c r="AR622" s="1">
        <v>3</v>
      </c>
      <c r="AT622" s="15" t="s">
        <v>576</v>
      </c>
      <c r="AW622" s="15">
        <v>1666.6666666666667</v>
      </c>
      <c r="AX622" s="15">
        <f t="shared" si="562"/>
        <v>1666.6666666666667</v>
      </c>
      <c r="AY622" s="15" t="s">
        <v>766</v>
      </c>
      <c r="AZ622" s="15">
        <f t="shared" si="557"/>
        <v>1666.6666666666667</v>
      </c>
      <c r="BA622" s="15">
        <f t="shared" si="558"/>
        <v>0.56882821387940841</v>
      </c>
      <c r="BB622" s="15">
        <f t="shared" si="559"/>
        <v>1000</v>
      </c>
      <c r="FK622" s="16">
        <f t="shared" si="554"/>
        <v>5.0999999999999996</v>
      </c>
      <c r="FL622" s="16">
        <f t="shared" si="555"/>
        <v>6.42</v>
      </c>
      <c r="FM622" s="15">
        <v>5.0999999999999996</v>
      </c>
      <c r="FN622" s="15">
        <f t="shared" si="542"/>
        <v>0.255</v>
      </c>
      <c r="FO622" s="15">
        <f>FN622*SQRT(AR622)</f>
        <v>0.44167295593006367</v>
      </c>
      <c r="FP622" s="15">
        <v>6.42</v>
      </c>
      <c r="FQ622" s="15">
        <f t="shared" si="551"/>
        <v>0.32100000000000001</v>
      </c>
      <c r="FR622" s="15">
        <f>FQ622*SQRT(AR622)</f>
        <v>0.55598830922960962</v>
      </c>
      <c r="FS622" s="15">
        <f t="shared" si="552"/>
        <v>1.2588235294117647</v>
      </c>
      <c r="FT622" s="15">
        <f t="shared" si="553"/>
        <v>1.3200000000000003</v>
      </c>
      <c r="FU622" s="15">
        <f t="shared" si="556"/>
        <v>0.23017757797158978</v>
      </c>
      <c r="FV622" s="15">
        <f>((FR622*FR622)/(AR622*FP622*FP622)+(FO622*FO622)/(AR622*FM622*FM622))</f>
        <v>5.000000000000001E-3</v>
      </c>
      <c r="HE622" s="15">
        <v>210</v>
      </c>
      <c r="HF622" s="15">
        <f t="shared" si="560"/>
        <v>10.5</v>
      </c>
      <c r="HG622" s="15">
        <f>HF622*SQRT(AR312)</f>
        <v>25.719642299223366</v>
      </c>
      <c r="HH622" s="15">
        <v>930</v>
      </c>
      <c r="HI622" s="15">
        <f t="shared" si="561"/>
        <v>46.5</v>
      </c>
      <c r="HJ622" s="15">
        <f>HI622*SQRT(AR312)</f>
        <v>113.90127303941777</v>
      </c>
      <c r="HK622" s="15">
        <f t="shared" si="546"/>
        <v>4.4285714285714288</v>
      </c>
      <c r="HL622" s="15">
        <f t="shared" si="547"/>
        <v>720</v>
      </c>
      <c r="HM622" s="15">
        <f t="shared" si="548"/>
        <v>1.4880770554298328</v>
      </c>
      <c r="HN622" s="15">
        <f>((HJ622*HJ622)/(AR312*HH622*HH622)+(HG622*HG622)/(AR312*HE622*HE622))</f>
        <v>4.9999999999999992E-3</v>
      </c>
      <c r="HP622" s="15" t="s">
        <v>766</v>
      </c>
      <c r="HV622" s="15">
        <f t="shared" si="549"/>
        <v>6.7200821110110383</v>
      </c>
      <c r="HW622" s="15">
        <f t="shared" si="563"/>
        <v>1.4880770554298328</v>
      </c>
      <c r="HX622" s="15">
        <f>BB622</f>
        <v>1000</v>
      </c>
      <c r="HY622" s="15">
        <f>AZ622</f>
        <v>1666.6666666666667</v>
      </c>
      <c r="HZ622" s="15">
        <f>BA622</f>
        <v>0.56882821387940841</v>
      </c>
      <c r="IA622" s="15">
        <f>BB622</f>
        <v>1000</v>
      </c>
    </row>
    <row r="623" spans="1:235" s="15" customFormat="1" x14ac:dyDescent="0.25">
      <c r="A623" s="31">
        <v>621</v>
      </c>
      <c r="B623" s="1">
        <v>95</v>
      </c>
      <c r="C623" s="1">
        <v>113</v>
      </c>
      <c r="D623" s="15" t="s">
        <v>1475</v>
      </c>
      <c r="E623" s="1">
        <v>1</v>
      </c>
      <c r="F623" s="15" t="s">
        <v>761</v>
      </c>
      <c r="G623" s="15" t="s">
        <v>1427</v>
      </c>
      <c r="H623" s="15" t="s">
        <v>1428</v>
      </c>
      <c r="I623" s="1">
        <v>2004</v>
      </c>
      <c r="J623" s="15" t="s">
        <v>1263</v>
      </c>
      <c r="K623" s="1" t="s">
        <v>1429</v>
      </c>
      <c r="L623" s="15" t="s">
        <v>1362</v>
      </c>
      <c r="M623" s="15" t="s">
        <v>480</v>
      </c>
      <c r="N623" s="15" t="s">
        <v>520</v>
      </c>
      <c r="O623" s="31">
        <v>2</v>
      </c>
      <c r="P623" s="15">
        <v>29.17</v>
      </c>
      <c r="Q623" s="15">
        <v>119.18</v>
      </c>
      <c r="S623" s="15">
        <v>1333</v>
      </c>
      <c r="T623" s="15">
        <v>17.100000000000001</v>
      </c>
      <c r="U623" s="15" t="s">
        <v>549</v>
      </c>
      <c r="V623" s="31">
        <v>1</v>
      </c>
      <c r="W623" s="15" t="s">
        <v>1430</v>
      </c>
      <c r="X623" s="15" t="s">
        <v>1195</v>
      </c>
      <c r="Y623" s="1">
        <v>5</v>
      </c>
      <c r="Z623" s="15">
        <v>4.8600000000000003</v>
      </c>
      <c r="AA623" s="15" t="s">
        <v>574</v>
      </c>
      <c r="AB623" s="15">
        <f t="shared" si="541"/>
        <v>4.8600000000000003</v>
      </c>
      <c r="AC623" s="1">
        <v>2</v>
      </c>
      <c r="AD623" s="15">
        <v>3.3</v>
      </c>
      <c r="AF623" s="15">
        <v>5.76</v>
      </c>
      <c r="AH623" s="15">
        <v>6</v>
      </c>
      <c r="AJ623" s="15">
        <v>44.2</v>
      </c>
      <c r="AM623" s="1">
        <v>1</v>
      </c>
      <c r="AP623" s="15" t="s">
        <v>1431</v>
      </c>
      <c r="AQ623" s="1">
        <v>1</v>
      </c>
      <c r="AR623" s="1">
        <v>3</v>
      </c>
      <c r="AT623" s="15" t="s">
        <v>576</v>
      </c>
      <c r="AW623" s="15">
        <f>AW555/10</f>
        <v>375</v>
      </c>
      <c r="AX623" s="15">
        <f t="shared" si="562"/>
        <v>375</v>
      </c>
      <c r="AY623" s="15" t="s">
        <v>766</v>
      </c>
      <c r="AZ623" s="15">
        <f t="shared" si="557"/>
        <v>375</v>
      </c>
      <c r="BA623" s="15">
        <f t="shared" si="558"/>
        <v>0.12798634812286688</v>
      </c>
      <c r="BB623" s="15">
        <f t="shared" si="559"/>
        <v>225</v>
      </c>
      <c r="FK623" s="16">
        <f t="shared" si="554"/>
        <v>5.0999999999999996</v>
      </c>
      <c r="FL623" s="16">
        <f t="shared" si="555"/>
        <v>5.36</v>
      </c>
      <c r="FM623" s="15">
        <v>5.0999999999999996</v>
      </c>
      <c r="FN623" s="15">
        <f t="shared" si="542"/>
        <v>0.255</v>
      </c>
      <c r="FO623" s="15">
        <f>FN623*SQRT(AR623)</f>
        <v>0.44167295593006367</v>
      </c>
      <c r="FP623" s="15">
        <v>5.36</v>
      </c>
      <c r="FQ623" s="15">
        <f t="shared" si="551"/>
        <v>0.26800000000000002</v>
      </c>
      <c r="FR623" s="15">
        <f>FQ623*SQRT(AR623)</f>
        <v>0.46418961642845913</v>
      </c>
      <c r="FS623" s="15">
        <f t="shared" si="552"/>
        <v>1.0509803921568628</v>
      </c>
      <c r="FT623" s="15">
        <f t="shared" si="553"/>
        <v>0.26000000000000068</v>
      </c>
      <c r="FU623" s="15">
        <f t="shared" si="556"/>
        <v>4.9723435352430734E-2</v>
      </c>
      <c r="FV623" s="15">
        <f>((FR623*FR623)/(AR623*FP623*FP623)+(FO623*FO623)/(AR623*FM623*FM623))</f>
        <v>5.0000000000000001E-3</v>
      </c>
      <c r="HE623" s="15">
        <v>950</v>
      </c>
      <c r="HF623" s="15">
        <f t="shared" si="560"/>
        <v>47.5</v>
      </c>
      <c r="HG623" s="15">
        <f>HF623*SQRT(AR313)</f>
        <v>116.35076278220095</v>
      </c>
      <c r="HH623" s="15">
        <v>1370</v>
      </c>
      <c r="HI623" s="15">
        <f t="shared" si="561"/>
        <v>68.5</v>
      </c>
      <c r="HJ623" s="15">
        <f>HI623*SQRT(AR313)</f>
        <v>167.79004738064768</v>
      </c>
      <c r="HK623" s="15">
        <f t="shared" si="546"/>
        <v>1.4421052631578948</v>
      </c>
      <c r="HL623" s="15">
        <f t="shared" si="547"/>
        <v>420</v>
      </c>
      <c r="HM623" s="15">
        <f t="shared" si="548"/>
        <v>0.36610403422758431</v>
      </c>
      <c r="HN623" s="15">
        <f>((HJ623*HJ623)/(AR313*HH623*HH623)+(HG623*HG623)/(AR313*HE623*HE623))</f>
        <v>4.9999999999999984E-3</v>
      </c>
      <c r="HP623" s="15" t="s">
        <v>766</v>
      </c>
      <c r="HV623" s="15">
        <f t="shared" si="549"/>
        <v>6.1457940630102801</v>
      </c>
      <c r="HW623" s="15">
        <f t="shared" si="563"/>
        <v>0.36610403422758431</v>
      </c>
      <c r="HX623" s="15">
        <f>BB623</f>
        <v>225</v>
      </c>
      <c r="HY623" s="15">
        <f>AZ623</f>
        <v>375</v>
      </c>
      <c r="HZ623" s="15">
        <f>BA623</f>
        <v>0.12798634812286688</v>
      </c>
      <c r="IA623" s="15">
        <f>BB623</f>
        <v>225</v>
      </c>
    </row>
    <row r="624" spans="1:235" s="15" customFormat="1" x14ac:dyDescent="0.25">
      <c r="A624" s="31">
        <v>622</v>
      </c>
      <c r="B624" s="1">
        <v>95</v>
      </c>
      <c r="C624" s="1">
        <v>113</v>
      </c>
      <c r="D624" s="15" t="s">
        <v>1476</v>
      </c>
      <c r="E624" s="1">
        <v>1</v>
      </c>
      <c r="F624" s="15" t="s">
        <v>761</v>
      </c>
      <c r="G624" s="15" t="s">
        <v>1427</v>
      </c>
      <c r="H624" s="15" t="s">
        <v>1428</v>
      </c>
      <c r="I624" s="1">
        <v>2004</v>
      </c>
      <c r="J624" s="15" t="s">
        <v>1263</v>
      </c>
      <c r="K624" s="1" t="s">
        <v>1429</v>
      </c>
      <c r="L624" s="15" t="s">
        <v>1362</v>
      </c>
      <c r="M624" s="15" t="s">
        <v>480</v>
      </c>
      <c r="N624" s="15" t="s">
        <v>520</v>
      </c>
      <c r="O624" s="31">
        <v>2</v>
      </c>
      <c r="P624" s="15">
        <v>29.17</v>
      </c>
      <c r="Q624" s="15">
        <v>119.18</v>
      </c>
      <c r="S624" s="15">
        <v>1333</v>
      </c>
      <c r="T624" s="15">
        <v>17.100000000000001</v>
      </c>
      <c r="U624" s="15" t="s">
        <v>549</v>
      </c>
      <c r="V624" s="31">
        <v>1</v>
      </c>
      <c r="W624" s="15" t="s">
        <v>1430</v>
      </c>
      <c r="X624" s="15" t="s">
        <v>1195</v>
      </c>
      <c r="Y624" s="1">
        <v>5</v>
      </c>
      <c r="Z624" s="15">
        <v>4.8600000000000003</v>
      </c>
      <c r="AA624" s="15" t="s">
        <v>574</v>
      </c>
      <c r="AB624" s="15">
        <f t="shared" si="541"/>
        <v>4.8600000000000003</v>
      </c>
      <c r="AC624" s="1">
        <v>2</v>
      </c>
      <c r="AD624" s="15">
        <v>3.3</v>
      </c>
      <c r="AF624" s="15">
        <v>5.76</v>
      </c>
      <c r="AH624" s="15">
        <v>6</v>
      </c>
      <c r="AJ624" s="15">
        <v>44.2</v>
      </c>
      <c r="AM624" s="1">
        <v>1</v>
      </c>
      <c r="AP624" s="15" t="s">
        <v>1431</v>
      </c>
      <c r="AQ624" s="1">
        <v>1</v>
      </c>
      <c r="AR624" s="1">
        <v>3</v>
      </c>
      <c r="AT624" s="15" t="s">
        <v>576</v>
      </c>
      <c r="AW624" s="15">
        <f>AW556/10</f>
        <v>750</v>
      </c>
      <c r="AX624" s="15">
        <f t="shared" si="562"/>
        <v>750</v>
      </c>
      <c r="AY624" s="15" t="s">
        <v>766</v>
      </c>
      <c r="AZ624" s="15">
        <f t="shared" si="557"/>
        <v>750</v>
      </c>
      <c r="BA624" s="15">
        <f t="shared" si="558"/>
        <v>0.25597269624573377</v>
      </c>
      <c r="BB624" s="15">
        <f t="shared" si="559"/>
        <v>450</v>
      </c>
      <c r="FK624" s="16">
        <f t="shared" si="554"/>
        <v>5.0999999999999996</v>
      </c>
      <c r="FL624" s="16">
        <f t="shared" si="555"/>
        <v>5.62</v>
      </c>
      <c r="FM624" s="15">
        <v>5.0999999999999996</v>
      </c>
      <c r="FN624" s="15">
        <f t="shared" si="542"/>
        <v>0.255</v>
      </c>
      <c r="FO624" s="15">
        <f>FN624*SQRT(AR624)</f>
        <v>0.44167295593006367</v>
      </c>
      <c r="FP624" s="15">
        <v>5.62</v>
      </c>
      <c r="FQ624" s="15">
        <f t="shared" si="551"/>
        <v>0.28100000000000003</v>
      </c>
      <c r="FR624" s="15">
        <f>FQ624*SQRT(AR624)</f>
        <v>0.48670627692685453</v>
      </c>
      <c r="FS624" s="15">
        <f t="shared" si="552"/>
        <v>1.1019607843137256</v>
      </c>
      <c r="FT624" s="15">
        <f t="shared" si="553"/>
        <v>0.52000000000000046</v>
      </c>
      <c r="FU624" s="15">
        <f t="shared" si="556"/>
        <v>9.7091124175319621E-2</v>
      </c>
      <c r="FV624" s="15">
        <f>((FR624*FR624)/(AR624*FP624*FP624)+(FO624*FO624)/(AR624*FM624*FM624))</f>
        <v>5.000000000000001E-3</v>
      </c>
      <c r="HE624" s="15">
        <v>950</v>
      </c>
      <c r="HF624" s="15">
        <f t="shared" si="560"/>
        <v>47.5</v>
      </c>
      <c r="HG624" s="15">
        <f>HF624*SQRT(AR314)</f>
        <v>116.35076278220095</v>
      </c>
      <c r="HH624" s="15">
        <v>131</v>
      </c>
      <c r="HI624" s="15">
        <f t="shared" si="561"/>
        <v>6.5500000000000007</v>
      </c>
      <c r="HJ624" s="15">
        <f>HI624*SQRT(AR314)</f>
        <v>16.044157815229816</v>
      </c>
      <c r="HK624" s="15">
        <f t="shared" si="546"/>
        <v>0.13789473684210526</v>
      </c>
      <c r="HL624" s="15">
        <f t="shared" si="547"/>
        <v>-819</v>
      </c>
      <c r="HM624" s="15">
        <f t="shared" si="548"/>
        <v>-1.9812646613934355</v>
      </c>
      <c r="HN624" s="15">
        <f>((HJ624*HJ624)/(AR314*HH624*HH624)+(HG624*HG624)/(AR314*HE624*HE624))</f>
        <v>4.9999999999999992E-3</v>
      </c>
      <c r="HP624" s="15" t="s">
        <v>766</v>
      </c>
      <c r="HV624" s="15">
        <f t="shared" si="549"/>
        <v>-2.2712765677832878</v>
      </c>
      <c r="HW624" s="15">
        <f t="shared" si="563"/>
        <v>-1.9812646613934355</v>
      </c>
      <c r="HX624" s="15">
        <f>BB624</f>
        <v>450</v>
      </c>
      <c r="HY624" s="15">
        <f>AZ624</f>
        <v>750</v>
      </c>
      <c r="HZ624" s="15">
        <f>BA624</f>
        <v>0.25597269624573377</v>
      </c>
      <c r="IA624" s="15">
        <f>BB624</f>
        <v>450</v>
      </c>
    </row>
    <row r="625" spans="1:235" s="15" customFormat="1" x14ac:dyDescent="0.25">
      <c r="A625" s="31">
        <v>623</v>
      </c>
      <c r="B625" s="1">
        <v>95</v>
      </c>
      <c r="C625" s="1">
        <v>113</v>
      </c>
      <c r="D625" s="15" t="s">
        <v>1477</v>
      </c>
      <c r="E625" s="1">
        <v>1</v>
      </c>
      <c r="F625" s="15" t="s">
        <v>761</v>
      </c>
      <c r="G625" s="15" t="s">
        <v>1427</v>
      </c>
      <c r="H625" s="15" t="s">
        <v>1428</v>
      </c>
      <c r="I625" s="1">
        <v>2004</v>
      </c>
      <c r="J625" s="15" t="s">
        <v>1263</v>
      </c>
      <c r="K625" s="1" t="s">
        <v>1429</v>
      </c>
      <c r="L625" s="15" t="s">
        <v>1362</v>
      </c>
      <c r="M625" s="15" t="s">
        <v>480</v>
      </c>
      <c r="N625" s="15" t="s">
        <v>520</v>
      </c>
      <c r="O625" s="31">
        <v>2</v>
      </c>
      <c r="P625" s="15">
        <v>29.17</v>
      </c>
      <c r="Q625" s="15">
        <v>119.18</v>
      </c>
      <c r="S625" s="15">
        <v>1333</v>
      </c>
      <c r="T625" s="15">
        <v>17.100000000000001</v>
      </c>
      <c r="U625" s="15" t="s">
        <v>549</v>
      </c>
      <c r="V625" s="31">
        <v>1</v>
      </c>
      <c r="W625" s="15" t="s">
        <v>1430</v>
      </c>
      <c r="X625" s="15" t="s">
        <v>1195</v>
      </c>
      <c r="Y625" s="1">
        <v>5</v>
      </c>
      <c r="Z625" s="15">
        <v>4.8600000000000003</v>
      </c>
      <c r="AA625" s="15" t="s">
        <v>574</v>
      </c>
      <c r="AB625" s="15">
        <f t="shared" si="541"/>
        <v>4.8600000000000003</v>
      </c>
      <c r="AC625" s="1">
        <v>2</v>
      </c>
      <c r="AD625" s="15">
        <v>3.3</v>
      </c>
      <c r="AF625" s="15">
        <v>5.76</v>
      </c>
      <c r="AH625" s="15">
        <v>6</v>
      </c>
      <c r="AJ625" s="15">
        <v>44.2</v>
      </c>
      <c r="AM625" s="1">
        <v>1</v>
      </c>
      <c r="AP625" s="15" t="s">
        <v>1431</v>
      </c>
      <c r="AQ625" s="1">
        <v>1</v>
      </c>
      <c r="AR625" s="1">
        <v>3</v>
      </c>
      <c r="AT625" s="15" t="s">
        <v>576</v>
      </c>
      <c r="AW625" s="15">
        <f>AW557/10</f>
        <v>1125</v>
      </c>
      <c r="AX625" s="15">
        <f t="shared" si="562"/>
        <v>1125</v>
      </c>
      <c r="AY625" s="15" t="s">
        <v>766</v>
      </c>
      <c r="AZ625" s="15">
        <f t="shared" si="557"/>
        <v>1125</v>
      </c>
      <c r="BA625" s="15">
        <f t="shared" si="558"/>
        <v>0.38395904436860062</v>
      </c>
      <c r="BB625" s="15">
        <f t="shared" si="559"/>
        <v>675</v>
      </c>
      <c r="FK625" s="16">
        <f t="shared" si="554"/>
        <v>5.0999999999999996</v>
      </c>
      <c r="FL625" s="16">
        <f t="shared" si="555"/>
        <v>6.01</v>
      </c>
      <c r="FM625" s="15">
        <v>5.0999999999999996</v>
      </c>
      <c r="FN625" s="15">
        <f t="shared" si="542"/>
        <v>0.255</v>
      </c>
      <c r="FO625" s="15">
        <f>FN625*SQRT(AR625)</f>
        <v>0.44167295593006367</v>
      </c>
      <c r="FP625" s="15">
        <v>6.01</v>
      </c>
      <c r="FQ625" s="15">
        <f t="shared" si="551"/>
        <v>0.30049999999999999</v>
      </c>
      <c r="FR625" s="15">
        <f>FQ625*SQRT(AR625)</f>
        <v>0.52048126767444758</v>
      </c>
      <c r="FS625" s="15">
        <f t="shared" si="552"/>
        <v>1.1784313725490196</v>
      </c>
      <c r="FT625" s="15">
        <f t="shared" si="553"/>
        <v>0.91000000000000014</v>
      </c>
      <c r="FU625" s="15">
        <f t="shared" si="556"/>
        <v>0.16418420881683615</v>
      </c>
      <c r="FV625" s="15">
        <f>((FR625*FR625)/(AR625*FP625*FP625)+(FO625*FO625)/(AR625*FM625*FM625))</f>
        <v>4.9999999999999992E-3</v>
      </c>
      <c r="HE625" s="15">
        <v>950</v>
      </c>
      <c r="HF625" s="15">
        <f t="shared" si="560"/>
        <v>47.5</v>
      </c>
      <c r="HG625" s="15">
        <f>HF625*SQRT(AR315)</f>
        <v>116.35076278220095</v>
      </c>
      <c r="HH625" s="15">
        <v>1440</v>
      </c>
      <c r="HI625" s="15">
        <f t="shared" si="561"/>
        <v>72</v>
      </c>
      <c r="HJ625" s="15">
        <f>HI625*SQRT(AR315)</f>
        <v>176.36326148038881</v>
      </c>
      <c r="HK625" s="15">
        <f t="shared" si="546"/>
        <v>1.5157894736842106</v>
      </c>
      <c r="HL625" s="15">
        <f t="shared" si="547"/>
        <v>490</v>
      </c>
      <c r="HM625" s="15">
        <f t="shared" si="548"/>
        <v>0.41593640797545994</v>
      </c>
      <c r="HN625" s="15">
        <f>((HJ625*HJ625)/(AR315*HH625*HH625)+(HG625*HG625)/(AR315*HE625*HE625))</f>
        <v>4.9999999999999992E-3</v>
      </c>
      <c r="HP625" s="15" t="s">
        <v>766</v>
      </c>
      <c r="HV625" s="15">
        <f t="shared" si="549"/>
        <v>16.228442306493754</v>
      </c>
      <c r="HW625" s="15">
        <f t="shared" si="563"/>
        <v>0.41593640797545994</v>
      </c>
      <c r="HX625" s="15">
        <f>BB625</f>
        <v>675</v>
      </c>
      <c r="HY625" s="15">
        <f>AZ625</f>
        <v>1125</v>
      </c>
      <c r="HZ625" s="15">
        <f>BA625</f>
        <v>0.38395904436860062</v>
      </c>
      <c r="IA625" s="15">
        <f>BB625</f>
        <v>675</v>
      </c>
    </row>
    <row r="626" spans="1:235" s="15" customFormat="1" x14ac:dyDescent="0.25">
      <c r="A626" s="31">
        <v>624</v>
      </c>
      <c r="B626" s="1">
        <v>95</v>
      </c>
      <c r="C626" s="1">
        <v>113</v>
      </c>
      <c r="D626" s="15" t="s">
        <v>1478</v>
      </c>
      <c r="E626" s="1">
        <v>1</v>
      </c>
      <c r="F626" s="15" t="s">
        <v>761</v>
      </c>
      <c r="G626" s="15" t="s">
        <v>1427</v>
      </c>
      <c r="H626" s="15" t="s">
        <v>1428</v>
      </c>
      <c r="I626" s="1">
        <v>2004</v>
      </c>
      <c r="J626" s="15" t="s">
        <v>1263</v>
      </c>
      <c r="K626" s="1" t="s">
        <v>1429</v>
      </c>
      <c r="L626" s="15" t="s">
        <v>1362</v>
      </c>
      <c r="M626" s="15" t="s">
        <v>480</v>
      </c>
      <c r="N626" s="15" t="s">
        <v>520</v>
      </c>
      <c r="O626" s="31">
        <v>2</v>
      </c>
      <c r="P626" s="15">
        <v>29.17</v>
      </c>
      <c r="Q626" s="15">
        <v>119.18</v>
      </c>
      <c r="S626" s="15">
        <v>1333</v>
      </c>
      <c r="T626" s="15">
        <v>17.100000000000001</v>
      </c>
      <c r="U626" s="15" t="s">
        <v>549</v>
      </c>
      <c r="V626" s="31">
        <v>1</v>
      </c>
      <c r="W626" s="15" t="s">
        <v>1430</v>
      </c>
      <c r="X626" s="15" t="s">
        <v>1195</v>
      </c>
      <c r="Y626" s="1">
        <v>5</v>
      </c>
      <c r="Z626" s="15">
        <v>4.8600000000000003</v>
      </c>
      <c r="AA626" s="15" t="s">
        <v>574</v>
      </c>
      <c r="AB626" s="15">
        <f t="shared" si="541"/>
        <v>4.8600000000000003</v>
      </c>
      <c r="AC626" s="1">
        <v>2</v>
      </c>
      <c r="AD626" s="15">
        <v>3.3</v>
      </c>
      <c r="AF626" s="15">
        <v>5.76</v>
      </c>
      <c r="AH626" s="15">
        <v>6</v>
      </c>
      <c r="AJ626" s="15">
        <v>44.2</v>
      </c>
      <c r="AM626" s="1">
        <v>1</v>
      </c>
      <c r="AP626" s="15" t="s">
        <v>1431</v>
      </c>
      <c r="AQ626" s="1">
        <v>1</v>
      </c>
      <c r="AR626" s="1">
        <v>3</v>
      </c>
      <c r="AT626" s="15" t="s">
        <v>576</v>
      </c>
      <c r="AW626" s="15">
        <f>AW558/10</f>
        <v>1500</v>
      </c>
      <c r="AX626" s="15">
        <f t="shared" si="562"/>
        <v>1500</v>
      </c>
      <c r="AY626" s="15" t="s">
        <v>766</v>
      </c>
      <c r="AZ626" s="15">
        <f t="shared" si="557"/>
        <v>1500</v>
      </c>
      <c r="BA626" s="15">
        <f t="shared" si="558"/>
        <v>0.51194539249146753</v>
      </c>
      <c r="BB626" s="15">
        <f t="shared" si="559"/>
        <v>900</v>
      </c>
      <c r="FK626" s="16">
        <f t="shared" si="554"/>
        <v>5.0999999999999996</v>
      </c>
      <c r="FL626" s="16">
        <f t="shared" si="555"/>
        <v>6.34</v>
      </c>
      <c r="FM626" s="15">
        <v>5.0999999999999996</v>
      </c>
      <c r="FN626" s="15">
        <f t="shared" si="542"/>
        <v>0.255</v>
      </c>
      <c r="FO626" s="15">
        <f>FN626*SQRT(AR626)</f>
        <v>0.44167295593006367</v>
      </c>
      <c r="FP626" s="15">
        <v>6.34</v>
      </c>
      <c r="FQ626" s="15">
        <f t="shared" si="551"/>
        <v>0.317</v>
      </c>
      <c r="FR626" s="15">
        <f>FQ626*SQRT(AR626)</f>
        <v>0.54906010599933408</v>
      </c>
      <c r="FS626" s="15">
        <f t="shared" si="552"/>
        <v>1.2431372549019608</v>
      </c>
      <c r="FT626" s="15">
        <f t="shared" si="553"/>
        <v>1.2400000000000002</v>
      </c>
      <c r="FU626" s="15">
        <f t="shared" si="556"/>
        <v>0.21763822871885452</v>
      </c>
      <c r="FV626" s="15">
        <f>((FR626*FR626)/(AR626*FP626*FP626)+(FO626*FO626)/(AR626*FM626*FM626))</f>
        <v>5.0000000000000001E-3</v>
      </c>
      <c r="HE626" s="15">
        <v>950</v>
      </c>
      <c r="HF626" s="15">
        <f t="shared" si="560"/>
        <v>47.5</v>
      </c>
      <c r="HG626" s="15">
        <f>HF626*SQRT(AR316)</f>
        <v>116.35076278220095</v>
      </c>
      <c r="HH626" s="15">
        <v>1230</v>
      </c>
      <c r="HI626" s="15">
        <f t="shared" si="561"/>
        <v>61.5</v>
      </c>
      <c r="HJ626" s="15">
        <f>HI626*SQRT(AR316)</f>
        <v>150.64361918116543</v>
      </c>
      <c r="HK626" s="15">
        <f t="shared" si="546"/>
        <v>1.2947368421052632</v>
      </c>
      <c r="HL626" s="15">
        <f t="shared" si="547"/>
        <v>280</v>
      </c>
      <c r="HM626" s="15">
        <f t="shared" si="548"/>
        <v>0.2583074637718763</v>
      </c>
      <c r="HN626" s="15">
        <f>((HJ626*HJ626)/(AR316*HH626*HH626)+(HG626*HG626)/(AR316*HE626*HE626))</f>
        <v>4.9999999999999984E-3</v>
      </c>
      <c r="HP626" s="15" t="s">
        <v>766</v>
      </c>
      <c r="HV626" s="15">
        <f t="shared" si="549"/>
        <v>34.842198783494432</v>
      </c>
      <c r="HW626" s="15">
        <f t="shared" si="563"/>
        <v>0.2583074637718763</v>
      </c>
      <c r="HX626" s="15">
        <f>BB626</f>
        <v>900</v>
      </c>
      <c r="HY626" s="15">
        <f>AZ626</f>
        <v>1500</v>
      </c>
      <c r="HZ626" s="15">
        <f>BA626</f>
        <v>0.51194539249146753</v>
      </c>
      <c r="IA626" s="15">
        <f>BB626</f>
        <v>900</v>
      </c>
    </row>
    <row r="627" spans="1:235" s="15" customFormat="1" x14ac:dyDescent="0.25">
      <c r="A627" s="31">
        <v>625</v>
      </c>
      <c r="B627" s="1">
        <v>95</v>
      </c>
      <c r="C627" s="1">
        <v>113</v>
      </c>
      <c r="D627" s="15" t="s">
        <v>1479</v>
      </c>
      <c r="E627" s="1">
        <v>1</v>
      </c>
      <c r="F627" s="15" t="s">
        <v>761</v>
      </c>
      <c r="G627" s="15" t="s">
        <v>1427</v>
      </c>
      <c r="H627" s="15" t="s">
        <v>1428</v>
      </c>
      <c r="I627" s="1">
        <v>2004</v>
      </c>
      <c r="J627" s="15" t="s">
        <v>1263</v>
      </c>
      <c r="K627" s="1" t="s">
        <v>1429</v>
      </c>
      <c r="L627" s="15" t="s">
        <v>1362</v>
      </c>
      <c r="M627" s="15" t="s">
        <v>480</v>
      </c>
      <c r="N627" s="15" t="s">
        <v>520</v>
      </c>
      <c r="O627" s="31">
        <v>2</v>
      </c>
      <c r="P627" s="15">
        <v>29.17</v>
      </c>
      <c r="Q627" s="15">
        <v>119.18</v>
      </c>
      <c r="S627" s="15">
        <v>1333</v>
      </c>
      <c r="T627" s="15">
        <v>17.100000000000001</v>
      </c>
      <c r="U627" s="15" t="s">
        <v>549</v>
      </c>
      <c r="V627" s="31">
        <v>1</v>
      </c>
      <c r="W627" s="15" t="s">
        <v>1430</v>
      </c>
      <c r="X627" s="15" t="s">
        <v>1440</v>
      </c>
      <c r="Y627" s="1">
        <v>3</v>
      </c>
      <c r="Z627" s="15">
        <v>4.8600000000000003</v>
      </c>
      <c r="AA627" s="15" t="s">
        <v>574</v>
      </c>
      <c r="AB627" s="15">
        <f t="shared" si="541"/>
        <v>4.8600000000000003</v>
      </c>
      <c r="AC627" s="1">
        <v>2</v>
      </c>
      <c r="AD627" s="15">
        <v>3.3</v>
      </c>
      <c r="AF627" s="15">
        <v>5.76</v>
      </c>
      <c r="AH627" s="15">
        <v>6</v>
      </c>
      <c r="AJ627" s="15">
        <v>44.2</v>
      </c>
      <c r="AM627" s="1">
        <v>1</v>
      </c>
      <c r="AP627" s="15" t="s">
        <v>1431</v>
      </c>
      <c r="AQ627" s="1">
        <v>1</v>
      </c>
      <c r="AR627" s="1">
        <v>3</v>
      </c>
      <c r="AT627" s="15" t="s">
        <v>576</v>
      </c>
      <c r="AW627" s="15">
        <v>375</v>
      </c>
      <c r="AX627" s="15">
        <f t="shared" si="562"/>
        <v>375</v>
      </c>
      <c r="AY627" s="15" t="s">
        <v>766</v>
      </c>
      <c r="AZ627" s="15">
        <f t="shared" si="557"/>
        <v>375</v>
      </c>
      <c r="BA627" s="15">
        <f t="shared" si="558"/>
        <v>0.12798634812286688</v>
      </c>
      <c r="BB627" s="15">
        <f t="shared" si="559"/>
        <v>225</v>
      </c>
      <c r="FK627" s="16">
        <f t="shared" si="554"/>
        <v>5.0999999999999996</v>
      </c>
      <c r="FL627" s="16">
        <f t="shared" si="555"/>
        <v>5.36</v>
      </c>
      <c r="FM627" s="15">
        <v>5.0999999999999996</v>
      </c>
      <c r="FN627" s="15">
        <f t="shared" si="542"/>
        <v>0.255</v>
      </c>
      <c r="FO627" s="15">
        <f>FN627*SQRT(AR627)</f>
        <v>0.44167295593006367</v>
      </c>
      <c r="FP627" s="15">
        <v>5.36</v>
      </c>
      <c r="FQ627" s="15">
        <f t="shared" si="551"/>
        <v>0.26800000000000002</v>
      </c>
      <c r="FR627" s="15">
        <f>FQ627*SQRT(AR627)</f>
        <v>0.46418961642845913</v>
      </c>
      <c r="FS627" s="15">
        <f t="shared" si="552"/>
        <v>1.0509803921568628</v>
      </c>
      <c r="FT627" s="15">
        <f t="shared" si="553"/>
        <v>0.26000000000000068</v>
      </c>
      <c r="FU627" s="15">
        <f t="shared" si="556"/>
        <v>4.9723435352430734E-2</v>
      </c>
      <c r="FV627" s="15">
        <f>((FR627*FR627)/(AR627*FP627*FP627)+(FO627*FO627)/(AR627*FM627*FM627))</f>
        <v>5.0000000000000001E-3</v>
      </c>
      <c r="HE627" s="15">
        <v>920</v>
      </c>
      <c r="HF627" s="15">
        <f t="shared" si="560"/>
        <v>46</v>
      </c>
      <c r="HG627" s="15">
        <f>HF627*SQRT(AR317)</f>
        <v>79.674337148168348</v>
      </c>
      <c r="HH627" s="15">
        <v>950</v>
      </c>
      <c r="HI627" s="15">
        <f t="shared" si="561"/>
        <v>47.5</v>
      </c>
      <c r="HJ627" s="15">
        <f>HI627*SQRT(AR317)</f>
        <v>82.272413359521664</v>
      </c>
      <c r="HK627" s="15">
        <f t="shared" si="546"/>
        <v>1.0326086956521738</v>
      </c>
      <c r="HL627" s="15">
        <f t="shared" si="547"/>
        <v>30</v>
      </c>
      <c r="HM627" s="15">
        <f t="shared" si="548"/>
        <v>3.2088314551500297E-2</v>
      </c>
      <c r="HN627" s="15">
        <f>((HJ627*HJ627)/(AR317*HH627*HH627)+(HG627*HG627)/(AR317*HE627*HE627))</f>
        <v>4.9999999999999992E-3</v>
      </c>
      <c r="HP627" s="15" t="s">
        <v>766</v>
      </c>
      <c r="HV627" s="15">
        <f t="shared" si="549"/>
        <v>70.118983544269724</v>
      </c>
      <c r="HW627" s="15">
        <f t="shared" si="563"/>
        <v>3.2088314551500297E-2</v>
      </c>
      <c r="HX627" s="15">
        <f>BB627</f>
        <v>225</v>
      </c>
      <c r="HY627" s="15">
        <f>AZ627</f>
        <v>375</v>
      </c>
      <c r="HZ627" s="15">
        <f>BA627</f>
        <v>0.12798634812286688</v>
      </c>
      <c r="IA627" s="15">
        <f>BB627</f>
        <v>225</v>
      </c>
    </row>
    <row r="628" spans="1:235" s="15" customFormat="1" x14ac:dyDescent="0.25">
      <c r="A628" s="31">
        <v>626</v>
      </c>
      <c r="B628" s="1">
        <v>95</v>
      </c>
      <c r="C628" s="1">
        <v>113</v>
      </c>
      <c r="D628" s="15" t="s">
        <v>1480</v>
      </c>
      <c r="E628" s="1">
        <v>1</v>
      </c>
      <c r="F628" s="15" t="s">
        <v>761</v>
      </c>
      <c r="G628" s="15" t="s">
        <v>1427</v>
      </c>
      <c r="H628" s="15" t="s">
        <v>1428</v>
      </c>
      <c r="I628" s="1">
        <v>2004</v>
      </c>
      <c r="J628" s="15" t="s">
        <v>1263</v>
      </c>
      <c r="K628" s="1" t="s">
        <v>1429</v>
      </c>
      <c r="L628" s="15" t="s">
        <v>1362</v>
      </c>
      <c r="M628" s="15" t="s">
        <v>480</v>
      </c>
      <c r="N628" s="15" t="s">
        <v>520</v>
      </c>
      <c r="O628" s="31">
        <v>2</v>
      </c>
      <c r="P628" s="15">
        <v>29.17</v>
      </c>
      <c r="Q628" s="15">
        <v>119.18</v>
      </c>
      <c r="S628" s="15">
        <v>1333</v>
      </c>
      <c r="T628" s="15">
        <v>17.100000000000001</v>
      </c>
      <c r="U628" s="15" t="s">
        <v>549</v>
      </c>
      <c r="V628" s="31">
        <v>1</v>
      </c>
      <c r="W628" s="15" t="s">
        <v>1430</v>
      </c>
      <c r="X628" s="15" t="s">
        <v>1440</v>
      </c>
      <c r="Y628" s="1">
        <v>3</v>
      </c>
      <c r="Z628" s="15">
        <v>4.8600000000000003</v>
      </c>
      <c r="AA628" s="15" t="s">
        <v>574</v>
      </c>
      <c r="AB628" s="15">
        <f t="shared" si="541"/>
        <v>4.8600000000000003</v>
      </c>
      <c r="AC628" s="1">
        <v>2</v>
      </c>
      <c r="AD628" s="15">
        <v>3.3</v>
      </c>
      <c r="AF628" s="15">
        <v>5.76</v>
      </c>
      <c r="AH628" s="15">
        <v>6</v>
      </c>
      <c r="AJ628" s="15">
        <v>44.2</v>
      </c>
      <c r="AM628" s="1">
        <v>1</v>
      </c>
      <c r="AP628" s="15" t="s">
        <v>1431</v>
      </c>
      <c r="AQ628" s="1">
        <v>1</v>
      </c>
      <c r="AR628" s="1">
        <v>3</v>
      </c>
      <c r="AT628" s="15" t="s">
        <v>576</v>
      </c>
      <c r="AW628" s="15">
        <v>750</v>
      </c>
      <c r="AX628" s="15">
        <f t="shared" si="562"/>
        <v>750</v>
      </c>
      <c r="AY628" s="15" t="s">
        <v>766</v>
      </c>
      <c r="AZ628" s="15">
        <f t="shared" si="557"/>
        <v>750</v>
      </c>
      <c r="BA628" s="15">
        <f t="shared" si="558"/>
        <v>0.25597269624573377</v>
      </c>
      <c r="BB628" s="15">
        <f t="shared" si="559"/>
        <v>450</v>
      </c>
      <c r="FK628" s="16">
        <f t="shared" si="554"/>
        <v>5.0999999999999996</v>
      </c>
      <c r="FL628" s="16">
        <f t="shared" si="555"/>
        <v>5.62</v>
      </c>
      <c r="FM628" s="15">
        <v>5.0999999999999996</v>
      </c>
      <c r="FN628" s="15">
        <f t="shared" si="542"/>
        <v>0.255</v>
      </c>
      <c r="FO628" s="15">
        <f>FN628*SQRT(AR628)</f>
        <v>0.44167295593006367</v>
      </c>
      <c r="FP628" s="15">
        <v>5.62</v>
      </c>
      <c r="FQ628" s="15">
        <f t="shared" si="551"/>
        <v>0.28100000000000003</v>
      </c>
      <c r="FR628" s="15">
        <f>FQ628*SQRT(AR628)</f>
        <v>0.48670627692685453</v>
      </c>
      <c r="FS628" s="15">
        <f t="shared" si="552"/>
        <v>1.1019607843137256</v>
      </c>
      <c r="FT628" s="15">
        <f t="shared" si="553"/>
        <v>0.52000000000000046</v>
      </c>
      <c r="FU628" s="15">
        <f t="shared" si="556"/>
        <v>9.7091124175319621E-2</v>
      </c>
      <c r="FV628" s="15">
        <f>((FR628*FR628)/(AR628*FP628*FP628)+(FO628*FO628)/(AR628*FM628*FM628))</f>
        <v>5.000000000000001E-3</v>
      </c>
      <c r="HE628" s="15">
        <v>920</v>
      </c>
      <c r="HF628" s="15">
        <f t="shared" si="560"/>
        <v>46</v>
      </c>
      <c r="HG628" s="15">
        <f>HF628*SQRT(AR318)</f>
        <v>79.674337148168348</v>
      </c>
      <c r="HH628" s="15">
        <v>1460</v>
      </c>
      <c r="HI628" s="15">
        <f t="shared" si="561"/>
        <v>73</v>
      </c>
      <c r="HJ628" s="15">
        <f>HI628*SQRT(AR318)</f>
        <v>126.43970895252804</v>
      </c>
      <c r="HK628" s="15">
        <f t="shared" si="546"/>
        <v>1.5869565217391304</v>
      </c>
      <c r="HL628" s="15">
        <f t="shared" si="547"/>
        <v>540</v>
      </c>
      <c r="HM628" s="15">
        <f t="shared" si="548"/>
        <v>0.46181804465929588</v>
      </c>
      <c r="HN628" s="15">
        <f>((HJ628*HJ628)/(AR318*HH628*HH628)+(HG628*HG628)/(AR318*HE628*HE628))</f>
        <v>4.9999999999999992E-3</v>
      </c>
      <c r="HP628" s="15" t="s">
        <v>766</v>
      </c>
      <c r="HV628" s="15">
        <f t="shared" si="549"/>
        <v>9.7440973821623924</v>
      </c>
      <c r="HW628" s="15">
        <f t="shared" si="563"/>
        <v>0.46181804465929588</v>
      </c>
      <c r="HX628" s="15">
        <f>BB628</f>
        <v>450</v>
      </c>
      <c r="HY628" s="15">
        <f>AZ628</f>
        <v>750</v>
      </c>
      <c r="HZ628" s="15">
        <f>BA628</f>
        <v>0.25597269624573377</v>
      </c>
      <c r="IA628" s="15">
        <f>BB628</f>
        <v>450</v>
      </c>
    </row>
    <row r="629" spans="1:235" s="15" customFormat="1" x14ac:dyDescent="0.25">
      <c r="A629" s="31">
        <v>627</v>
      </c>
      <c r="B629" s="1">
        <v>95</v>
      </c>
      <c r="C629" s="1">
        <v>113</v>
      </c>
      <c r="D629" s="15" t="s">
        <v>1481</v>
      </c>
      <c r="E629" s="1">
        <v>1</v>
      </c>
      <c r="F629" s="15" t="s">
        <v>761</v>
      </c>
      <c r="G629" s="15" t="s">
        <v>1427</v>
      </c>
      <c r="H629" s="15" t="s">
        <v>1428</v>
      </c>
      <c r="I629" s="1">
        <v>2004</v>
      </c>
      <c r="J629" s="15" t="s">
        <v>1263</v>
      </c>
      <c r="K629" s="1" t="s">
        <v>1429</v>
      </c>
      <c r="L629" s="15" t="s">
        <v>1362</v>
      </c>
      <c r="M629" s="15" t="s">
        <v>480</v>
      </c>
      <c r="N629" s="15" t="s">
        <v>520</v>
      </c>
      <c r="O629" s="31">
        <v>2</v>
      </c>
      <c r="P629" s="15">
        <v>29.17</v>
      </c>
      <c r="Q629" s="15">
        <v>119.18</v>
      </c>
      <c r="S629" s="15">
        <v>1333</v>
      </c>
      <c r="T629" s="15">
        <v>17.100000000000001</v>
      </c>
      <c r="U629" s="15" t="s">
        <v>549</v>
      </c>
      <c r="V629" s="31">
        <v>1</v>
      </c>
      <c r="W629" s="15" t="s">
        <v>1430</v>
      </c>
      <c r="X629" s="15" t="s">
        <v>1440</v>
      </c>
      <c r="Y629" s="1">
        <v>3</v>
      </c>
      <c r="Z629" s="15">
        <v>4.8600000000000003</v>
      </c>
      <c r="AA629" s="15" t="s">
        <v>574</v>
      </c>
      <c r="AB629" s="15">
        <f t="shared" si="541"/>
        <v>4.8600000000000003</v>
      </c>
      <c r="AC629" s="1">
        <v>2</v>
      </c>
      <c r="AD629" s="15">
        <v>3.3</v>
      </c>
      <c r="AF629" s="15">
        <v>5.76</v>
      </c>
      <c r="AH629" s="15">
        <v>6</v>
      </c>
      <c r="AJ629" s="15">
        <v>44.2</v>
      </c>
      <c r="AM629" s="1">
        <v>1</v>
      </c>
      <c r="AP629" s="15" t="s">
        <v>1431</v>
      </c>
      <c r="AQ629" s="1">
        <v>1</v>
      </c>
      <c r="AR629" s="1">
        <v>3</v>
      </c>
      <c r="AT629" s="15" t="s">
        <v>576</v>
      </c>
      <c r="AW629" s="15">
        <v>1125</v>
      </c>
      <c r="AX629" s="15">
        <f t="shared" si="562"/>
        <v>1125</v>
      </c>
      <c r="AY629" s="15" t="s">
        <v>766</v>
      </c>
      <c r="AZ629" s="15">
        <f t="shared" si="557"/>
        <v>1125</v>
      </c>
      <c r="BA629" s="15">
        <f t="shared" si="558"/>
        <v>0.38395904436860062</v>
      </c>
      <c r="BB629" s="15">
        <f t="shared" si="559"/>
        <v>675</v>
      </c>
      <c r="FK629" s="16">
        <f t="shared" si="554"/>
        <v>5.0999999999999996</v>
      </c>
      <c r="FL629" s="16">
        <f t="shared" si="555"/>
        <v>6.01</v>
      </c>
      <c r="FM629" s="15">
        <v>5.0999999999999996</v>
      </c>
      <c r="FN629" s="15">
        <f t="shared" si="542"/>
        <v>0.255</v>
      </c>
      <c r="FO629" s="15">
        <f>FN629*SQRT(AR629)</f>
        <v>0.44167295593006367</v>
      </c>
      <c r="FP629" s="15">
        <v>6.01</v>
      </c>
      <c r="FQ629" s="15">
        <f t="shared" si="551"/>
        <v>0.30049999999999999</v>
      </c>
      <c r="FR629" s="15">
        <f>FQ629*SQRT(AR629)</f>
        <v>0.52048126767444758</v>
      </c>
      <c r="FS629" s="15">
        <f t="shared" si="552"/>
        <v>1.1784313725490196</v>
      </c>
      <c r="FT629" s="15">
        <f t="shared" si="553"/>
        <v>0.91000000000000014</v>
      </c>
      <c r="FU629" s="15">
        <f t="shared" si="556"/>
        <v>0.16418420881683615</v>
      </c>
      <c r="FV629" s="15">
        <f>((FR629*FR629)/(AR629*FP629*FP629)+(FO629*FO629)/(AR629*FM629*FM629))</f>
        <v>4.9999999999999992E-3</v>
      </c>
      <c r="HE629" s="15">
        <v>920</v>
      </c>
      <c r="HF629" s="15">
        <f t="shared" si="560"/>
        <v>46</v>
      </c>
      <c r="HG629" s="15">
        <f>HF629*SQRT(AR319)</f>
        <v>79.674337148168348</v>
      </c>
      <c r="HH629" s="15">
        <v>1340</v>
      </c>
      <c r="HI629" s="15">
        <f t="shared" si="561"/>
        <v>67</v>
      </c>
      <c r="HJ629" s="15">
        <f>HI629*SQRT(AR319)</f>
        <v>116.04740410711477</v>
      </c>
      <c r="HK629" s="15">
        <f t="shared" si="546"/>
        <v>1.4565217391304348</v>
      </c>
      <c r="HL629" s="15">
        <f t="shared" si="547"/>
        <v>420</v>
      </c>
      <c r="HM629" s="15">
        <f t="shared" si="548"/>
        <v>0.37605122290187065</v>
      </c>
      <c r="HN629" s="15">
        <f>((HJ629*HJ629)/(AR319*HH629*HH629)+(HG629*HG629)/(AR319*HE629*HE629))</f>
        <v>4.9999999999999992E-3</v>
      </c>
      <c r="HP629" s="15" t="s">
        <v>766</v>
      </c>
      <c r="HV629" s="15">
        <f t="shared" si="549"/>
        <v>17.949682354207877</v>
      </c>
      <c r="HW629" s="15">
        <f t="shared" si="563"/>
        <v>0.37605122290187065</v>
      </c>
      <c r="HX629" s="15">
        <f>BB629</f>
        <v>675</v>
      </c>
      <c r="HY629" s="15">
        <f>AZ629</f>
        <v>1125</v>
      </c>
      <c r="HZ629" s="15">
        <f>BA629</f>
        <v>0.38395904436860062</v>
      </c>
      <c r="IA629" s="15">
        <f>BB629</f>
        <v>675</v>
      </c>
    </row>
    <row r="630" spans="1:235" s="15" customFormat="1" x14ac:dyDescent="0.25">
      <c r="A630" s="31">
        <v>628</v>
      </c>
      <c r="B630" s="1">
        <v>95</v>
      </c>
      <c r="C630" s="1">
        <v>113</v>
      </c>
      <c r="D630" s="15" t="s">
        <v>1482</v>
      </c>
      <c r="E630" s="1">
        <v>1</v>
      </c>
      <c r="F630" s="15" t="s">
        <v>761</v>
      </c>
      <c r="G630" s="15" t="s">
        <v>1427</v>
      </c>
      <c r="H630" s="15" t="s">
        <v>1428</v>
      </c>
      <c r="I630" s="1">
        <v>2004</v>
      </c>
      <c r="J630" s="15" t="s">
        <v>1263</v>
      </c>
      <c r="K630" s="1" t="s">
        <v>1429</v>
      </c>
      <c r="L630" s="15" t="s">
        <v>1362</v>
      </c>
      <c r="M630" s="15" t="s">
        <v>480</v>
      </c>
      <c r="N630" s="15" t="s">
        <v>520</v>
      </c>
      <c r="O630" s="31">
        <v>2</v>
      </c>
      <c r="P630" s="15">
        <v>29.17</v>
      </c>
      <c r="Q630" s="15">
        <v>119.18</v>
      </c>
      <c r="S630" s="15">
        <v>1333</v>
      </c>
      <c r="T630" s="15">
        <v>17.100000000000001</v>
      </c>
      <c r="U630" s="15" t="s">
        <v>549</v>
      </c>
      <c r="V630" s="31">
        <v>1</v>
      </c>
      <c r="W630" s="15" t="s">
        <v>1430</v>
      </c>
      <c r="X630" s="15" t="s">
        <v>1440</v>
      </c>
      <c r="Y630" s="1">
        <v>3</v>
      </c>
      <c r="Z630" s="15">
        <v>4.8600000000000003</v>
      </c>
      <c r="AA630" s="15" t="s">
        <v>574</v>
      </c>
      <c r="AB630" s="15">
        <f t="shared" si="541"/>
        <v>4.8600000000000003</v>
      </c>
      <c r="AC630" s="1">
        <v>2</v>
      </c>
      <c r="AD630" s="15">
        <v>3.3</v>
      </c>
      <c r="AF630" s="15">
        <v>5.76</v>
      </c>
      <c r="AH630" s="15">
        <v>6</v>
      </c>
      <c r="AJ630" s="15">
        <v>44.2</v>
      </c>
      <c r="AM630" s="1">
        <v>1</v>
      </c>
      <c r="AP630" s="15" t="s">
        <v>1431</v>
      </c>
      <c r="AQ630" s="1">
        <v>1</v>
      </c>
      <c r="AR630" s="1">
        <v>3</v>
      </c>
      <c r="AT630" s="15" t="s">
        <v>576</v>
      </c>
      <c r="AW630" s="15">
        <v>1500</v>
      </c>
      <c r="AX630" s="15">
        <f t="shared" si="562"/>
        <v>1500</v>
      </c>
      <c r="AY630" s="15" t="s">
        <v>766</v>
      </c>
      <c r="AZ630" s="15">
        <f t="shared" si="557"/>
        <v>1500</v>
      </c>
      <c r="BA630" s="15">
        <f t="shared" si="558"/>
        <v>0.51194539249146753</v>
      </c>
      <c r="BB630" s="15">
        <f t="shared" si="559"/>
        <v>900</v>
      </c>
      <c r="FK630" s="16">
        <f t="shared" si="554"/>
        <v>5.0999999999999996</v>
      </c>
      <c r="FL630" s="16">
        <f t="shared" si="555"/>
        <v>6.34</v>
      </c>
      <c r="FM630" s="15">
        <v>5.0999999999999996</v>
      </c>
      <c r="FN630" s="15">
        <f t="shared" si="542"/>
        <v>0.255</v>
      </c>
      <c r="FO630" s="15">
        <f>FN630*SQRT(AR630)</f>
        <v>0.44167295593006367</v>
      </c>
      <c r="FP630" s="15">
        <v>6.34</v>
      </c>
      <c r="FQ630" s="15">
        <f t="shared" si="551"/>
        <v>0.317</v>
      </c>
      <c r="FR630" s="15">
        <f>FQ630*SQRT(AR630)</f>
        <v>0.54906010599933408</v>
      </c>
      <c r="FS630" s="15">
        <f t="shared" si="552"/>
        <v>1.2431372549019608</v>
      </c>
      <c r="FT630" s="15">
        <f t="shared" si="553"/>
        <v>1.2400000000000002</v>
      </c>
      <c r="FU630" s="15">
        <f t="shared" si="556"/>
        <v>0.21763822871885452</v>
      </c>
      <c r="FV630" s="15">
        <f>((FR630*FR630)/(AR630*FP630*FP630)+(FO630*FO630)/(AR630*FM630*FM630))</f>
        <v>5.0000000000000001E-3</v>
      </c>
      <c r="HE630" s="15">
        <v>920</v>
      </c>
      <c r="HF630" s="15">
        <f t="shared" si="560"/>
        <v>46</v>
      </c>
      <c r="HG630" s="15">
        <f>HF630*SQRT(AR320)</f>
        <v>92</v>
      </c>
      <c r="HH630" s="15">
        <v>1580</v>
      </c>
      <c r="HI630" s="15">
        <f t="shared" si="561"/>
        <v>79</v>
      </c>
      <c r="HJ630" s="15">
        <f>HI630*SQRT(AR320)</f>
        <v>158</v>
      </c>
      <c r="HK630" s="15">
        <f t="shared" si="546"/>
        <v>1.7173913043478262</v>
      </c>
      <c r="HL630" s="15">
        <f t="shared" si="547"/>
        <v>660</v>
      </c>
      <c r="HM630" s="15">
        <f t="shared" si="548"/>
        <v>0.54080645597792643</v>
      </c>
      <c r="HN630" s="15">
        <f>((HJ630*HJ630)/(AR320*HH630*HH630)+(HG630*HG630)/(AR320*HE630*HE630))</f>
        <v>5.0000000000000001E-3</v>
      </c>
      <c r="HP630" s="15" t="s">
        <v>766</v>
      </c>
      <c r="HV630" s="15">
        <f t="shared" si="549"/>
        <v>16.641813167199587</v>
      </c>
      <c r="HW630" s="15">
        <f t="shared" si="563"/>
        <v>0.54080645597792643</v>
      </c>
      <c r="HX630" s="15">
        <f>BB630</f>
        <v>900</v>
      </c>
      <c r="HY630" s="15">
        <f>AZ630</f>
        <v>1500</v>
      </c>
      <c r="HZ630" s="15">
        <f>BA630</f>
        <v>0.51194539249146753</v>
      </c>
      <c r="IA630" s="15">
        <f>BB630</f>
        <v>900</v>
      </c>
    </row>
    <row r="631" spans="1:235" s="15" customFormat="1" x14ac:dyDescent="0.25">
      <c r="A631" s="31">
        <v>629</v>
      </c>
      <c r="B631" s="1">
        <v>95</v>
      </c>
      <c r="C631" s="1">
        <v>113</v>
      </c>
      <c r="D631" s="15" t="s">
        <v>1483</v>
      </c>
      <c r="E631" s="1">
        <v>1</v>
      </c>
      <c r="F631" s="15" t="s">
        <v>761</v>
      </c>
      <c r="G631" s="15" t="s">
        <v>1427</v>
      </c>
      <c r="H631" s="15" t="s">
        <v>1428</v>
      </c>
      <c r="I631" s="1">
        <v>2004</v>
      </c>
      <c r="J631" s="15" t="s">
        <v>1263</v>
      </c>
      <c r="K631" s="1" t="s">
        <v>1429</v>
      </c>
      <c r="L631" s="15" t="s">
        <v>1362</v>
      </c>
      <c r="M631" s="15" t="s">
        <v>480</v>
      </c>
      <c r="N631" s="15" t="s">
        <v>520</v>
      </c>
      <c r="O631" s="31">
        <v>2</v>
      </c>
      <c r="P631" s="15">
        <v>29.17</v>
      </c>
      <c r="Q631" s="15">
        <v>119.18</v>
      </c>
      <c r="S631" s="15">
        <v>1333</v>
      </c>
      <c r="T631" s="15">
        <v>17.100000000000001</v>
      </c>
      <c r="U631" s="15" t="s">
        <v>549</v>
      </c>
      <c r="V631" s="31">
        <v>1</v>
      </c>
      <c r="W631" s="15" t="s">
        <v>1430</v>
      </c>
      <c r="X631" s="15" t="s">
        <v>1441</v>
      </c>
      <c r="Y631" s="1">
        <v>9</v>
      </c>
      <c r="Z631" s="15">
        <v>4.8600000000000003</v>
      </c>
      <c r="AA631" s="15" t="s">
        <v>574</v>
      </c>
      <c r="AB631" s="15">
        <f t="shared" si="541"/>
        <v>4.8600000000000003</v>
      </c>
      <c r="AC631" s="1">
        <v>2</v>
      </c>
      <c r="AD631" s="15">
        <v>3.3</v>
      </c>
      <c r="AF631" s="15">
        <v>5.76</v>
      </c>
      <c r="AH631" s="15">
        <v>6</v>
      </c>
      <c r="AJ631" s="15">
        <v>44.2</v>
      </c>
      <c r="AM631" s="1">
        <v>1</v>
      </c>
      <c r="AP631" s="15" t="s">
        <v>1431</v>
      </c>
      <c r="AQ631" s="1">
        <v>1</v>
      </c>
      <c r="AR631" s="1">
        <v>3</v>
      </c>
      <c r="AT631" s="15" t="s">
        <v>576</v>
      </c>
      <c r="AW631" s="15">
        <f>AW555/11</f>
        <v>340.90909090909093</v>
      </c>
      <c r="AX631" s="15">
        <f t="shared" si="562"/>
        <v>340.90909090909093</v>
      </c>
      <c r="AY631" s="15" t="s">
        <v>766</v>
      </c>
      <c r="AZ631" s="15">
        <f t="shared" si="557"/>
        <v>340.90909090909093</v>
      </c>
      <c r="BA631" s="15">
        <f t="shared" si="558"/>
        <v>0.11635122556624264</v>
      </c>
      <c r="BB631" s="15">
        <f t="shared" si="559"/>
        <v>204.54545454545456</v>
      </c>
      <c r="FK631" s="16">
        <f t="shared" si="554"/>
        <v>5</v>
      </c>
      <c r="FL631" s="16">
        <f t="shared" si="555"/>
        <v>5.26</v>
      </c>
      <c r="FM631" s="15">
        <v>5</v>
      </c>
      <c r="FN631" s="15">
        <f t="shared" si="542"/>
        <v>0.25</v>
      </c>
      <c r="FO631" s="15">
        <f>FN631*SQRT(AR631)</f>
        <v>0.4330127018922193</v>
      </c>
      <c r="FP631" s="15">
        <v>5.26</v>
      </c>
      <c r="FQ631" s="15">
        <f t="shared" si="551"/>
        <v>0.26300000000000001</v>
      </c>
      <c r="FR631" s="15">
        <f>FQ631*SQRT(AR631)</f>
        <v>0.4555293623906147</v>
      </c>
      <c r="FS631" s="15">
        <f t="shared" si="552"/>
        <v>1.052</v>
      </c>
      <c r="FT631" s="15">
        <f t="shared" si="553"/>
        <v>0.25999999999999979</v>
      </c>
      <c r="FU631" s="15">
        <f t="shared" si="556"/>
        <v>5.0693114315518262E-2</v>
      </c>
      <c r="FV631" s="15">
        <f>((FR631*FR631)/(AR631*FP631*FP631)+(FO631*FO631)/(AR631*FM631*FM631))</f>
        <v>4.9999999999999992E-3</v>
      </c>
      <c r="HE631" s="15">
        <v>1250</v>
      </c>
      <c r="HF631" s="15">
        <f t="shared" si="560"/>
        <v>62.5</v>
      </c>
      <c r="HG631" s="15">
        <f>HF631*SQRT(AR321)</f>
        <v>125</v>
      </c>
      <c r="HH631" s="15">
        <v>1430</v>
      </c>
      <c r="HI631" s="15">
        <f t="shared" si="561"/>
        <v>71.5</v>
      </c>
      <c r="HJ631" s="15">
        <f>HI631*SQRT(AR321)</f>
        <v>143</v>
      </c>
      <c r="HK631" s="15">
        <f t="shared" si="546"/>
        <v>1.1439999999999999</v>
      </c>
      <c r="HL631" s="15">
        <f t="shared" si="547"/>
        <v>180</v>
      </c>
      <c r="HM631" s="15">
        <f t="shared" si="548"/>
        <v>0.13453089295760634</v>
      </c>
      <c r="HN631" s="15">
        <f>((HJ631*HJ631)/(AR321*HH631*HH631)+(HG631*HG631)/(AR321*HE631*HE631))</f>
        <v>5.0000000000000001E-3</v>
      </c>
      <c r="HP631" s="15" t="s">
        <v>766</v>
      </c>
      <c r="HV631" s="15">
        <f t="shared" si="549"/>
        <v>15.204348239174429</v>
      </c>
      <c r="HW631" s="15">
        <f t="shared" si="563"/>
        <v>0.13453089295760634</v>
      </c>
      <c r="HX631" s="15">
        <f>BB631</f>
        <v>204.54545454545456</v>
      </c>
      <c r="HY631" s="15">
        <f>AZ631</f>
        <v>340.90909090909093</v>
      </c>
      <c r="HZ631" s="15">
        <f>BA631</f>
        <v>0.11635122556624264</v>
      </c>
      <c r="IA631" s="15">
        <f>BB631</f>
        <v>204.54545454545456</v>
      </c>
    </row>
    <row r="632" spans="1:235" s="15" customFormat="1" x14ac:dyDescent="0.25">
      <c r="A632" s="31">
        <v>630</v>
      </c>
      <c r="B632" s="1">
        <v>95</v>
      </c>
      <c r="C632" s="1">
        <v>113</v>
      </c>
      <c r="D632" s="15" t="s">
        <v>1484</v>
      </c>
      <c r="E632" s="1">
        <v>1</v>
      </c>
      <c r="F632" s="15" t="s">
        <v>761</v>
      </c>
      <c r="G632" s="15" t="s">
        <v>1427</v>
      </c>
      <c r="H632" s="15" t="s">
        <v>1428</v>
      </c>
      <c r="I632" s="1">
        <v>2004</v>
      </c>
      <c r="J632" s="15" t="s">
        <v>1263</v>
      </c>
      <c r="K632" s="1" t="s">
        <v>1429</v>
      </c>
      <c r="L632" s="15" t="s">
        <v>1362</v>
      </c>
      <c r="M632" s="15" t="s">
        <v>480</v>
      </c>
      <c r="N632" s="15" t="s">
        <v>520</v>
      </c>
      <c r="O632" s="31">
        <v>2</v>
      </c>
      <c r="P632" s="15">
        <v>29.17</v>
      </c>
      <c r="Q632" s="15">
        <v>119.18</v>
      </c>
      <c r="S632" s="15">
        <v>1333</v>
      </c>
      <c r="T632" s="15">
        <v>17.100000000000001</v>
      </c>
      <c r="U632" s="15" t="s">
        <v>549</v>
      </c>
      <c r="V632" s="31">
        <v>1</v>
      </c>
      <c r="W632" s="15" t="s">
        <v>1430</v>
      </c>
      <c r="X632" s="15" t="s">
        <v>1441</v>
      </c>
      <c r="Y632" s="1">
        <v>9</v>
      </c>
      <c r="Z632" s="15">
        <v>4.8600000000000003</v>
      </c>
      <c r="AA632" s="15" t="s">
        <v>574</v>
      </c>
      <c r="AB632" s="15">
        <f t="shared" si="541"/>
        <v>4.8600000000000003</v>
      </c>
      <c r="AC632" s="1">
        <v>2</v>
      </c>
      <c r="AD632" s="15">
        <v>3.3</v>
      </c>
      <c r="AF632" s="15">
        <v>5.76</v>
      </c>
      <c r="AH632" s="15">
        <v>6</v>
      </c>
      <c r="AJ632" s="15">
        <v>44.2</v>
      </c>
      <c r="AM632" s="1">
        <v>1</v>
      </c>
      <c r="AP632" s="15" t="s">
        <v>1431</v>
      </c>
      <c r="AQ632" s="1">
        <v>1</v>
      </c>
      <c r="AR632" s="1">
        <v>3</v>
      </c>
      <c r="AT632" s="15" t="s">
        <v>576</v>
      </c>
      <c r="AW632" s="15">
        <f>AW556/11</f>
        <v>681.81818181818187</v>
      </c>
      <c r="AX632" s="15">
        <f t="shared" si="562"/>
        <v>681.81818181818187</v>
      </c>
      <c r="AY632" s="15" t="s">
        <v>766</v>
      </c>
      <c r="AZ632" s="15">
        <f t="shared" si="557"/>
        <v>681.81818181818187</v>
      </c>
      <c r="BA632" s="15">
        <f t="shared" si="558"/>
        <v>0.23270245113248528</v>
      </c>
      <c r="BB632" s="15">
        <f t="shared" si="559"/>
        <v>409.09090909090912</v>
      </c>
      <c r="FK632" s="16">
        <f t="shared" si="554"/>
        <v>5</v>
      </c>
      <c r="FL632" s="16">
        <f t="shared" si="555"/>
        <v>5.52</v>
      </c>
      <c r="FM632" s="15">
        <v>5</v>
      </c>
      <c r="FN632" s="15">
        <f t="shared" si="542"/>
        <v>0.25</v>
      </c>
      <c r="FO632" s="15">
        <f>FN632*SQRT(AR632)</f>
        <v>0.4330127018922193</v>
      </c>
      <c r="FP632" s="15">
        <v>5.52</v>
      </c>
      <c r="FQ632" s="15">
        <f t="shared" si="551"/>
        <v>0.27599999999999997</v>
      </c>
      <c r="FR632" s="15">
        <f>FQ632*SQRT(AR632)</f>
        <v>0.47804602288901005</v>
      </c>
      <c r="FS632" s="15">
        <f t="shared" si="552"/>
        <v>1.1039999999999999</v>
      </c>
      <c r="FT632" s="15">
        <f t="shared" si="553"/>
        <v>0.51999999999999957</v>
      </c>
      <c r="FU632" s="15">
        <f t="shared" si="556"/>
        <v>9.8939947854903565E-2</v>
      </c>
      <c r="FV632" s="15">
        <f>((FR632*FR632)/(AR632*FP632*FP632)+(FO632*FO632)/(AR632*FM632*FM632))</f>
        <v>4.9999999999999992E-3</v>
      </c>
      <c r="HE632" s="15">
        <v>1250</v>
      </c>
      <c r="HF632" s="15">
        <f t="shared" si="560"/>
        <v>62.5</v>
      </c>
      <c r="HG632" s="15">
        <f>HF632*SQRT(AR322)</f>
        <v>125</v>
      </c>
      <c r="HH632" s="15">
        <v>1800</v>
      </c>
      <c r="HI632" s="15">
        <f t="shared" si="561"/>
        <v>90</v>
      </c>
      <c r="HJ632" s="15">
        <f>HI632*SQRT(AR322)</f>
        <v>180</v>
      </c>
      <c r="HK632" s="15">
        <f t="shared" si="546"/>
        <v>1.44</v>
      </c>
      <c r="HL632" s="15">
        <f t="shared" si="547"/>
        <v>550</v>
      </c>
      <c r="HM632" s="15">
        <f t="shared" si="548"/>
        <v>0.3646431135879098</v>
      </c>
      <c r="HN632" s="15">
        <f>((HJ632*HJ632)/(AR322*HH632*HH632)+(HG632*HG632)/(AR322*HE632*HE632))</f>
        <v>5.0000000000000001E-3</v>
      </c>
      <c r="HP632" s="15" t="s">
        <v>766</v>
      </c>
      <c r="HV632" s="15">
        <f t="shared" si="549"/>
        <v>11.218939665846278</v>
      </c>
      <c r="HW632" s="15">
        <f t="shared" si="563"/>
        <v>0.3646431135879098</v>
      </c>
      <c r="HX632" s="15">
        <f>BB632</f>
        <v>409.09090909090912</v>
      </c>
      <c r="HY632" s="15">
        <f>AZ632</f>
        <v>681.81818181818187</v>
      </c>
      <c r="HZ632" s="15">
        <f>BA632</f>
        <v>0.23270245113248528</v>
      </c>
      <c r="IA632" s="15">
        <f>BB632</f>
        <v>409.09090909090912</v>
      </c>
    </row>
    <row r="633" spans="1:235" s="15" customFormat="1" x14ac:dyDescent="0.25">
      <c r="A633" s="31">
        <v>631</v>
      </c>
      <c r="B633" s="1">
        <v>95</v>
      </c>
      <c r="C633" s="1">
        <v>113</v>
      </c>
      <c r="D633" s="15" t="s">
        <v>1485</v>
      </c>
      <c r="E633" s="1">
        <v>1</v>
      </c>
      <c r="F633" s="15" t="s">
        <v>761</v>
      </c>
      <c r="G633" s="15" t="s">
        <v>1427</v>
      </c>
      <c r="H633" s="15" t="s">
        <v>1428</v>
      </c>
      <c r="I633" s="1">
        <v>2004</v>
      </c>
      <c r="J633" s="15" t="s">
        <v>1263</v>
      </c>
      <c r="K633" s="1" t="s">
        <v>1429</v>
      </c>
      <c r="L633" s="15" t="s">
        <v>1362</v>
      </c>
      <c r="M633" s="15" t="s">
        <v>480</v>
      </c>
      <c r="N633" s="15" t="s">
        <v>520</v>
      </c>
      <c r="O633" s="31">
        <v>2</v>
      </c>
      <c r="P633" s="15">
        <v>29.17</v>
      </c>
      <c r="Q633" s="15">
        <v>119.18</v>
      </c>
      <c r="S633" s="15">
        <v>1333</v>
      </c>
      <c r="T633" s="15">
        <v>17.100000000000001</v>
      </c>
      <c r="U633" s="15" t="s">
        <v>549</v>
      </c>
      <c r="V633" s="31">
        <v>1</v>
      </c>
      <c r="W633" s="15" t="s">
        <v>1430</v>
      </c>
      <c r="X633" s="15" t="s">
        <v>1441</v>
      </c>
      <c r="Y633" s="1">
        <v>9</v>
      </c>
      <c r="Z633" s="15">
        <v>4.8600000000000003</v>
      </c>
      <c r="AA633" s="15" t="s">
        <v>574</v>
      </c>
      <c r="AB633" s="15">
        <f t="shared" si="541"/>
        <v>4.8600000000000003</v>
      </c>
      <c r="AC633" s="1">
        <v>2</v>
      </c>
      <c r="AD633" s="15">
        <v>3.3</v>
      </c>
      <c r="AF633" s="15">
        <v>5.76</v>
      </c>
      <c r="AH633" s="15">
        <v>6</v>
      </c>
      <c r="AJ633" s="15">
        <v>44.2</v>
      </c>
      <c r="AM633" s="1">
        <v>1</v>
      </c>
      <c r="AP633" s="15" t="s">
        <v>1431</v>
      </c>
      <c r="AQ633" s="1">
        <v>1</v>
      </c>
      <c r="AR633" s="1">
        <v>3</v>
      </c>
      <c r="AT633" s="15" t="s">
        <v>576</v>
      </c>
      <c r="AW633" s="15">
        <f>AW557/11</f>
        <v>1022.7272727272727</v>
      </c>
      <c r="AX633" s="15">
        <f t="shared" si="562"/>
        <v>1022.7272727272727</v>
      </c>
      <c r="AY633" s="15" t="s">
        <v>766</v>
      </c>
      <c r="AZ633" s="15">
        <f t="shared" si="557"/>
        <v>1022.7272727272727</v>
      </c>
      <c r="BA633" s="15">
        <f t="shared" si="558"/>
        <v>0.34905367669872789</v>
      </c>
      <c r="BB633" s="15">
        <f t="shared" si="559"/>
        <v>613.63636363636363</v>
      </c>
      <c r="FK633" s="16">
        <f t="shared" si="554"/>
        <v>5</v>
      </c>
      <c r="FL633" s="16">
        <f t="shared" si="555"/>
        <v>5.93</v>
      </c>
      <c r="FM633" s="15">
        <v>5</v>
      </c>
      <c r="FN633" s="15">
        <f t="shared" si="542"/>
        <v>0.25</v>
      </c>
      <c r="FO633" s="15">
        <f>FN633*SQRT(AR633)</f>
        <v>0.4330127018922193</v>
      </c>
      <c r="FP633" s="15">
        <v>5.93</v>
      </c>
      <c r="FQ633" s="15">
        <f t="shared" si="551"/>
        <v>0.29649999999999999</v>
      </c>
      <c r="FR633" s="15">
        <f>FQ633*SQRT(AR633)</f>
        <v>0.51355306444417204</v>
      </c>
      <c r="FS633" s="15">
        <f t="shared" si="552"/>
        <v>1.1859999999999999</v>
      </c>
      <c r="FT633" s="15">
        <f t="shared" si="553"/>
        <v>0.92999999999999972</v>
      </c>
      <c r="FU633" s="15">
        <f t="shared" si="556"/>
        <v>0.1705863005755337</v>
      </c>
      <c r="FV633" s="15">
        <f>((FR633*FR633)/(AR633*FP633*FP633)+(FO633*FO633)/(AR633*FM633*FM633))</f>
        <v>4.9999999999999992E-3</v>
      </c>
      <c r="HE633" s="15">
        <v>1250</v>
      </c>
      <c r="HF633" s="15">
        <f t="shared" si="560"/>
        <v>62.5</v>
      </c>
      <c r="HG633" s="15">
        <f>HF633*SQRT(AR323)</f>
        <v>125</v>
      </c>
      <c r="HH633" s="15">
        <v>1840</v>
      </c>
      <c r="HI633" s="15">
        <f t="shared" si="561"/>
        <v>92</v>
      </c>
      <c r="HJ633" s="15">
        <f>HI633*SQRT(AR323)</f>
        <v>184</v>
      </c>
      <c r="HK633" s="15">
        <f t="shared" si="546"/>
        <v>1.472</v>
      </c>
      <c r="HL633" s="15">
        <f t="shared" si="547"/>
        <v>590</v>
      </c>
      <c r="HM633" s="15">
        <f t="shared" si="548"/>
        <v>0.38662202030668436</v>
      </c>
      <c r="HN633" s="15">
        <f>((HJ633*HJ633)/(AR323*HH633*HH633)+(HG633*HG633)/(AR323*HE633*HE633))</f>
        <v>5.0000000000000001E-3</v>
      </c>
      <c r="HP633" s="15" t="s">
        <v>766</v>
      </c>
      <c r="HV633" s="15">
        <f t="shared" si="549"/>
        <v>15.87173858202909</v>
      </c>
      <c r="HW633" s="15">
        <f t="shared" si="563"/>
        <v>0.38662202030668436</v>
      </c>
      <c r="HX633" s="15">
        <f>BB633</f>
        <v>613.63636363636363</v>
      </c>
      <c r="HY633" s="15">
        <f>AZ633</f>
        <v>1022.7272727272727</v>
      </c>
      <c r="HZ633" s="15">
        <f>BA633</f>
        <v>0.34905367669872789</v>
      </c>
      <c r="IA633" s="15">
        <f>BB633</f>
        <v>613.63636363636363</v>
      </c>
    </row>
    <row r="634" spans="1:235" s="15" customFormat="1" x14ac:dyDescent="0.25">
      <c r="A634" s="31">
        <v>632</v>
      </c>
      <c r="B634" s="1">
        <v>95</v>
      </c>
      <c r="C634" s="1">
        <v>113</v>
      </c>
      <c r="D634" s="15" t="s">
        <v>1486</v>
      </c>
      <c r="E634" s="1">
        <v>1</v>
      </c>
      <c r="F634" s="15" t="s">
        <v>761</v>
      </c>
      <c r="G634" s="15" t="s">
        <v>1427</v>
      </c>
      <c r="H634" s="15" t="s">
        <v>1428</v>
      </c>
      <c r="I634" s="1">
        <v>2004</v>
      </c>
      <c r="J634" s="15" t="s">
        <v>1263</v>
      </c>
      <c r="K634" s="1" t="s">
        <v>1429</v>
      </c>
      <c r="L634" s="15" t="s">
        <v>1362</v>
      </c>
      <c r="M634" s="15" t="s">
        <v>480</v>
      </c>
      <c r="N634" s="15" t="s">
        <v>520</v>
      </c>
      <c r="O634" s="31">
        <v>2</v>
      </c>
      <c r="P634" s="15">
        <v>29.17</v>
      </c>
      <c r="Q634" s="15">
        <v>119.18</v>
      </c>
      <c r="S634" s="15">
        <v>1333</v>
      </c>
      <c r="T634" s="15">
        <v>17.100000000000001</v>
      </c>
      <c r="U634" s="15" t="s">
        <v>549</v>
      </c>
      <c r="V634" s="31">
        <v>1</v>
      </c>
      <c r="W634" s="15" t="s">
        <v>1430</v>
      </c>
      <c r="X634" s="15" t="s">
        <v>1441</v>
      </c>
      <c r="Y634" s="1">
        <v>9</v>
      </c>
      <c r="Z634" s="15">
        <v>4.8600000000000003</v>
      </c>
      <c r="AA634" s="15" t="s">
        <v>574</v>
      </c>
      <c r="AB634" s="15">
        <f t="shared" si="541"/>
        <v>4.8600000000000003</v>
      </c>
      <c r="AC634" s="1">
        <v>2</v>
      </c>
      <c r="AD634" s="15">
        <v>3.3</v>
      </c>
      <c r="AF634" s="15">
        <v>5.76</v>
      </c>
      <c r="AH634" s="15">
        <v>6</v>
      </c>
      <c r="AJ634" s="15">
        <v>44.2</v>
      </c>
      <c r="AM634" s="1">
        <v>1</v>
      </c>
      <c r="AP634" s="15" t="s">
        <v>1431</v>
      </c>
      <c r="AQ634" s="1">
        <v>1</v>
      </c>
      <c r="AR634" s="1">
        <v>3</v>
      </c>
      <c r="AT634" s="15" t="s">
        <v>576</v>
      </c>
      <c r="AW634" s="15">
        <f>AW558/11</f>
        <v>1363.6363636363637</v>
      </c>
      <c r="AX634" s="15">
        <f t="shared" si="562"/>
        <v>1363.6363636363637</v>
      </c>
      <c r="AY634" s="15" t="s">
        <v>766</v>
      </c>
      <c r="AZ634" s="15">
        <f t="shared" si="557"/>
        <v>1363.6363636363637</v>
      </c>
      <c r="BA634" s="15">
        <f t="shared" si="558"/>
        <v>0.46540490226497055</v>
      </c>
      <c r="BB634" s="15">
        <f t="shared" si="559"/>
        <v>818.18181818181824</v>
      </c>
      <c r="FK634" s="16">
        <f t="shared" si="554"/>
        <v>5</v>
      </c>
      <c r="FL634" s="16">
        <f t="shared" si="555"/>
        <v>6.37</v>
      </c>
      <c r="FM634" s="15">
        <v>5</v>
      </c>
      <c r="FN634" s="15">
        <f t="shared" si="542"/>
        <v>0.25</v>
      </c>
      <c r="FO634" s="15">
        <f>FN634*SQRT(AR634)</f>
        <v>0.4330127018922193</v>
      </c>
      <c r="FP634" s="15">
        <v>6.37</v>
      </c>
      <c r="FQ634" s="15">
        <f t="shared" si="551"/>
        <v>0.31850000000000001</v>
      </c>
      <c r="FR634" s="15">
        <f>FQ634*SQRT(AR634)</f>
        <v>0.55165818221068741</v>
      </c>
      <c r="FS634" s="15">
        <f t="shared" si="552"/>
        <v>1.274</v>
      </c>
      <c r="FT634" s="15">
        <f t="shared" si="553"/>
        <v>1.37</v>
      </c>
      <c r="FU634" s="15">
        <f t="shared" si="556"/>
        <v>0.24216155714997178</v>
      </c>
      <c r="FV634" s="15">
        <f>((FR634*FR634)/(AR634*FP634*FP634)+(FO634*FO634)/(AR634*FM634*FM634))</f>
        <v>4.9999999999999992E-3</v>
      </c>
      <c r="HE634" s="15">
        <v>1250</v>
      </c>
      <c r="HF634" s="15">
        <f t="shared" si="560"/>
        <v>62.5</v>
      </c>
      <c r="HG634" s="15">
        <f>HF634*SQRT(AR324)</f>
        <v>139.75424859373686</v>
      </c>
      <c r="HH634" s="15">
        <v>1910</v>
      </c>
      <c r="HI634" s="15">
        <f t="shared" si="561"/>
        <v>95.5</v>
      </c>
      <c r="HJ634" s="15">
        <f>HI634*SQRT(AR324)</f>
        <v>213.54449185122994</v>
      </c>
      <c r="HK634" s="15">
        <f t="shared" si="546"/>
        <v>1.528</v>
      </c>
      <c r="HL634" s="15">
        <f t="shared" si="547"/>
        <v>660</v>
      </c>
      <c r="HM634" s="15">
        <f t="shared" si="548"/>
        <v>0.42395969074432927</v>
      </c>
      <c r="HN634" s="15">
        <f>((HJ634*HJ634)/(AR324*HH634*HH634)+(HG634*HG634)/(AR324*HE634*HE634))</f>
        <v>5.000000000000001E-3</v>
      </c>
      <c r="HP634" s="15" t="s">
        <v>766</v>
      </c>
      <c r="HV634" s="15">
        <f t="shared" si="549"/>
        <v>19.2985756911316</v>
      </c>
      <c r="HW634" s="15">
        <f t="shared" si="563"/>
        <v>0.42395969074432927</v>
      </c>
      <c r="HX634" s="15">
        <f>BB634</f>
        <v>818.18181818181824</v>
      </c>
      <c r="HY634" s="15">
        <f>AZ634</f>
        <v>1363.6363636363637</v>
      </c>
      <c r="HZ634" s="15">
        <f>BA634</f>
        <v>0.46540490226497055</v>
      </c>
      <c r="IA634" s="15">
        <f>BB634</f>
        <v>818.18181818181824</v>
      </c>
    </row>
    <row r="635" spans="1:235" s="15" customFormat="1" x14ac:dyDescent="0.25">
      <c r="A635" s="31">
        <v>633</v>
      </c>
      <c r="B635" s="1">
        <v>95</v>
      </c>
      <c r="C635" s="1">
        <v>113</v>
      </c>
      <c r="D635" s="15" t="s">
        <v>1487</v>
      </c>
      <c r="E635" s="1">
        <v>1</v>
      </c>
      <c r="F635" s="15" t="s">
        <v>761</v>
      </c>
      <c r="G635" s="15" t="s">
        <v>1427</v>
      </c>
      <c r="H635" s="15" t="s">
        <v>1428</v>
      </c>
      <c r="I635" s="1">
        <v>2004</v>
      </c>
      <c r="J635" s="15" t="s">
        <v>1263</v>
      </c>
      <c r="K635" s="1" t="s">
        <v>1429</v>
      </c>
      <c r="L635" s="15" t="s">
        <v>1362</v>
      </c>
      <c r="M635" s="15" t="s">
        <v>480</v>
      </c>
      <c r="N635" s="15" t="s">
        <v>520</v>
      </c>
      <c r="O635" s="31">
        <v>2</v>
      </c>
      <c r="P635" s="15">
        <v>29.17</v>
      </c>
      <c r="Q635" s="15">
        <v>119.18</v>
      </c>
      <c r="S635" s="15">
        <v>1333</v>
      </c>
      <c r="T635" s="15">
        <v>17.100000000000001</v>
      </c>
      <c r="U635" s="15" t="s">
        <v>549</v>
      </c>
      <c r="V635" s="31">
        <v>1</v>
      </c>
      <c r="W635" s="15" t="s">
        <v>1430</v>
      </c>
      <c r="X635" s="15" t="s">
        <v>1439</v>
      </c>
      <c r="Y635" s="1">
        <v>5</v>
      </c>
      <c r="Z635" s="15">
        <v>4.8600000000000003</v>
      </c>
      <c r="AA635" s="15" t="s">
        <v>574</v>
      </c>
      <c r="AB635" s="15">
        <f t="shared" si="541"/>
        <v>4.8600000000000003</v>
      </c>
      <c r="AC635" s="1">
        <v>2</v>
      </c>
      <c r="AD635" s="15">
        <v>3.3</v>
      </c>
      <c r="AF635" s="15">
        <v>5.76</v>
      </c>
      <c r="AH635" s="15">
        <v>6</v>
      </c>
      <c r="AJ635" s="15">
        <v>44.2</v>
      </c>
      <c r="AM635" s="1">
        <v>1</v>
      </c>
      <c r="AP635" s="15" t="s">
        <v>1431</v>
      </c>
      <c r="AQ635" s="1">
        <v>1</v>
      </c>
      <c r="AR635" s="1">
        <v>3</v>
      </c>
      <c r="AT635" s="15" t="s">
        <v>576</v>
      </c>
      <c r="AW635" s="15">
        <v>340.90909090909093</v>
      </c>
      <c r="AX635" s="15">
        <f t="shared" si="562"/>
        <v>340.90909090909093</v>
      </c>
      <c r="AY635" s="15" t="s">
        <v>766</v>
      </c>
      <c r="AZ635" s="15">
        <f t="shared" si="557"/>
        <v>340.90909090909093</v>
      </c>
      <c r="BA635" s="15">
        <f t="shared" si="558"/>
        <v>0.11635122556624264</v>
      </c>
      <c r="BB635" s="15">
        <f t="shared" si="559"/>
        <v>204.54545454545456</v>
      </c>
      <c r="FK635" s="16">
        <f t="shared" si="554"/>
        <v>5</v>
      </c>
      <c r="FL635" s="16">
        <f t="shared" si="555"/>
        <v>5.26</v>
      </c>
      <c r="FM635" s="15">
        <v>5</v>
      </c>
      <c r="FN635" s="15">
        <f t="shared" si="542"/>
        <v>0.25</v>
      </c>
      <c r="FO635" s="15">
        <f>FN635*SQRT(AR635)</f>
        <v>0.4330127018922193</v>
      </c>
      <c r="FP635" s="15">
        <v>5.26</v>
      </c>
      <c r="FQ635" s="15">
        <f t="shared" si="551"/>
        <v>0.26300000000000001</v>
      </c>
      <c r="FR635" s="15">
        <f>FQ635*SQRT(AR635)</f>
        <v>0.4555293623906147</v>
      </c>
      <c r="FS635" s="15">
        <f t="shared" si="552"/>
        <v>1.052</v>
      </c>
      <c r="FT635" s="15">
        <f t="shared" si="553"/>
        <v>0.25999999999999979</v>
      </c>
      <c r="FU635" s="15">
        <f t="shared" si="556"/>
        <v>5.0693114315518262E-2</v>
      </c>
      <c r="FV635" s="15">
        <f>((FR635*FR635)/(AR635*FP635*FP635)+(FO635*FO635)/(AR635*FM635*FM635))</f>
        <v>4.9999999999999992E-3</v>
      </c>
      <c r="HE635" s="15">
        <v>570</v>
      </c>
      <c r="HF635" s="15">
        <f t="shared" si="560"/>
        <v>28.5</v>
      </c>
      <c r="HG635" s="15">
        <f>HF635*SQRT(AR325)</f>
        <v>49.363448015712997</v>
      </c>
      <c r="HH635" s="15">
        <v>850</v>
      </c>
      <c r="HI635" s="15">
        <f t="shared" si="561"/>
        <v>42.5</v>
      </c>
      <c r="HJ635" s="15">
        <f>HI635*SQRT(AR325)</f>
        <v>73.612159321677282</v>
      </c>
      <c r="HK635" s="15">
        <f t="shared" si="546"/>
        <v>1.4912280701754386</v>
      </c>
      <c r="HL635" s="15">
        <f t="shared" si="547"/>
        <v>280</v>
      </c>
      <c r="HM635" s="15">
        <f t="shared" si="548"/>
        <v>0.3995999886557664</v>
      </c>
      <c r="HN635" s="15">
        <f>((HJ635*HJ635)/(AR325*HH635*HH635)+(HG635*HG635)/(AR325*HE635*HE635))</f>
        <v>4.9999999999999992E-3</v>
      </c>
      <c r="HP635" s="15" t="s">
        <v>766</v>
      </c>
      <c r="HV635" s="15">
        <f t="shared" si="549"/>
        <v>5.1187552640713241</v>
      </c>
      <c r="HW635" s="15">
        <f t="shared" si="563"/>
        <v>0.3995999886557664</v>
      </c>
      <c r="HX635" s="15">
        <f>BB635</f>
        <v>204.54545454545456</v>
      </c>
      <c r="HY635" s="15">
        <f>AZ635</f>
        <v>340.90909090909093</v>
      </c>
      <c r="HZ635" s="15">
        <f>BA635</f>
        <v>0.11635122556624264</v>
      </c>
      <c r="IA635" s="15">
        <f>BB635</f>
        <v>204.54545454545456</v>
      </c>
    </row>
    <row r="636" spans="1:235" s="15" customFormat="1" x14ac:dyDescent="0.25">
      <c r="A636" s="31">
        <v>634</v>
      </c>
      <c r="B636" s="1">
        <v>95</v>
      </c>
      <c r="C636" s="1">
        <v>113</v>
      </c>
      <c r="D636" s="15" t="s">
        <v>1488</v>
      </c>
      <c r="E636" s="1">
        <v>1</v>
      </c>
      <c r="F636" s="15" t="s">
        <v>761</v>
      </c>
      <c r="G636" s="15" t="s">
        <v>1427</v>
      </c>
      <c r="H636" s="15" t="s">
        <v>1428</v>
      </c>
      <c r="I636" s="1">
        <v>2004</v>
      </c>
      <c r="J636" s="15" t="s">
        <v>1263</v>
      </c>
      <c r="K636" s="1" t="s">
        <v>1429</v>
      </c>
      <c r="L636" s="15" t="s">
        <v>1362</v>
      </c>
      <c r="M636" s="15" t="s">
        <v>480</v>
      </c>
      <c r="N636" s="15" t="s">
        <v>520</v>
      </c>
      <c r="O636" s="31">
        <v>2</v>
      </c>
      <c r="P636" s="15">
        <v>29.17</v>
      </c>
      <c r="Q636" s="15">
        <v>119.18</v>
      </c>
      <c r="S636" s="15">
        <v>1333</v>
      </c>
      <c r="T636" s="15">
        <v>17.100000000000001</v>
      </c>
      <c r="U636" s="15" t="s">
        <v>549</v>
      </c>
      <c r="V636" s="31">
        <v>1</v>
      </c>
      <c r="W636" s="15" t="s">
        <v>1430</v>
      </c>
      <c r="X636" s="15" t="s">
        <v>1439</v>
      </c>
      <c r="Y636" s="1">
        <v>5</v>
      </c>
      <c r="Z636" s="15">
        <v>4.8600000000000003</v>
      </c>
      <c r="AA636" s="15" t="s">
        <v>574</v>
      </c>
      <c r="AB636" s="15">
        <f t="shared" si="541"/>
        <v>4.8600000000000003</v>
      </c>
      <c r="AC636" s="1">
        <v>2</v>
      </c>
      <c r="AD636" s="15">
        <v>3.3</v>
      </c>
      <c r="AF636" s="15">
        <v>5.76</v>
      </c>
      <c r="AH636" s="15">
        <v>6</v>
      </c>
      <c r="AJ636" s="15">
        <v>44.2</v>
      </c>
      <c r="AM636" s="1">
        <v>1</v>
      </c>
      <c r="AP636" s="15" t="s">
        <v>1431</v>
      </c>
      <c r="AQ636" s="1">
        <v>1</v>
      </c>
      <c r="AR636" s="1">
        <v>3</v>
      </c>
      <c r="AT636" s="15" t="s">
        <v>576</v>
      </c>
      <c r="AW636" s="15">
        <v>681.81818181818187</v>
      </c>
      <c r="AX636" s="15">
        <f t="shared" si="562"/>
        <v>681.81818181818187</v>
      </c>
      <c r="AY636" s="15" t="s">
        <v>766</v>
      </c>
      <c r="AZ636" s="15">
        <f t="shared" si="557"/>
        <v>681.81818181818187</v>
      </c>
      <c r="BA636" s="15">
        <f t="shared" si="558"/>
        <v>0.23270245113248528</v>
      </c>
      <c r="BB636" s="15">
        <f t="shared" si="559"/>
        <v>409.09090909090912</v>
      </c>
      <c r="FK636" s="16">
        <f t="shared" si="554"/>
        <v>5</v>
      </c>
      <c r="FL636" s="16">
        <f t="shared" si="555"/>
        <v>5.52</v>
      </c>
      <c r="FM636" s="15">
        <v>5</v>
      </c>
      <c r="FN636" s="15">
        <f t="shared" si="542"/>
        <v>0.25</v>
      </c>
      <c r="FO636" s="15">
        <f>FN636*SQRT(AR636)</f>
        <v>0.4330127018922193</v>
      </c>
      <c r="FP636" s="15">
        <v>5.52</v>
      </c>
      <c r="FQ636" s="15">
        <f t="shared" si="551"/>
        <v>0.27599999999999997</v>
      </c>
      <c r="FR636" s="15">
        <f>FQ636*SQRT(AR636)</f>
        <v>0.47804602288901005</v>
      </c>
      <c r="FS636" s="15">
        <f t="shared" si="552"/>
        <v>1.1039999999999999</v>
      </c>
      <c r="FT636" s="15">
        <f t="shared" si="553"/>
        <v>0.51999999999999957</v>
      </c>
      <c r="FU636" s="15">
        <f t="shared" si="556"/>
        <v>9.8939947854903565E-2</v>
      </c>
      <c r="FV636" s="15">
        <f>((FR636*FR636)/(AR636*FP636*FP636)+(FO636*FO636)/(AR636*FM636*FM636))</f>
        <v>4.9999999999999992E-3</v>
      </c>
      <c r="HE636" s="15">
        <v>570</v>
      </c>
      <c r="HF636" s="15">
        <f t="shared" si="560"/>
        <v>28.5</v>
      </c>
      <c r="HG636" s="15">
        <f>HF636*SQRT(AR326)</f>
        <v>49.363448015712997</v>
      </c>
      <c r="HH636" s="15">
        <v>900</v>
      </c>
      <c r="HI636" s="15">
        <f t="shared" si="561"/>
        <v>45</v>
      </c>
      <c r="HJ636" s="15">
        <f>HI636*SQRT(AR326)</f>
        <v>77.94228634059948</v>
      </c>
      <c r="HK636" s="15">
        <f t="shared" si="546"/>
        <v>1.5789473684210527</v>
      </c>
      <c r="HL636" s="15">
        <f t="shared" si="547"/>
        <v>330</v>
      </c>
      <c r="HM636" s="15">
        <f t="shared" si="548"/>
        <v>0.45675840249571475</v>
      </c>
      <c r="HN636" s="15">
        <f>((HJ636*HJ636)/(AR326*HH636*HH636)+(HG636*HG636)/(AR326*HE636*HE636))</f>
        <v>4.9999999999999992E-3</v>
      </c>
      <c r="HP636" s="15" t="s">
        <v>766</v>
      </c>
      <c r="HV636" s="15">
        <f t="shared" si="549"/>
        <v>8.9563959164330242</v>
      </c>
      <c r="HW636" s="15">
        <f t="shared" si="563"/>
        <v>0.45675840249571475</v>
      </c>
      <c r="HX636" s="15">
        <f>BB636</f>
        <v>409.09090909090912</v>
      </c>
      <c r="HY636" s="15">
        <f>AZ636</f>
        <v>681.81818181818187</v>
      </c>
      <c r="HZ636" s="15">
        <f>BA636</f>
        <v>0.23270245113248528</v>
      </c>
      <c r="IA636" s="15">
        <f>BB636</f>
        <v>409.09090909090912</v>
      </c>
    </row>
    <row r="637" spans="1:235" s="15" customFormat="1" x14ac:dyDescent="0.25">
      <c r="A637" s="31">
        <v>635</v>
      </c>
      <c r="B637" s="1">
        <v>95</v>
      </c>
      <c r="C637" s="1">
        <v>113</v>
      </c>
      <c r="D637" s="15" t="s">
        <v>1489</v>
      </c>
      <c r="E637" s="1">
        <v>1</v>
      </c>
      <c r="F637" s="15" t="s">
        <v>761</v>
      </c>
      <c r="G637" s="15" t="s">
        <v>1427</v>
      </c>
      <c r="H637" s="15" t="s">
        <v>1428</v>
      </c>
      <c r="I637" s="1">
        <v>2004</v>
      </c>
      <c r="J637" s="15" t="s">
        <v>1263</v>
      </c>
      <c r="K637" s="1" t="s">
        <v>1429</v>
      </c>
      <c r="L637" s="15" t="s">
        <v>1362</v>
      </c>
      <c r="M637" s="15" t="s">
        <v>480</v>
      </c>
      <c r="N637" s="15" t="s">
        <v>520</v>
      </c>
      <c r="O637" s="31">
        <v>2</v>
      </c>
      <c r="P637" s="15">
        <v>29.17</v>
      </c>
      <c r="Q637" s="15">
        <v>119.18</v>
      </c>
      <c r="S637" s="15">
        <v>1333</v>
      </c>
      <c r="T637" s="15">
        <v>17.100000000000001</v>
      </c>
      <c r="U637" s="15" t="s">
        <v>549</v>
      </c>
      <c r="V637" s="31">
        <v>1</v>
      </c>
      <c r="W637" s="15" t="s">
        <v>1430</v>
      </c>
      <c r="X637" s="15" t="s">
        <v>1439</v>
      </c>
      <c r="Y637" s="1">
        <v>5</v>
      </c>
      <c r="Z637" s="15">
        <v>4.8600000000000003</v>
      </c>
      <c r="AA637" s="15" t="s">
        <v>574</v>
      </c>
      <c r="AB637" s="15">
        <f t="shared" si="541"/>
        <v>4.8600000000000003</v>
      </c>
      <c r="AC637" s="1">
        <v>2</v>
      </c>
      <c r="AD637" s="15">
        <v>3.3</v>
      </c>
      <c r="AF637" s="15">
        <v>5.76</v>
      </c>
      <c r="AH637" s="15">
        <v>6</v>
      </c>
      <c r="AJ637" s="15">
        <v>44.2</v>
      </c>
      <c r="AM637" s="1">
        <v>1</v>
      </c>
      <c r="AP637" s="15" t="s">
        <v>1431</v>
      </c>
      <c r="AQ637" s="1">
        <v>1</v>
      </c>
      <c r="AR637" s="1">
        <v>3</v>
      </c>
      <c r="AT637" s="15" t="s">
        <v>576</v>
      </c>
      <c r="AW637" s="15">
        <v>1022.7272727272727</v>
      </c>
      <c r="AX637" s="15">
        <f t="shared" si="562"/>
        <v>1022.7272727272727</v>
      </c>
      <c r="AY637" s="15" t="s">
        <v>766</v>
      </c>
      <c r="AZ637" s="15">
        <f t="shared" si="557"/>
        <v>1022.7272727272727</v>
      </c>
      <c r="BA637" s="15">
        <f t="shared" si="558"/>
        <v>0.34905367669872789</v>
      </c>
      <c r="BB637" s="15">
        <f t="shared" si="559"/>
        <v>613.63636363636363</v>
      </c>
      <c r="FK637" s="16">
        <f t="shared" si="554"/>
        <v>5</v>
      </c>
      <c r="FL637" s="16">
        <f t="shared" si="555"/>
        <v>5.93</v>
      </c>
      <c r="FM637" s="15">
        <v>5</v>
      </c>
      <c r="FN637" s="15">
        <f t="shared" si="542"/>
        <v>0.25</v>
      </c>
      <c r="FO637" s="15">
        <f>FN637*SQRT(AR637)</f>
        <v>0.4330127018922193</v>
      </c>
      <c r="FP637" s="15">
        <v>5.93</v>
      </c>
      <c r="FQ637" s="15">
        <f t="shared" si="551"/>
        <v>0.29649999999999999</v>
      </c>
      <c r="FR637" s="15">
        <f>FQ637*SQRT(AR637)</f>
        <v>0.51355306444417204</v>
      </c>
      <c r="FS637" s="15">
        <f t="shared" si="552"/>
        <v>1.1859999999999999</v>
      </c>
      <c r="FT637" s="15">
        <f t="shared" si="553"/>
        <v>0.92999999999999972</v>
      </c>
      <c r="FU637" s="15">
        <f t="shared" si="556"/>
        <v>0.1705863005755337</v>
      </c>
      <c r="FV637" s="15">
        <f>((FR637*FR637)/(AR637*FP637*FP637)+(FO637*FO637)/(AR637*FM637*FM637))</f>
        <v>4.9999999999999992E-3</v>
      </c>
      <c r="HE637" s="15">
        <v>570</v>
      </c>
      <c r="HF637" s="15">
        <f t="shared" si="560"/>
        <v>28.5</v>
      </c>
      <c r="HG637" s="15">
        <f>HF637*SQRT(AR327)</f>
        <v>49.363448015712997</v>
      </c>
      <c r="HH637" s="15">
        <v>740</v>
      </c>
      <c r="HI637" s="15">
        <f t="shared" si="561"/>
        <v>37</v>
      </c>
      <c r="HJ637" s="15">
        <f>HI637*SQRT(AR327)</f>
        <v>64.085879880048452</v>
      </c>
      <c r="HK637" s="15">
        <f t="shared" si="546"/>
        <v>1.2982456140350878</v>
      </c>
      <c r="HL637" s="15">
        <f t="shared" si="547"/>
        <v>170</v>
      </c>
      <c r="HM637" s="15">
        <f t="shared" si="548"/>
        <v>0.26101382536961903</v>
      </c>
      <c r="HN637" s="15">
        <f>((HJ637*HJ637)/(AR327*HH637*HH637)+(HG637*HG637)/(AR327*HE637*HE637))</f>
        <v>4.9999999999999992E-3</v>
      </c>
      <c r="HP637" s="15" t="s">
        <v>766</v>
      </c>
      <c r="HV637" s="15">
        <f t="shared" si="549"/>
        <v>23.50972645864254</v>
      </c>
      <c r="HW637" s="15">
        <f t="shared" si="563"/>
        <v>0.26101382536961903</v>
      </c>
      <c r="HX637" s="15">
        <f>BB637</f>
        <v>613.63636363636363</v>
      </c>
      <c r="HY637" s="15">
        <f>AZ637</f>
        <v>1022.7272727272727</v>
      </c>
      <c r="HZ637" s="15">
        <f>BA637</f>
        <v>0.34905367669872789</v>
      </c>
      <c r="IA637" s="15">
        <f>BB637</f>
        <v>613.63636363636363</v>
      </c>
    </row>
    <row r="638" spans="1:235" s="15" customFormat="1" x14ac:dyDescent="0.25">
      <c r="A638" s="31">
        <v>636</v>
      </c>
      <c r="B638" s="1">
        <v>95</v>
      </c>
      <c r="C638" s="1">
        <v>113</v>
      </c>
      <c r="D638" s="15" t="s">
        <v>1490</v>
      </c>
      <c r="E638" s="1">
        <v>1</v>
      </c>
      <c r="F638" s="15" t="s">
        <v>761</v>
      </c>
      <c r="G638" s="15" t="s">
        <v>1427</v>
      </c>
      <c r="H638" s="15" t="s">
        <v>1428</v>
      </c>
      <c r="I638" s="1">
        <v>2004</v>
      </c>
      <c r="J638" s="15" t="s">
        <v>1263</v>
      </c>
      <c r="K638" s="1" t="s">
        <v>1429</v>
      </c>
      <c r="L638" s="15" t="s">
        <v>1362</v>
      </c>
      <c r="M638" s="15" t="s">
        <v>480</v>
      </c>
      <c r="N638" s="15" t="s">
        <v>520</v>
      </c>
      <c r="O638" s="31">
        <v>2</v>
      </c>
      <c r="P638" s="15">
        <v>29.17</v>
      </c>
      <c r="Q638" s="15">
        <v>119.18</v>
      </c>
      <c r="S638" s="15">
        <v>1333</v>
      </c>
      <c r="T638" s="15">
        <v>17.100000000000001</v>
      </c>
      <c r="U638" s="15" t="s">
        <v>549</v>
      </c>
      <c r="V638" s="31">
        <v>1</v>
      </c>
      <c r="W638" s="15" t="s">
        <v>1430</v>
      </c>
      <c r="X638" s="15" t="s">
        <v>1439</v>
      </c>
      <c r="Y638" s="1">
        <v>5</v>
      </c>
      <c r="Z638" s="15">
        <v>4.8600000000000003</v>
      </c>
      <c r="AA638" s="15" t="s">
        <v>574</v>
      </c>
      <c r="AB638" s="15">
        <f t="shared" si="541"/>
        <v>4.8600000000000003</v>
      </c>
      <c r="AC638" s="1">
        <v>2</v>
      </c>
      <c r="AD638" s="15">
        <v>3.3</v>
      </c>
      <c r="AF638" s="15">
        <v>5.76</v>
      </c>
      <c r="AH638" s="15">
        <v>6</v>
      </c>
      <c r="AJ638" s="15">
        <v>44.2</v>
      </c>
      <c r="AM638" s="1">
        <v>1</v>
      </c>
      <c r="AP638" s="15" t="s">
        <v>1431</v>
      </c>
      <c r="AQ638" s="1">
        <v>1</v>
      </c>
      <c r="AR638" s="1">
        <v>3</v>
      </c>
      <c r="AT638" s="15" t="s">
        <v>576</v>
      </c>
      <c r="AW638" s="15">
        <v>1363.6363636363637</v>
      </c>
      <c r="AX638" s="15">
        <f t="shared" si="562"/>
        <v>1363.6363636363637</v>
      </c>
      <c r="AY638" s="15" t="s">
        <v>766</v>
      </c>
      <c r="AZ638" s="15">
        <f t="shared" si="557"/>
        <v>1363.6363636363637</v>
      </c>
      <c r="BA638" s="15">
        <f t="shared" si="558"/>
        <v>0.46540490226497055</v>
      </c>
      <c r="BB638" s="15">
        <f t="shared" si="559"/>
        <v>818.18181818181824</v>
      </c>
      <c r="FK638" s="16">
        <f t="shared" si="554"/>
        <v>5</v>
      </c>
      <c r="FL638" s="16">
        <f t="shared" si="555"/>
        <v>6.37</v>
      </c>
      <c r="FM638" s="15">
        <v>5</v>
      </c>
      <c r="FN638" s="15">
        <f t="shared" si="542"/>
        <v>0.25</v>
      </c>
      <c r="FO638" s="15">
        <f>FN638*SQRT(AR638)</f>
        <v>0.4330127018922193</v>
      </c>
      <c r="FP638" s="15">
        <v>6.37</v>
      </c>
      <c r="FQ638" s="15">
        <f t="shared" si="551"/>
        <v>0.31850000000000001</v>
      </c>
      <c r="FR638" s="15">
        <f>FQ638*SQRT(AR638)</f>
        <v>0.55165818221068741</v>
      </c>
      <c r="FS638" s="15">
        <f t="shared" si="552"/>
        <v>1.274</v>
      </c>
      <c r="FT638" s="15">
        <f t="shared" si="553"/>
        <v>1.37</v>
      </c>
      <c r="FU638" s="15">
        <f t="shared" si="556"/>
        <v>0.24216155714997178</v>
      </c>
      <c r="FV638" s="15">
        <f>((FR638*FR638)/(AR638*FP638*FP638)+(FO638*FO638)/(AR638*FM638*FM638))</f>
        <v>4.9999999999999992E-3</v>
      </c>
      <c r="HE638" s="15">
        <v>570</v>
      </c>
      <c r="HF638" s="15">
        <f t="shared" si="560"/>
        <v>28.5</v>
      </c>
      <c r="HG638" s="15">
        <f>HF638*SQRT(AR328)</f>
        <v>49.363448015712997</v>
      </c>
      <c r="HH638" s="15">
        <v>910</v>
      </c>
      <c r="HI638" s="15">
        <f t="shared" si="561"/>
        <v>45.5</v>
      </c>
      <c r="HJ638" s="15">
        <f>HI638*SQRT(AR328)</f>
        <v>78.808311744383914</v>
      </c>
      <c r="HK638" s="15">
        <f t="shared" si="546"/>
        <v>1.5964912280701755</v>
      </c>
      <c r="HL638" s="15">
        <f t="shared" si="547"/>
        <v>340</v>
      </c>
      <c r="HM638" s="15">
        <f t="shared" si="548"/>
        <v>0.46780823868229948</v>
      </c>
      <c r="HN638" s="15">
        <f>((HJ638*HJ638)/(AR328*HH638*HH638)+(HG638*HG638)/(AR328*HE638*HE638))</f>
        <v>4.9999999999999992E-3</v>
      </c>
      <c r="HP638" s="15" t="s">
        <v>766</v>
      </c>
      <c r="HV638" s="15">
        <f t="shared" si="549"/>
        <v>17.489683817592326</v>
      </c>
      <c r="HW638" s="15">
        <f t="shared" si="563"/>
        <v>0.46780823868229948</v>
      </c>
      <c r="HX638" s="15">
        <f>BB638</f>
        <v>818.18181818181824</v>
      </c>
      <c r="HY638" s="15">
        <f>AZ638</f>
        <v>1363.6363636363637</v>
      </c>
      <c r="HZ638" s="15">
        <f>BA638</f>
        <v>0.46540490226497055</v>
      </c>
      <c r="IA638" s="15">
        <f>BB638</f>
        <v>818.18181818181824</v>
      </c>
    </row>
    <row r="639" spans="1:235" s="15" customFormat="1" x14ac:dyDescent="0.25">
      <c r="A639" s="31">
        <v>637</v>
      </c>
      <c r="B639" s="1">
        <v>95</v>
      </c>
      <c r="C639" s="1">
        <v>113</v>
      </c>
      <c r="D639" s="15" t="s">
        <v>1491</v>
      </c>
      <c r="E639" s="1">
        <v>1</v>
      </c>
      <c r="F639" s="15" t="s">
        <v>761</v>
      </c>
      <c r="G639" s="15" t="s">
        <v>1427</v>
      </c>
      <c r="H639" s="15" t="s">
        <v>1428</v>
      </c>
      <c r="I639" s="1">
        <v>2004</v>
      </c>
      <c r="J639" s="15" t="s">
        <v>1263</v>
      </c>
      <c r="K639" s="1" t="s">
        <v>1429</v>
      </c>
      <c r="L639" s="15" t="s">
        <v>1362</v>
      </c>
      <c r="M639" s="15" t="s">
        <v>480</v>
      </c>
      <c r="N639" s="15" t="s">
        <v>520</v>
      </c>
      <c r="O639" s="31">
        <v>2</v>
      </c>
      <c r="P639" s="15">
        <v>29.17</v>
      </c>
      <c r="Q639" s="15">
        <v>119.18</v>
      </c>
      <c r="S639" s="15">
        <v>1333</v>
      </c>
      <c r="T639" s="15">
        <v>17.100000000000001</v>
      </c>
      <c r="U639" s="15" t="s">
        <v>549</v>
      </c>
      <c r="V639" s="31">
        <v>1</v>
      </c>
      <c r="W639" s="15" t="s">
        <v>1430</v>
      </c>
      <c r="X639" s="15" t="s">
        <v>1195</v>
      </c>
      <c r="Y639" s="1">
        <v>5</v>
      </c>
      <c r="Z639" s="15">
        <v>4.8600000000000003</v>
      </c>
      <c r="AA639" s="15" t="s">
        <v>574</v>
      </c>
      <c r="AB639" s="15">
        <f t="shared" si="541"/>
        <v>4.8600000000000003</v>
      </c>
      <c r="AC639" s="1">
        <v>2</v>
      </c>
      <c r="AD639" s="15">
        <v>3.3</v>
      </c>
      <c r="AF639" s="15">
        <v>5.76</v>
      </c>
      <c r="AH639" s="15">
        <v>6</v>
      </c>
      <c r="AJ639" s="15">
        <v>44.2</v>
      </c>
      <c r="AM639" s="1">
        <v>1</v>
      </c>
      <c r="AP639" s="15" t="s">
        <v>1431</v>
      </c>
      <c r="AQ639" s="1">
        <v>1</v>
      </c>
      <c r="AR639" s="1">
        <v>3</v>
      </c>
      <c r="AT639" s="15" t="s">
        <v>576</v>
      </c>
      <c r="AW639" s="15">
        <f>AW555/12</f>
        <v>312.5</v>
      </c>
      <c r="AX639" s="15">
        <f t="shared" si="562"/>
        <v>312.5</v>
      </c>
      <c r="AY639" s="15" t="s">
        <v>766</v>
      </c>
      <c r="AZ639" s="15">
        <f t="shared" si="557"/>
        <v>312.5</v>
      </c>
      <c r="BA639" s="15">
        <f t="shared" si="558"/>
        <v>0.10665529010238907</v>
      </c>
      <c r="BB639" s="15">
        <f t="shared" si="559"/>
        <v>187.5</v>
      </c>
      <c r="FK639" s="16">
        <f t="shared" si="554"/>
        <v>5.01</v>
      </c>
      <c r="FL639" s="16">
        <f t="shared" si="555"/>
        <v>5.27</v>
      </c>
      <c r="FM639" s="15">
        <v>5.01</v>
      </c>
      <c r="FN639" s="15">
        <f t="shared" si="542"/>
        <v>0.2505</v>
      </c>
      <c r="FO639" s="15">
        <f>FN639*SQRT(AR639)</f>
        <v>0.43387872729600374</v>
      </c>
      <c r="FP639" s="15">
        <v>5.27</v>
      </c>
      <c r="FQ639" s="15">
        <f t="shared" si="551"/>
        <v>0.26350000000000001</v>
      </c>
      <c r="FR639" s="15">
        <f>FQ639*SQRT(AR639)</f>
        <v>0.45639538779439914</v>
      </c>
      <c r="FS639" s="15">
        <f t="shared" si="552"/>
        <v>1.0518962075848304</v>
      </c>
      <c r="FT639" s="15">
        <f t="shared" si="553"/>
        <v>0.25999999999999979</v>
      </c>
      <c r="FU639" s="15">
        <f t="shared" si="556"/>
        <v>5.0594447456497438E-2</v>
      </c>
      <c r="FV639" s="15">
        <f>((FR639*FR639)/(AR639*FP639*FP639)+(FO639*FO639)/(AR639*FM639*FM639))</f>
        <v>5.0000000000000001E-3</v>
      </c>
      <c r="HE639" s="15">
        <v>1860</v>
      </c>
      <c r="HF639" s="15">
        <f t="shared" si="560"/>
        <v>93</v>
      </c>
      <c r="HG639" s="15">
        <f>HF639*SQRT(AR329)</f>
        <v>161.08072510390559</v>
      </c>
      <c r="HH639" s="15">
        <v>1960</v>
      </c>
      <c r="HI639" s="15">
        <f t="shared" si="561"/>
        <v>98</v>
      </c>
      <c r="HJ639" s="15">
        <f>HI639*SQRT(AR329)</f>
        <v>169.74097914174996</v>
      </c>
      <c r="HK639" s="15">
        <f t="shared" si="546"/>
        <v>1.053763440860215</v>
      </c>
      <c r="HL639" s="15">
        <f t="shared" si="547"/>
        <v>100</v>
      </c>
      <c r="HM639" s="15">
        <f t="shared" si="548"/>
        <v>5.2367985517316029E-2</v>
      </c>
      <c r="HN639" s="15">
        <f>((HJ639*HJ639)/(AR329*HH639*HH639)+(HG639*HG639)/(AR329*HE639*HE639))</f>
        <v>4.9999999999999992E-3</v>
      </c>
      <c r="HP639" s="15" t="s">
        <v>766</v>
      </c>
      <c r="HV639" s="15">
        <f t="shared" si="549"/>
        <v>35.804317876233974</v>
      </c>
      <c r="HW639" s="15">
        <f t="shared" si="563"/>
        <v>5.2367985517316029E-2</v>
      </c>
      <c r="HX639" s="15">
        <f>BB639</f>
        <v>187.5</v>
      </c>
      <c r="HY639" s="15">
        <f>AZ639</f>
        <v>312.5</v>
      </c>
      <c r="HZ639" s="15">
        <f>BA639</f>
        <v>0.10665529010238907</v>
      </c>
      <c r="IA639" s="15">
        <f>BB639</f>
        <v>187.5</v>
      </c>
    </row>
    <row r="640" spans="1:235" s="15" customFormat="1" x14ac:dyDescent="0.25">
      <c r="A640" s="31">
        <v>638</v>
      </c>
      <c r="B640" s="1">
        <v>95</v>
      </c>
      <c r="C640" s="1">
        <v>113</v>
      </c>
      <c r="D640" s="15" t="s">
        <v>1492</v>
      </c>
      <c r="E640" s="1">
        <v>1</v>
      </c>
      <c r="F640" s="15" t="s">
        <v>761</v>
      </c>
      <c r="G640" s="15" t="s">
        <v>1427</v>
      </c>
      <c r="H640" s="15" t="s">
        <v>1428</v>
      </c>
      <c r="I640" s="1">
        <v>2004</v>
      </c>
      <c r="J640" s="15" t="s">
        <v>1263</v>
      </c>
      <c r="K640" s="1" t="s">
        <v>1429</v>
      </c>
      <c r="L640" s="15" t="s">
        <v>1362</v>
      </c>
      <c r="M640" s="15" t="s">
        <v>480</v>
      </c>
      <c r="N640" s="15" t="s">
        <v>520</v>
      </c>
      <c r="O640" s="31">
        <v>2</v>
      </c>
      <c r="P640" s="15">
        <v>29.17</v>
      </c>
      <c r="Q640" s="15">
        <v>119.18</v>
      </c>
      <c r="S640" s="15">
        <v>1333</v>
      </c>
      <c r="T640" s="15">
        <v>17.100000000000001</v>
      </c>
      <c r="U640" s="15" t="s">
        <v>549</v>
      </c>
      <c r="V640" s="31">
        <v>1</v>
      </c>
      <c r="W640" s="15" t="s">
        <v>1430</v>
      </c>
      <c r="X640" s="15" t="s">
        <v>1195</v>
      </c>
      <c r="Y640" s="1">
        <v>5</v>
      </c>
      <c r="Z640" s="15">
        <v>4.8600000000000003</v>
      </c>
      <c r="AA640" s="15" t="s">
        <v>574</v>
      </c>
      <c r="AB640" s="15">
        <f t="shared" si="541"/>
        <v>4.8600000000000003</v>
      </c>
      <c r="AC640" s="1">
        <v>2</v>
      </c>
      <c r="AD640" s="15">
        <v>3.3</v>
      </c>
      <c r="AF640" s="15">
        <v>5.76</v>
      </c>
      <c r="AH640" s="15">
        <v>6</v>
      </c>
      <c r="AJ640" s="15">
        <v>44.2</v>
      </c>
      <c r="AM640" s="1">
        <v>1</v>
      </c>
      <c r="AP640" s="15" t="s">
        <v>1431</v>
      </c>
      <c r="AQ640" s="1">
        <v>1</v>
      </c>
      <c r="AR640" s="1">
        <v>3</v>
      </c>
      <c r="AT640" s="15" t="s">
        <v>576</v>
      </c>
      <c r="AW640" s="15">
        <f>AW556/12</f>
        <v>625</v>
      </c>
      <c r="AX640" s="15">
        <f t="shared" si="562"/>
        <v>625</v>
      </c>
      <c r="AY640" s="15" t="s">
        <v>766</v>
      </c>
      <c r="AZ640" s="15">
        <f t="shared" si="557"/>
        <v>625</v>
      </c>
      <c r="BA640" s="15">
        <f t="shared" si="558"/>
        <v>0.21331058020477814</v>
      </c>
      <c r="BB640" s="15">
        <f t="shared" si="559"/>
        <v>375</v>
      </c>
      <c r="FK640" s="16">
        <f t="shared" si="554"/>
        <v>5.01</v>
      </c>
      <c r="FL640" s="16">
        <f t="shared" si="555"/>
        <v>5.47</v>
      </c>
      <c r="FM640" s="15">
        <v>5.01</v>
      </c>
      <c r="FN640" s="15">
        <f t="shared" si="542"/>
        <v>0.2505</v>
      </c>
      <c r="FO640" s="15">
        <f>FN640*SQRT(AR640)</f>
        <v>0.43387872729600374</v>
      </c>
      <c r="FP640" s="15">
        <v>5.47</v>
      </c>
      <c r="FQ640" s="15">
        <f t="shared" si="551"/>
        <v>0.27350000000000002</v>
      </c>
      <c r="FR640" s="15">
        <f>FQ640*SQRT(AR640)</f>
        <v>0.47371589587008794</v>
      </c>
      <c r="FS640" s="15">
        <f t="shared" si="552"/>
        <v>1.091816367265469</v>
      </c>
      <c r="FT640" s="15">
        <f t="shared" si="553"/>
        <v>0.45999999999999996</v>
      </c>
      <c r="FU640" s="15">
        <f t="shared" si="556"/>
        <v>8.7842701337116358E-2</v>
      </c>
      <c r="FV640" s="15">
        <f>((FR640*FR640)/(AR640*FP640*FP640)+(FO640*FO640)/(AR640*FM640*FM640))</f>
        <v>5.000000000000001E-3</v>
      </c>
      <c r="HE640" s="15">
        <v>1860</v>
      </c>
      <c r="HF640" s="15">
        <f t="shared" si="560"/>
        <v>93</v>
      </c>
      <c r="HG640" s="15">
        <f>HF640*SQRT(AR330)</f>
        <v>161.08072510390559</v>
      </c>
      <c r="HH640" s="15">
        <v>2060</v>
      </c>
      <c r="HI640" s="15">
        <f t="shared" si="561"/>
        <v>103</v>
      </c>
      <c r="HJ640" s="15">
        <f>HI640*SQRT(AR330)</f>
        <v>178.40123317959436</v>
      </c>
      <c r="HK640" s="15">
        <f t="shared" si="546"/>
        <v>1.10752688172043</v>
      </c>
      <c r="HL640" s="15">
        <f t="shared" si="547"/>
        <v>200</v>
      </c>
      <c r="HM640" s="15">
        <f t="shared" si="548"/>
        <v>0.10212949507638047</v>
      </c>
      <c r="HN640" s="15">
        <f>((HJ640*HJ640)/(AR330*HH640*HH640)+(HG640*HG640)/(AR330*HE640*HE640))</f>
        <v>5.0000000000000001E-3</v>
      </c>
      <c r="HP640" s="15" t="s">
        <v>766</v>
      </c>
      <c r="HV640" s="15">
        <f t="shared" si="549"/>
        <v>36.718090079613681</v>
      </c>
      <c r="HW640" s="15">
        <f t="shared" si="563"/>
        <v>0.10212949507638047</v>
      </c>
      <c r="HX640" s="15">
        <f>BB640</f>
        <v>375</v>
      </c>
      <c r="HY640" s="15">
        <f>AZ640</f>
        <v>625</v>
      </c>
      <c r="HZ640" s="15">
        <f>BA640</f>
        <v>0.21331058020477814</v>
      </c>
      <c r="IA640" s="15">
        <f>BB640</f>
        <v>375</v>
      </c>
    </row>
    <row r="641" spans="1:235" s="15" customFormat="1" x14ac:dyDescent="0.25">
      <c r="A641" s="31">
        <v>639</v>
      </c>
      <c r="B641" s="1">
        <v>95</v>
      </c>
      <c r="C641" s="1">
        <v>113</v>
      </c>
      <c r="D641" s="15" t="s">
        <v>1493</v>
      </c>
      <c r="E641" s="1">
        <v>1</v>
      </c>
      <c r="F641" s="15" t="s">
        <v>761</v>
      </c>
      <c r="G641" s="15" t="s">
        <v>1427</v>
      </c>
      <c r="H641" s="15" t="s">
        <v>1428</v>
      </c>
      <c r="I641" s="1">
        <v>2004</v>
      </c>
      <c r="J641" s="15" t="s">
        <v>1263</v>
      </c>
      <c r="K641" s="1" t="s">
        <v>1429</v>
      </c>
      <c r="L641" s="15" t="s">
        <v>1362</v>
      </c>
      <c r="M641" s="15" t="s">
        <v>480</v>
      </c>
      <c r="N641" s="15" t="s">
        <v>520</v>
      </c>
      <c r="O641" s="31">
        <v>2</v>
      </c>
      <c r="P641" s="15">
        <v>29.17</v>
      </c>
      <c r="Q641" s="15">
        <v>119.18</v>
      </c>
      <c r="S641" s="15">
        <v>1333</v>
      </c>
      <c r="T641" s="15">
        <v>17.100000000000001</v>
      </c>
      <c r="U641" s="15" t="s">
        <v>549</v>
      </c>
      <c r="V641" s="31">
        <v>1</v>
      </c>
      <c r="W641" s="15" t="s">
        <v>1430</v>
      </c>
      <c r="X641" s="15" t="s">
        <v>1195</v>
      </c>
      <c r="Y641" s="1">
        <v>5</v>
      </c>
      <c r="Z641" s="15">
        <v>4.8600000000000003</v>
      </c>
      <c r="AA641" s="15" t="s">
        <v>574</v>
      </c>
      <c r="AB641" s="15">
        <f t="shared" si="541"/>
        <v>4.8600000000000003</v>
      </c>
      <c r="AC641" s="1">
        <v>2</v>
      </c>
      <c r="AD641" s="15">
        <v>3.3</v>
      </c>
      <c r="AF641" s="15">
        <v>5.76</v>
      </c>
      <c r="AH641" s="15">
        <v>6</v>
      </c>
      <c r="AJ641" s="15">
        <v>44.2</v>
      </c>
      <c r="AM641" s="1">
        <v>1</v>
      </c>
      <c r="AP641" s="15" t="s">
        <v>1431</v>
      </c>
      <c r="AQ641" s="1">
        <v>1</v>
      </c>
      <c r="AR641" s="1">
        <v>3</v>
      </c>
      <c r="AT641" s="15" t="s">
        <v>576</v>
      </c>
      <c r="AW641" s="15">
        <f>AW557/12</f>
        <v>937.5</v>
      </c>
      <c r="AX641" s="15">
        <f t="shared" si="562"/>
        <v>937.5</v>
      </c>
      <c r="AY641" s="15" t="s">
        <v>766</v>
      </c>
      <c r="AZ641" s="15">
        <f t="shared" si="557"/>
        <v>937.5</v>
      </c>
      <c r="BA641" s="15">
        <f t="shared" si="558"/>
        <v>0.31996587030716722</v>
      </c>
      <c r="BB641" s="15">
        <f t="shared" si="559"/>
        <v>562.5</v>
      </c>
      <c r="FK641" s="16">
        <f t="shared" si="554"/>
        <v>5.01</v>
      </c>
      <c r="FL641" s="16">
        <f t="shared" si="555"/>
        <v>5.76</v>
      </c>
      <c r="FM641" s="15">
        <v>5.01</v>
      </c>
      <c r="FN641" s="15">
        <f t="shared" si="542"/>
        <v>0.2505</v>
      </c>
      <c r="FO641" s="15">
        <f>FN641*SQRT(AR641)</f>
        <v>0.43387872729600374</v>
      </c>
      <c r="FP641" s="15">
        <v>5.76</v>
      </c>
      <c r="FQ641" s="15">
        <f t="shared" si="551"/>
        <v>0.28799999999999998</v>
      </c>
      <c r="FR641" s="15">
        <f>FQ641*SQRT(AR641)</f>
        <v>0.49883063257983662</v>
      </c>
      <c r="FS641" s="15">
        <f t="shared" si="552"/>
        <v>1.1497005988023952</v>
      </c>
      <c r="FT641" s="15">
        <f t="shared" si="553"/>
        <v>0.75</v>
      </c>
      <c r="FU641" s="15">
        <f t="shared" si="556"/>
        <v>0.1395015596110265</v>
      </c>
      <c r="FV641" s="15">
        <f>((FR641*FR641)/(AR641*FP641*FP641)+(FO641*FO641)/(AR641*FM641*FM641))</f>
        <v>4.9999999999999992E-3</v>
      </c>
      <c r="HE641" s="15">
        <v>1860</v>
      </c>
      <c r="HF641" s="15">
        <f t="shared" si="560"/>
        <v>93</v>
      </c>
      <c r="HG641" s="15">
        <f>HF641*SQRT(AR331)</f>
        <v>186</v>
      </c>
      <c r="HH641" s="15">
        <v>2030</v>
      </c>
      <c r="HI641" s="15">
        <f t="shared" si="561"/>
        <v>101.5</v>
      </c>
      <c r="HJ641" s="15">
        <f>HI641*SQRT(AR331)</f>
        <v>203</v>
      </c>
      <c r="HK641" s="15">
        <f t="shared" si="546"/>
        <v>1.0913978494623655</v>
      </c>
      <c r="HL641" s="15">
        <f t="shared" si="547"/>
        <v>170</v>
      </c>
      <c r="HM641" s="15">
        <f t="shared" si="548"/>
        <v>8.7459305328586368E-2</v>
      </c>
      <c r="HN641" s="15">
        <f>((HJ641*HJ641)/(AR331*HH641*HH641)+(HG641*HG641)/(AR331*HE641*HE641))</f>
        <v>5.0000000000000001E-3</v>
      </c>
      <c r="HP641" s="15" t="s">
        <v>766</v>
      </c>
      <c r="HV641" s="15">
        <f t="shared" si="549"/>
        <v>64.315626323199822</v>
      </c>
      <c r="HW641" s="15">
        <f t="shared" si="563"/>
        <v>8.7459305328586368E-2</v>
      </c>
      <c r="HX641" s="15">
        <f>BB641</f>
        <v>562.5</v>
      </c>
      <c r="HY641" s="15">
        <f>AZ641</f>
        <v>937.5</v>
      </c>
      <c r="HZ641" s="15">
        <f>BA641</f>
        <v>0.31996587030716722</v>
      </c>
      <c r="IA641" s="15">
        <f>BB641</f>
        <v>562.5</v>
      </c>
    </row>
    <row r="642" spans="1:235" s="15" customFormat="1" x14ac:dyDescent="0.25">
      <c r="A642" s="31">
        <v>640</v>
      </c>
      <c r="B642" s="1">
        <v>95</v>
      </c>
      <c r="C642" s="1">
        <v>113</v>
      </c>
      <c r="D642" s="15" t="s">
        <v>1494</v>
      </c>
      <c r="E642" s="1">
        <v>1</v>
      </c>
      <c r="F642" s="15" t="s">
        <v>761</v>
      </c>
      <c r="G642" s="15" t="s">
        <v>1427</v>
      </c>
      <c r="H642" s="15" t="s">
        <v>1428</v>
      </c>
      <c r="I642" s="1">
        <v>2004</v>
      </c>
      <c r="J642" s="15" t="s">
        <v>1263</v>
      </c>
      <c r="K642" s="1" t="s">
        <v>1429</v>
      </c>
      <c r="L642" s="15" t="s">
        <v>1362</v>
      </c>
      <c r="M642" s="15" t="s">
        <v>480</v>
      </c>
      <c r="N642" s="15" t="s">
        <v>520</v>
      </c>
      <c r="O642" s="31">
        <v>2</v>
      </c>
      <c r="P642" s="15">
        <v>29.17</v>
      </c>
      <c r="Q642" s="15">
        <v>119.18</v>
      </c>
      <c r="S642" s="15">
        <v>1333</v>
      </c>
      <c r="T642" s="15">
        <v>17.100000000000001</v>
      </c>
      <c r="U642" s="15" t="s">
        <v>549</v>
      </c>
      <c r="V642" s="31">
        <v>1</v>
      </c>
      <c r="W642" s="15" t="s">
        <v>1430</v>
      </c>
      <c r="X642" s="15" t="s">
        <v>1195</v>
      </c>
      <c r="Y642" s="1">
        <v>5</v>
      </c>
      <c r="Z642" s="15">
        <v>4.8600000000000003</v>
      </c>
      <c r="AA642" s="15" t="s">
        <v>574</v>
      </c>
      <c r="AB642" s="15">
        <f t="shared" si="541"/>
        <v>4.8600000000000003</v>
      </c>
      <c r="AC642" s="1">
        <v>2</v>
      </c>
      <c r="AD642" s="15">
        <v>3.3</v>
      </c>
      <c r="AF642" s="15">
        <v>5.76</v>
      </c>
      <c r="AH642" s="15">
        <v>6</v>
      </c>
      <c r="AJ642" s="15">
        <v>44.2</v>
      </c>
      <c r="AM642" s="1">
        <v>1</v>
      </c>
      <c r="AP642" s="15" t="s">
        <v>1431</v>
      </c>
      <c r="AQ642" s="1">
        <v>1</v>
      </c>
      <c r="AR642" s="1">
        <v>3</v>
      </c>
      <c r="AT642" s="15" t="s">
        <v>576</v>
      </c>
      <c r="AW642" s="15">
        <f>AW558/12</f>
        <v>1250</v>
      </c>
      <c r="AX642" s="15">
        <f t="shared" si="562"/>
        <v>1250</v>
      </c>
      <c r="AY642" s="15" t="s">
        <v>766</v>
      </c>
      <c r="AZ642" s="15">
        <f t="shared" si="557"/>
        <v>1250</v>
      </c>
      <c r="BA642" s="15">
        <f t="shared" si="558"/>
        <v>0.42662116040955628</v>
      </c>
      <c r="BB642" s="15">
        <f t="shared" si="559"/>
        <v>750</v>
      </c>
      <c r="FK642" s="16">
        <f t="shared" si="554"/>
        <v>5.01</v>
      </c>
      <c r="FL642" s="16">
        <f t="shared" si="555"/>
        <v>6.04</v>
      </c>
      <c r="FM642" s="15">
        <v>5.01</v>
      </c>
      <c r="FN642" s="15">
        <f t="shared" si="542"/>
        <v>0.2505</v>
      </c>
      <c r="FO642" s="15">
        <f>FN642*SQRT(AR642)</f>
        <v>0.43387872729600374</v>
      </c>
      <c r="FP642" s="15">
        <v>6.04</v>
      </c>
      <c r="FQ642" s="15">
        <f t="shared" si="551"/>
        <v>0.30200000000000005</v>
      </c>
      <c r="FR642" s="15">
        <f>FQ642*SQRT(AR642)</f>
        <v>0.52307934388580102</v>
      </c>
      <c r="FS642" s="15">
        <f t="shared" si="552"/>
        <v>1.2055888223552895</v>
      </c>
      <c r="FT642" s="15">
        <f t="shared" si="553"/>
        <v>1.0300000000000002</v>
      </c>
      <c r="FU642" s="15">
        <f t="shared" si="556"/>
        <v>0.18696809684995008</v>
      </c>
      <c r="FV642" s="15">
        <f>((FR642*FR642)/(AR642*FP642*FP642)+(FO642*FO642)/(AR642*FM642*FM642))</f>
        <v>5.000000000000001E-3</v>
      </c>
      <c r="HE642" s="15">
        <v>1860</v>
      </c>
      <c r="HF642" s="15">
        <f t="shared" si="560"/>
        <v>93</v>
      </c>
      <c r="HG642" s="15">
        <f>HF642*SQRT(AR332)</f>
        <v>161.08072510390559</v>
      </c>
      <c r="HH642" s="15">
        <v>2370</v>
      </c>
      <c r="HI642" s="15">
        <f t="shared" si="561"/>
        <v>118.5</v>
      </c>
      <c r="HJ642" s="15">
        <f>HI642*SQRT(AR332)</f>
        <v>205.24802069691194</v>
      </c>
      <c r="HK642" s="15">
        <f t="shared" si="546"/>
        <v>1.2741935483870968</v>
      </c>
      <c r="HL642" s="15">
        <f t="shared" si="547"/>
        <v>510</v>
      </c>
      <c r="HM642" s="15">
        <f t="shared" si="548"/>
        <v>0.24231346742192983</v>
      </c>
      <c r="HN642" s="15">
        <f>((HJ642*HJ642)/(AR332*HH642*HH642)+(HG642*HG642)/(AR332*HE642*HE642))</f>
        <v>4.9999999999999992E-3</v>
      </c>
      <c r="HP642" s="15" t="s">
        <v>766</v>
      </c>
      <c r="HV642" s="15">
        <f t="shared" si="549"/>
        <v>30.951643256957645</v>
      </c>
      <c r="HW642" s="15">
        <f t="shared" si="563"/>
        <v>0.24231346742192983</v>
      </c>
      <c r="HX642" s="15">
        <f>BB642</f>
        <v>750</v>
      </c>
      <c r="HY642" s="15">
        <f>AZ642</f>
        <v>1250</v>
      </c>
      <c r="HZ642" s="15">
        <f>BA642</f>
        <v>0.42662116040955628</v>
      </c>
      <c r="IA642" s="15">
        <f>BB642</f>
        <v>750</v>
      </c>
    </row>
    <row r="643" spans="1:235" s="15" customFormat="1" x14ac:dyDescent="0.25">
      <c r="A643" s="31">
        <v>641</v>
      </c>
      <c r="B643" s="1">
        <v>95</v>
      </c>
      <c r="C643" s="1">
        <v>113</v>
      </c>
      <c r="D643" s="15" t="s">
        <v>1495</v>
      </c>
      <c r="E643" s="1">
        <v>1</v>
      </c>
      <c r="F643" s="15" t="s">
        <v>761</v>
      </c>
      <c r="G643" s="15" t="s">
        <v>1427</v>
      </c>
      <c r="H643" s="15" t="s">
        <v>1428</v>
      </c>
      <c r="I643" s="1">
        <v>2004</v>
      </c>
      <c r="J643" s="15" t="s">
        <v>1263</v>
      </c>
      <c r="K643" s="1" t="s">
        <v>1429</v>
      </c>
      <c r="L643" s="15" t="s">
        <v>1362</v>
      </c>
      <c r="M643" s="15" t="s">
        <v>480</v>
      </c>
      <c r="N643" s="15" t="s">
        <v>520</v>
      </c>
      <c r="O643" s="31">
        <v>2</v>
      </c>
      <c r="P643" s="15">
        <v>29.17</v>
      </c>
      <c r="Q643" s="15">
        <v>119.18</v>
      </c>
      <c r="S643" s="15">
        <v>1333</v>
      </c>
      <c r="T643" s="15">
        <v>17.100000000000001</v>
      </c>
      <c r="U643" s="15" t="s">
        <v>549</v>
      </c>
      <c r="V643" s="31">
        <v>1</v>
      </c>
      <c r="W643" s="15" t="s">
        <v>1430</v>
      </c>
      <c r="X643" s="15" t="s">
        <v>1147</v>
      </c>
      <c r="Y643" s="1">
        <v>5</v>
      </c>
      <c r="Z643" s="15">
        <v>4.8600000000000003</v>
      </c>
      <c r="AA643" s="15" t="s">
        <v>574</v>
      </c>
      <c r="AB643" s="15">
        <f t="shared" ref="AB643:AB706" si="564">Z643</f>
        <v>4.8600000000000003</v>
      </c>
      <c r="AC643" s="1">
        <v>2</v>
      </c>
      <c r="AD643" s="15">
        <v>3.3</v>
      </c>
      <c r="AF643" s="15">
        <v>5.76</v>
      </c>
      <c r="AH643" s="15">
        <v>6</v>
      </c>
      <c r="AJ643" s="15">
        <v>44.2</v>
      </c>
      <c r="AM643" s="1">
        <v>1</v>
      </c>
      <c r="AP643" s="15" t="s">
        <v>1431</v>
      </c>
      <c r="AQ643" s="1">
        <v>1</v>
      </c>
      <c r="AR643" s="1">
        <v>3</v>
      </c>
      <c r="AT643" s="15" t="s">
        <v>576</v>
      </c>
      <c r="AW643" s="15">
        <v>312.5</v>
      </c>
      <c r="AX643" s="15">
        <f t="shared" si="562"/>
        <v>312.5</v>
      </c>
      <c r="AY643" s="15" t="s">
        <v>766</v>
      </c>
      <c r="AZ643" s="15">
        <f t="shared" si="557"/>
        <v>312.5</v>
      </c>
      <c r="BA643" s="15">
        <f t="shared" si="558"/>
        <v>0.10665529010238907</v>
      </c>
      <c r="BB643" s="15">
        <f t="shared" si="559"/>
        <v>187.5</v>
      </c>
      <c r="FK643" s="16">
        <f t="shared" si="554"/>
        <v>5.01</v>
      </c>
      <c r="FL643" s="16">
        <f t="shared" si="555"/>
        <v>5.27</v>
      </c>
      <c r="FM643" s="15">
        <v>5.01</v>
      </c>
      <c r="FN643" s="15">
        <f t="shared" si="542"/>
        <v>0.2505</v>
      </c>
      <c r="FO643" s="15">
        <f>FN643*SQRT(AR643)</f>
        <v>0.43387872729600374</v>
      </c>
      <c r="FP643" s="15">
        <v>5.27</v>
      </c>
      <c r="FQ643" s="15">
        <f t="shared" si="551"/>
        <v>0.26350000000000001</v>
      </c>
      <c r="FR643" s="15">
        <f>FQ643*SQRT(AR643)</f>
        <v>0.45639538779439914</v>
      </c>
      <c r="FS643" s="15">
        <f t="shared" si="552"/>
        <v>1.0518962075848304</v>
      </c>
      <c r="FT643" s="15">
        <f t="shared" si="553"/>
        <v>0.25999999999999979</v>
      </c>
      <c r="FU643" s="15">
        <f t="shared" si="556"/>
        <v>5.0594447456497438E-2</v>
      </c>
      <c r="FV643" s="15">
        <f>((FR643*FR643)/(AR643*FP643*FP643)+(FO643*FO643)/(AR643*FM643*FM643))</f>
        <v>5.0000000000000001E-3</v>
      </c>
      <c r="HE643" s="15">
        <v>960</v>
      </c>
      <c r="HF643" s="15">
        <f t="shared" si="560"/>
        <v>48</v>
      </c>
      <c r="HG643" s="15">
        <f>HF643*SQRT(AR333)</f>
        <v>83.138438763306112</v>
      </c>
      <c r="HH643" s="15">
        <v>1040</v>
      </c>
      <c r="HI643" s="15">
        <f t="shared" si="561"/>
        <v>52</v>
      </c>
      <c r="HJ643" s="15">
        <f>HI643*SQRT(AR333)</f>
        <v>90.066641993581612</v>
      </c>
      <c r="HK643" s="15">
        <f t="shared" si="546"/>
        <v>1.0833333333333333</v>
      </c>
      <c r="HL643" s="15">
        <f t="shared" si="547"/>
        <v>80</v>
      </c>
      <c r="HM643" s="15">
        <f t="shared" si="548"/>
        <v>8.0042707673536384E-2</v>
      </c>
      <c r="HN643" s="15">
        <f>((HJ643*HJ643)/(AR333*HH643*HH643)+(HG643*HG643)/(AR333*HE643*HE643))</f>
        <v>4.9999999999999992E-3</v>
      </c>
      <c r="HP643" s="15" t="s">
        <v>766</v>
      </c>
      <c r="HV643" s="15">
        <f t="shared" si="549"/>
        <v>23.424994662192194</v>
      </c>
      <c r="HW643" s="15">
        <f t="shared" si="563"/>
        <v>8.0042707673536384E-2</v>
      </c>
      <c r="HX643" s="15">
        <f>BB643</f>
        <v>187.5</v>
      </c>
      <c r="HY643" s="15">
        <f>AZ643</f>
        <v>312.5</v>
      </c>
      <c r="HZ643" s="15">
        <f>BA643</f>
        <v>0.10665529010238907</v>
      </c>
      <c r="IA643" s="15">
        <f>BB643</f>
        <v>187.5</v>
      </c>
    </row>
    <row r="644" spans="1:235" s="15" customFormat="1" x14ac:dyDescent="0.25">
      <c r="A644" s="31">
        <v>642</v>
      </c>
      <c r="B644" s="1">
        <v>95</v>
      </c>
      <c r="C644" s="1">
        <v>113</v>
      </c>
      <c r="D644" s="15" t="s">
        <v>1496</v>
      </c>
      <c r="E644" s="1">
        <v>1</v>
      </c>
      <c r="F644" s="15" t="s">
        <v>761</v>
      </c>
      <c r="G644" s="15" t="s">
        <v>1427</v>
      </c>
      <c r="H644" s="15" t="s">
        <v>1428</v>
      </c>
      <c r="I644" s="1">
        <v>2004</v>
      </c>
      <c r="J644" s="15" t="s">
        <v>1263</v>
      </c>
      <c r="K644" s="1" t="s">
        <v>1429</v>
      </c>
      <c r="L644" s="15" t="s">
        <v>1362</v>
      </c>
      <c r="M644" s="15" t="s">
        <v>480</v>
      </c>
      <c r="N644" s="15" t="s">
        <v>520</v>
      </c>
      <c r="O644" s="31">
        <v>2</v>
      </c>
      <c r="P644" s="15">
        <v>29.17</v>
      </c>
      <c r="Q644" s="15">
        <v>119.18</v>
      </c>
      <c r="S644" s="15">
        <v>1333</v>
      </c>
      <c r="T644" s="15">
        <v>17.100000000000001</v>
      </c>
      <c r="U644" s="15" t="s">
        <v>549</v>
      </c>
      <c r="V644" s="31">
        <v>1</v>
      </c>
      <c r="W644" s="15" t="s">
        <v>1430</v>
      </c>
      <c r="X644" s="15" t="s">
        <v>1147</v>
      </c>
      <c r="Y644" s="1">
        <v>5</v>
      </c>
      <c r="Z644" s="15">
        <v>4.8600000000000003</v>
      </c>
      <c r="AA644" s="15" t="s">
        <v>574</v>
      </c>
      <c r="AB644" s="15">
        <f t="shared" si="564"/>
        <v>4.8600000000000003</v>
      </c>
      <c r="AC644" s="1">
        <v>2</v>
      </c>
      <c r="AD644" s="15">
        <v>3.3</v>
      </c>
      <c r="AF644" s="15">
        <v>5.76</v>
      </c>
      <c r="AH644" s="15">
        <v>6</v>
      </c>
      <c r="AJ644" s="15">
        <v>44.2</v>
      </c>
      <c r="AM644" s="1">
        <v>1</v>
      </c>
      <c r="AP644" s="15" t="s">
        <v>1431</v>
      </c>
      <c r="AQ644" s="1">
        <v>1</v>
      </c>
      <c r="AR644" s="1">
        <v>3</v>
      </c>
      <c r="AT644" s="15" t="s">
        <v>576</v>
      </c>
      <c r="AW644" s="15">
        <v>625</v>
      </c>
      <c r="AX644" s="15">
        <f t="shared" si="562"/>
        <v>625</v>
      </c>
      <c r="AY644" s="15" t="s">
        <v>766</v>
      </c>
      <c r="AZ644" s="15">
        <f t="shared" si="557"/>
        <v>625</v>
      </c>
      <c r="BA644" s="15">
        <f t="shared" si="558"/>
        <v>0.21331058020477814</v>
      </c>
      <c r="BB644" s="15">
        <f t="shared" si="559"/>
        <v>375</v>
      </c>
      <c r="FK644" s="16">
        <f t="shared" si="554"/>
        <v>5.01</v>
      </c>
      <c r="FL644" s="16">
        <f t="shared" si="555"/>
        <v>5.47</v>
      </c>
      <c r="FM644" s="15">
        <v>5.01</v>
      </c>
      <c r="FN644" s="15">
        <f t="shared" si="542"/>
        <v>0.2505</v>
      </c>
      <c r="FO644" s="15">
        <f>FN644*SQRT(AR644)</f>
        <v>0.43387872729600374</v>
      </c>
      <c r="FP644" s="15">
        <v>5.47</v>
      </c>
      <c r="FQ644" s="15">
        <f t="shared" si="551"/>
        <v>0.27350000000000002</v>
      </c>
      <c r="FR644" s="15">
        <f>FQ644*SQRT(AR644)</f>
        <v>0.47371589587008794</v>
      </c>
      <c r="FS644" s="15">
        <f t="shared" si="552"/>
        <v>1.091816367265469</v>
      </c>
      <c r="FT644" s="15">
        <f t="shared" si="553"/>
        <v>0.45999999999999996</v>
      </c>
      <c r="FU644" s="15">
        <f t="shared" si="556"/>
        <v>8.7842701337116358E-2</v>
      </c>
      <c r="FV644" s="15">
        <f>((FR644*FR644)/(AR644*FP644*FP644)+(FO644*FO644)/(AR644*FM644*FM644))</f>
        <v>5.000000000000001E-3</v>
      </c>
      <c r="HE644" s="15">
        <v>960</v>
      </c>
      <c r="HF644" s="15">
        <f t="shared" si="560"/>
        <v>48</v>
      </c>
      <c r="HG644" s="15">
        <f>HF644*SQRT(AR334)</f>
        <v>83.138438763306112</v>
      </c>
      <c r="HH644" s="15">
        <v>1170</v>
      </c>
      <c r="HI644" s="15">
        <f t="shared" si="561"/>
        <v>58.5</v>
      </c>
      <c r="HJ644" s="15">
        <f>HI644*SQRT(AR334)</f>
        <v>101.32497224277931</v>
      </c>
      <c r="HK644" s="15">
        <f t="shared" si="546"/>
        <v>1.21875</v>
      </c>
      <c r="HL644" s="15">
        <f t="shared" si="547"/>
        <v>210</v>
      </c>
      <c r="HM644" s="15">
        <f t="shared" si="548"/>
        <v>0.1978257433299202</v>
      </c>
      <c r="HN644" s="15">
        <f>((HJ644*HJ644)/(AR334*HH644*HH644)+(HG644*HG644)/(AR334*HE644*HE644))</f>
        <v>4.9999999999999992E-3</v>
      </c>
      <c r="HP644" s="15" t="s">
        <v>766</v>
      </c>
      <c r="HV644" s="15">
        <f t="shared" si="549"/>
        <v>18.956076883007121</v>
      </c>
      <c r="HW644" s="15">
        <f t="shared" si="563"/>
        <v>0.1978257433299202</v>
      </c>
      <c r="HX644" s="15">
        <f>BB644</f>
        <v>375</v>
      </c>
      <c r="HY644" s="15">
        <f>AZ644</f>
        <v>625</v>
      </c>
      <c r="HZ644" s="15">
        <f>BA644</f>
        <v>0.21331058020477814</v>
      </c>
      <c r="IA644" s="15">
        <f>BB644</f>
        <v>375</v>
      </c>
    </row>
    <row r="645" spans="1:235" s="15" customFormat="1" x14ac:dyDescent="0.25">
      <c r="A645" s="31">
        <v>643</v>
      </c>
      <c r="B645" s="1">
        <v>95</v>
      </c>
      <c r="C645" s="1">
        <v>113</v>
      </c>
      <c r="D645" s="15" t="s">
        <v>1497</v>
      </c>
      <c r="E645" s="1">
        <v>1</v>
      </c>
      <c r="F645" s="15" t="s">
        <v>761</v>
      </c>
      <c r="G645" s="15" t="s">
        <v>1427</v>
      </c>
      <c r="H645" s="15" t="s">
        <v>1428</v>
      </c>
      <c r="I645" s="1">
        <v>2004</v>
      </c>
      <c r="J645" s="15" t="s">
        <v>1263</v>
      </c>
      <c r="K645" s="1" t="s">
        <v>1429</v>
      </c>
      <c r="L645" s="15" t="s">
        <v>1362</v>
      </c>
      <c r="M645" s="15" t="s">
        <v>480</v>
      </c>
      <c r="N645" s="15" t="s">
        <v>520</v>
      </c>
      <c r="O645" s="31">
        <v>2</v>
      </c>
      <c r="P645" s="15">
        <v>29.17</v>
      </c>
      <c r="Q645" s="15">
        <v>119.18</v>
      </c>
      <c r="S645" s="15">
        <v>1333</v>
      </c>
      <c r="T645" s="15">
        <v>17.100000000000001</v>
      </c>
      <c r="U645" s="15" t="s">
        <v>549</v>
      </c>
      <c r="V645" s="31">
        <v>1</v>
      </c>
      <c r="W645" s="15" t="s">
        <v>1430</v>
      </c>
      <c r="X645" s="15" t="s">
        <v>1147</v>
      </c>
      <c r="Y645" s="1">
        <v>5</v>
      </c>
      <c r="Z645" s="15">
        <v>4.8600000000000003</v>
      </c>
      <c r="AA645" s="15" t="s">
        <v>574</v>
      </c>
      <c r="AB645" s="15">
        <f t="shared" si="564"/>
        <v>4.8600000000000003</v>
      </c>
      <c r="AC645" s="1">
        <v>2</v>
      </c>
      <c r="AD645" s="15">
        <v>3.3</v>
      </c>
      <c r="AF645" s="15">
        <v>5.76</v>
      </c>
      <c r="AH645" s="15">
        <v>6</v>
      </c>
      <c r="AJ645" s="15">
        <v>44.2</v>
      </c>
      <c r="AM645" s="1">
        <v>1</v>
      </c>
      <c r="AP645" s="15" t="s">
        <v>1431</v>
      </c>
      <c r="AQ645" s="1">
        <v>1</v>
      </c>
      <c r="AR645" s="1">
        <v>3</v>
      </c>
      <c r="AT645" s="15" t="s">
        <v>576</v>
      </c>
      <c r="AW645" s="15">
        <v>937.5</v>
      </c>
      <c r="AX645" s="15">
        <f t="shared" si="562"/>
        <v>937.5</v>
      </c>
      <c r="AY645" s="15" t="s">
        <v>766</v>
      </c>
      <c r="AZ645" s="15">
        <f t="shared" si="557"/>
        <v>937.5</v>
      </c>
      <c r="BA645" s="15">
        <f t="shared" si="558"/>
        <v>0.31996587030716722</v>
      </c>
      <c r="BB645" s="15">
        <f t="shared" si="559"/>
        <v>562.5</v>
      </c>
      <c r="FK645" s="16">
        <f t="shared" si="554"/>
        <v>5.01</v>
      </c>
      <c r="FL645" s="16">
        <f t="shared" si="555"/>
        <v>5.76</v>
      </c>
      <c r="FM645" s="15">
        <v>5.01</v>
      </c>
      <c r="FN645" s="15">
        <f t="shared" si="542"/>
        <v>0.2505</v>
      </c>
      <c r="FO645" s="15">
        <f>FN645*SQRT(AR645)</f>
        <v>0.43387872729600374</v>
      </c>
      <c r="FP645" s="15">
        <v>5.76</v>
      </c>
      <c r="FQ645" s="15">
        <f t="shared" si="551"/>
        <v>0.28799999999999998</v>
      </c>
      <c r="FR645" s="15">
        <f>FQ645*SQRT(AR645)</f>
        <v>0.49883063257983662</v>
      </c>
      <c r="FS645" s="15">
        <f t="shared" si="552"/>
        <v>1.1497005988023952</v>
      </c>
      <c r="FT645" s="15">
        <f t="shared" si="553"/>
        <v>0.75</v>
      </c>
      <c r="FU645" s="15">
        <f t="shared" si="556"/>
        <v>0.1395015596110265</v>
      </c>
      <c r="FV645" s="15">
        <f>((FR645*FR645)/(AR645*FP645*FP645)+(FO645*FO645)/(AR645*FM645*FM645))</f>
        <v>4.9999999999999992E-3</v>
      </c>
      <c r="HE645" s="15">
        <v>960</v>
      </c>
      <c r="HF645" s="15">
        <f t="shared" si="560"/>
        <v>48</v>
      </c>
      <c r="HG645" s="15">
        <f>HF645*SQRT(AR335)</f>
        <v>83.138438763306112</v>
      </c>
      <c r="HH645" s="15">
        <v>1110</v>
      </c>
      <c r="HI645" s="15">
        <f t="shared" si="561"/>
        <v>55.5</v>
      </c>
      <c r="HJ645" s="15">
        <f>HI645*SQRT(AR335)</f>
        <v>96.128819820072678</v>
      </c>
      <c r="HK645" s="15">
        <f t="shared" si="546"/>
        <v>1.15625</v>
      </c>
      <c r="HL645" s="15">
        <f t="shared" si="547"/>
        <v>150</v>
      </c>
      <c r="HM645" s="15">
        <f t="shared" si="548"/>
        <v>0.14518200984449781</v>
      </c>
      <c r="HN645" s="15">
        <f>((HJ645*HJ645)/(AR335*HH645*HH645)+(HG645*HG645)/(AR335*HE645*HE645))</f>
        <v>4.9999999999999992E-3</v>
      </c>
      <c r="HP645" s="15" t="s">
        <v>766</v>
      </c>
      <c r="HV645" s="15">
        <f t="shared" si="549"/>
        <v>38.744469828078905</v>
      </c>
      <c r="HW645" s="15">
        <f t="shared" si="563"/>
        <v>0.14518200984449781</v>
      </c>
      <c r="HX645" s="15">
        <f>BB645</f>
        <v>562.5</v>
      </c>
      <c r="HY645" s="15">
        <f>AZ645</f>
        <v>937.5</v>
      </c>
      <c r="HZ645" s="15">
        <f>BA645</f>
        <v>0.31996587030716722</v>
      </c>
      <c r="IA645" s="15">
        <f>BB645</f>
        <v>562.5</v>
      </c>
    </row>
    <row r="646" spans="1:235" s="15" customFormat="1" x14ac:dyDescent="0.25">
      <c r="A646" s="31">
        <v>644</v>
      </c>
      <c r="B646" s="1">
        <v>95</v>
      </c>
      <c r="C646" s="1">
        <v>113</v>
      </c>
      <c r="D646" s="15" t="s">
        <v>1498</v>
      </c>
      <c r="E646" s="1">
        <v>1</v>
      </c>
      <c r="F646" s="15" t="s">
        <v>761</v>
      </c>
      <c r="G646" s="15" t="s">
        <v>1427</v>
      </c>
      <c r="H646" s="15" t="s">
        <v>1428</v>
      </c>
      <c r="I646" s="1">
        <v>2004</v>
      </c>
      <c r="J646" s="15" t="s">
        <v>1263</v>
      </c>
      <c r="K646" s="1" t="s">
        <v>1429</v>
      </c>
      <c r="L646" s="15" t="s">
        <v>1362</v>
      </c>
      <c r="M646" s="15" t="s">
        <v>480</v>
      </c>
      <c r="N646" s="15" t="s">
        <v>520</v>
      </c>
      <c r="O646" s="31">
        <v>2</v>
      </c>
      <c r="P646" s="15">
        <v>29.17</v>
      </c>
      <c r="Q646" s="15">
        <v>119.18</v>
      </c>
      <c r="S646" s="15">
        <v>1333</v>
      </c>
      <c r="T646" s="15">
        <v>17.100000000000001</v>
      </c>
      <c r="U646" s="15" t="s">
        <v>549</v>
      </c>
      <c r="V646" s="31">
        <v>1</v>
      </c>
      <c r="W646" s="15" t="s">
        <v>1430</v>
      </c>
      <c r="X646" s="15" t="s">
        <v>1147</v>
      </c>
      <c r="Y646" s="1">
        <v>5</v>
      </c>
      <c r="Z646" s="15">
        <v>4.8600000000000003</v>
      </c>
      <c r="AA646" s="15" t="s">
        <v>574</v>
      </c>
      <c r="AB646" s="15">
        <f t="shared" si="564"/>
        <v>4.8600000000000003</v>
      </c>
      <c r="AC646" s="1">
        <v>2</v>
      </c>
      <c r="AD646" s="15">
        <v>3.3</v>
      </c>
      <c r="AF646" s="15">
        <v>5.76</v>
      </c>
      <c r="AH646" s="15">
        <v>6</v>
      </c>
      <c r="AJ646" s="15">
        <v>44.2</v>
      </c>
      <c r="AM646" s="1">
        <v>1</v>
      </c>
      <c r="AP646" s="15" t="s">
        <v>1431</v>
      </c>
      <c r="AQ646" s="1">
        <v>1</v>
      </c>
      <c r="AR646" s="1">
        <v>3</v>
      </c>
      <c r="AT646" s="15" t="s">
        <v>576</v>
      </c>
      <c r="AW646" s="15">
        <v>1250</v>
      </c>
      <c r="AX646" s="15">
        <f t="shared" si="562"/>
        <v>1250</v>
      </c>
      <c r="AY646" s="15" t="s">
        <v>766</v>
      </c>
      <c r="AZ646" s="15">
        <f t="shared" si="557"/>
        <v>1250</v>
      </c>
      <c r="BA646" s="15">
        <f t="shared" si="558"/>
        <v>0.42662116040955628</v>
      </c>
      <c r="BB646" s="15">
        <f t="shared" si="559"/>
        <v>750</v>
      </c>
      <c r="FK646" s="16">
        <f t="shared" si="554"/>
        <v>5.01</v>
      </c>
      <c r="FL646" s="16">
        <f t="shared" si="555"/>
        <v>6.04</v>
      </c>
      <c r="FM646" s="15">
        <v>5.01</v>
      </c>
      <c r="FN646" s="15">
        <f t="shared" si="542"/>
        <v>0.2505</v>
      </c>
      <c r="FO646" s="15">
        <f>FN646*SQRT(AR646)</f>
        <v>0.43387872729600374</v>
      </c>
      <c r="FP646" s="15">
        <v>6.04</v>
      </c>
      <c r="FQ646" s="15">
        <f t="shared" si="551"/>
        <v>0.30200000000000005</v>
      </c>
      <c r="FR646" s="15">
        <f>FQ646*SQRT(AR646)</f>
        <v>0.52307934388580102</v>
      </c>
      <c r="FS646" s="15">
        <f t="shared" si="552"/>
        <v>1.2055888223552895</v>
      </c>
      <c r="FT646" s="15">
        <f t="shared" si="553"/>
        <v>1.0300000000000002</v>
      </c>
      <c r="FU646" s="15">
        <f t="shared" si="556"/>
        <v>0.18696809684995008</v>
      </c>
      <c r="FV646" s="15">
        <f>((FR646*FR646)/(AR646*FP646*FP646)+(FO646*FO646)/(AR646*FM646*FM646))</f>
        <v>5.000000000000001E-3</v>
      </c>
      <c r="HE646" s="15">
        <v>960</v>
      </c>
      <c r="HF646" s="15">
        <f t="shared" si="560"/>
        <v>48</v>
      </c>
      <c r="HG646" s="15">
        <f>HF646*SQRT(AR336)</f>
        <v>83.138438763306112</v>
      </c>
      <c r="HH646" s="15">
        <v>1100</v>
      </c>
      <c r="HI646" s="15">
        <f t="shared" si="561"/>
        <v>55</v>
      </c>
      <c r="HJ646" s="15">
        <f>HI646*SQRT(AR336)</f>
        <v>95.262794416288244</v>
      </c>
      <c r="HK646" s="15">
        <f t="shared" si="546"/>
        <v>1.1458333333333333</v>
      </c>
      <c r="HL646" s="15">
        <f t="shared" si="547"/>
        <v>140</v>
      </c>
      <c r="HM646" s="15">
        <f t="shared" si="548"/>
        <v>0.13613217432457958</v>
      </c>
      <c r="HN646" s="15">
        <f>((HJ646*HJ646)/(AR336*HH646*HH646)+(HG646*HG646)/(AR336*HE646*HE646))</f>
        <v>4.9999999999999992E-3</v>
      </c>
      <c r="HP646" s="15" t="s">
        <v>766</v>
      </c>
      <c r="HV646" s="15">
        <f t="shared" si="549"/>
        <v>55.093515087166459</v>
      </c>
      <c r="HW646" s="15">
        <f t="shared" si="563"/>
        <v>0.13613217432457958</v>
      </c>
      <c r="HX646" s="15">
        <f>BB646</f>
        <v>750</v>
      </c>
      <c r="HY646" s="15">
        <f>AZ646</f>
        <v>1250</v>
      </c>
      <c r="HZ646" s="15">
        <f>BA646</f>
        <v>0.42662116040955628</v>
      </c>
      <c r="IA646" s="15">
        <f>BB646</f>
        <v>750</v>
      </c>
    </row>
    <row r="647" spans="1:235" s="15" customFormat="1" x14ac:dyDescent="0.25">
      <c r="A647" s="31">
        <v>645</v>
      </c>
      <c r="B647" s="1">
        <v>95</v>
      </c>
      <c r="C647" s="1">
        <v>113</v>
      </c>
      <c r="D647" s="15" t="s">
        <v>1499</v>
      </c>
      <c r="E647" s="1">
        <v>1</v>
      </c>
      <c r="F647" s="15" t="s">
        <v>761</v>
      </c>
      <c r="G647" s="15" t="s">
        <v>1427</v>
      </c>
      <c r="H647" s="15" t="s">
        <v>1428</v>
      </c>
      <c r="I647" s="1">
        <v>2004</v>
      </c>
      <c r="J647" s="15" t="s">
        <v>1263</v>
      </c>
      <c r="K647" s="1" t="s">
        <v>1429</v>
      </c>
      <c r="L647" s="15" t="s">
        <v>1362</v>
      </c>
      <c r="M647" s="15" t="s">
        <v>480</v>
      </c>
      <c r="N647" s="15" t="s">
        <v>520</v>
      </c>
      <c r="O647" s="31">
        <v>2</v>
      </c>
      <c r="P647" s="15">
        <v>29.17</v>
      </c>
      <c r="Q647" s="15">
        <v>119.18</v>
      </c>
      <c r="S647" s="15">
        <v>1333</v>
      </c>
      <c r="T647" s="15">
        <v>17.100000000000001</v>
      </c>
      <c r="U647" s="15" t="s">
        <v>549</v>
      </c>
      <c r="V647" s="31">
        <v>1</v>
      </c>
      <c r="W647" s="15" t="s">
        <v>1430</v>
      </c>
      <c r="X647" s="15" t="s">
        <v>1339</v>
      </c>
      <c r="Y647" s="1">
        <v>4</v>
      </c>
      <c r="Z647" s="15">
        <v>4.8600000000000003</v>
      </c>
      <c r="AA647" s="15" t="s">
        <v>574</v>
      </c>
      <c r="AB647" s="15">
        <f t="shared" si="564"/>
        <v>4.8600000000000003</v>
      </c>
      <c r="AC647" s="1">
        <v>2</v>
      </c>
      <c r="AD647" s="15">
        <v>3.3</v>
      </c>
      <c r="AF647" s="15">
        <v>5.76</v>
      </c>
      <c r="AH647" s="15">
        <v>6</v>
      </c>
      <c r="AJ647" s="15">
        <v>44.2</v>
      </c>
      <c r="AM647" s="1">
        <v>1</v>
      </c>
      <c r="AP647" s="15" t="s">
        <v>1431</v>
      </c>
      <c r="AQ647" s="1">
        <v>1</v>
      </c>
      <c r="AR647" s="1">
        <v>3</v>
      </c>
      <c r="AT647" s="15" t="s">
        <v>576</v>
      </c>
      <c r="AW647" s="15">
        <f>AW555/13</f>
        <v>288.46153846153845</v>
      </c>
      <c r="AX647" s="15">
        <f t="shared" si="562"/>
        <v>288.46153846153845</v>
      </c>
      <c r="AY647" s="15" t="s">
        <v>766</v>
      </c>
      <c r="AZ647" s="15">
        <f t="shared" si="557"/>
        <v>288.46153846153845</v>
      </c>
      <c r="BA647" s="15">
        <f t="shared" si="558"/>
        <v>9.8451037017589907E-2</v>
      </c>
      <c r="BB647" s="15">
        <f t="shared" si="559"/>
        <v>173.07692307692307</v>
      </c>
      <c r="FK647" s="16">
        <f t="shared" si="554"/>
        <v>4.9000000000000004</v>
      </c>
      <c r="FL647" s="16">
        <f t="shared" si="555"/>
        <v>5.0599999999999996</v>
      </c>
      <c r="FM647" s="15">
        <v>4.9000000000000004</v>
      </c>
      <c r="FN647" s="15">
        <f t="shared" si="542"/>
        <v>0.24500000000000002</v>
      </c>
      <c r="FO647" s="15">
        <f>FN647*SQRT(AR647)</f>
        <v>0.42435244785437493</v>
      </c>
      <c r="FP647" s="15">
        <v>5.0599999999999996</v>
      </c>
      <c r="FQ647" s="15">
        <f t="shared" si="551"/>
        <v>0.253</v>
      </c>
      <c r="FR647" s="15">
        <f>FQ647*SQRT(AR647)</f>
        <v>0.43820885431492596</v>
      </c>
      <c r="FS647" s="15">
        <f t="shared" si="552"/>
        <v>1.0326530612244897</v>
      </c>
      <c r="FT647" s="15">
        <f t="shared" si="553"/>
        <v>0.15999999999999925</v>
      </c>
      <c r="FU647" s="15">
        <f t="shared" si="556"/>
        <v>3.2131278182793155E-2</v>
      </c>
      <c r="FV647" s="15">
        <f>((FR647*FR647)/(AR647*FP647*FP647)+(FO647*FO647)/(AR647*FM647*FM647))</f>
        <v>4.9999999999999992E-3</v>
      </c>
      <c r="HE647" s="15">
        <v>9720</v>
      </c>
      <c r="HF647" s="15">
        <f t="shared" si="560"/>
        <v>486</v>
      </c>
      <c r="HG647" s="15">
        <f>HF647*SQRT(AR337)</f>
        <v>841.77669247847427</v>
      </c>
      <c r="HH647" s="15">
        <v>9900</v>
      </c>
      <c r="HI647" s="15">
        <f t="shared" si="561"/>
        <v>495</v>
      </c>
      <c r="HJ647" s="15">
        <f>HI647*SQRT(AR337)</f>
        <v>857.36514974659417</v>
      </c>
      <c r="HK647" s="15">
        <f t="shared" si="546"/>
        <v>1.0185185185185186</v>
      </c>
      <c r="HL647" s="15">
        <f t="shared" si="547"/>
        <v>180</v>
      </c>
      <c r="HM647" s="15">
        <f t="shared" si="548"/>
        <v>1.8349138668195764E-2</v>
      </c>
      <c r="HN647" s="15">
        <f>((HJ647*HJ647)/(AR337*HH647*HH647)+(HG647*HG647)/(AR337*HE647*HE647))</f>
        <v>4.9999999999999992E-3</v>
      </c>
      <c r="HP647" s="15" t="s">
        <v>766</v>
      </c>
      <c r="HV647" s="15">
        <f t="shared" si="549"/>
        <v>94.324276581393008</v>
      </c>
      <c r="HW647" s="15">
        <f t="shared" si="563"/>
        <v>1.8349138668195764E-2</v>
      </c>
      <c r="HX647" s="15">
        <f>BB647</f>
        <v>173.07692307692307</v>
      </c>
      <c r="HY647" s="15">
        <f>AZ647</f>
        <v>288.46153846153845</v>
      </c>
      <c r="HZ647" s="15">
        <f>BA647</f>
        <v>9.8451037017589907E-2</v>
      </c>
      <c r="IA647" s="15">
        <f>BB647</f>
        <v>173.07692307692307</v>
      </c>
    </row>
    <row r="648" spans="1:235" s="15" customFormat="1" x14ac:dyDescent="0.25">
      <c r="A648" s="31">
        <v>646</v>
      </c>
      <c r="B648" s="1">
        <v>95</v>
      </c>
      <c r="C648" s="1">
        <v>113</v>
      </c>
      <c r="D648" s="15" t="s">
        <v>1500</v>
      </c>
      <c r="E648" s="1">
        <v>1</v>
      </c>
      <c r="F648" s="15" t="s">
        <v>761</v>
      </c>
      <c r="G648" s="15" t="s">
        <v>1427</v>
      </c>
      <c r="H648" s="15" t="s">
        <v>1428</v>
      </c>
      <c r="I648" s="1">
        <v>2004</v>
      </c>
      <c r="J648" s="15" t="s">
        <v>1263</v>
      </c>
      <c r="K648" s="1" t="s">
        <v>1429</v>
      </c>
      <c r="L648" s="15" t="s">
        <v>1362</v>
      </c>
      <c r="M648" s="15" t="s">
        <v>480</v>
      </c>
      <c r="N648" s="15" t="s">
        <v>520</v>
      </c>
      <c r="O648" s="31">
        <v>2</v>
      </c>
      <c r="P648" s="15">
        <v>29.17</v>
      </c>
      <c r="Q648" s="15">
        <v>119.18</v>
      </c>
      <c r="S648" s="15">
        <v>1333</v>
      </c>
      <c r="T648" s="15">
        <v>17.100000000000001</v>
      </c>
      <c r="U648" s="15" t="s">
        <v>549</v>
      </c>
      <c r="V648" s="31">
        <v>1</v>
      </c>
      <c r="W648" s="15" t="s">
        <v>1430</v>
      </c>
      <c r="X648" s="15" t="s">
        <v>1339</v>
      </c>
      <c r="Y648" s="1">
        <v>4</v>
      </c>
      <c r="Z648" s="15">
        <v>4.8600000000000003</v>
      </c>
      <c r="AA648" s="15" t="s">
        <v>574</v>
      </c>
      <c r="AB648" s="15">
        <f t="shared" si="564"/>
        <v>4.8600000000000003</v>
      </c>
      <c r="AC648" s="1">
        <v>2</v>
      </c>
      <c r="AD648" s="15">
        <v>3.3</v>
      </c>
      <c r="AF648" s="15">
        <v>5.76</v>
      </c>
      <c r="AH648" s="15">
        <v>6</v>
      </c>
      <c r="AJ648" s="15">
        <v>44.2</v>
      </c>
      <c r="AM648" s="1">
        <v>1</v>
      </c>
      <c r="AP648" s="15" t="s">
        <v>1431</v>
      </c>
      <c r="AQ648" s="1">
        <v>1</v>
      </c>
      <c r="AR648" s="1">
        <v>3</v>
      </c>
      <c r="AT648" s="15" t="s">
        <v>576</v>
      </c>
      <c r="AW648" s="15">
        <f>AW556/13</f>
        <v>576.92307692307691</v>
      </c>
      <c r="AX648" s="15">
        <f t="shared" si="562"/>
        <v>576.92307692307691</v>
      </c>
      <c r="AY648" s="15" t="s">
        <v>766</v>
      </c>
      <c r="AZ648" s="15">
        <f t="shared" si="557"/>
        <v>576.92307692307691</v>
      </c>
      <c r="BA648" s="15">
        <f t="shared" si="558"/>
        <v>0.19690207403517981</v>
      </c>
      <c r="BB648" s="15">
        <f t="shared" si="559"/>
        <v>346.15384615384613</v>
      </c>
      <c r="FK648" s="16">
        <f t="shared" si="554"/>
        <v>4.9000000000000004</v>
      </c>
      <c r="FL648" s="16">
        <f t="shared" si="555"/>
        <v>5.22</v>
      </c>
      <c r="FM648" s="15">
        <v>4.9000000000000004</v>
      </c>
      <c r="FN648" s="15">
        <f t="shared" si="542"/>
        <v>0.24500000000000002</v>
      </c>
      <c r="FO648" s="15">
        <f>FN648*SQRT(AR648)</f>
        <v>0.42435244785437493</v>
      </c>
      <c r="FP648" s="15">
        <v>5.22</v>
      </c>
      <c r="FQ648" s="15">
        <f t="shared" si="551"/>
        <v>0.26100000000000001</v>
      </c>
      <c r="FR648" s="15">
        <f>FQ648*SQRT(AR648)</f>
        <v>0.45206526077547698</v>
      </c>
      <c r="FS648" s="15">
        <f t="shared" si="552"/>
        <v>1.0653061224489795</v>
      </c>
      <c r="FT648" s="15">
        <f t="shared" si="553"/>
        <v>0.3199999999999994</v>
      </c>
      <c r="FU648" s="15">
        <f t="shared" si="556"/>
        <v>6.3262196777966295E-2</v>
      </c>
      <c r="FV648" s="15">
        <f>((FR648*FR648)/(AR648*FP648*FP648)+(FO648*FO648)/(AR648*FM648*FM648))</f>
        <v>4.9999999999999992E-3</v>
      </c>
      <c r="HE648" s="15">
        <v>9720</v>
      </c>
      <c r="HF648" s="15">
        <f t="shared" si="560"/>
        <v>486</v>
      </c>
      <c r="HG648" s="15">
        <f>HF648*SQRT(AR338)</f>
        <v>841.77669247847427</v>
      </c>
      <c r="HH648" s="15">
        <v>10040</v>
      </c>
      <c r="HI648" s="15">
        <f t="shared" si="561"/>
        <v>502</v>
      </c>
      <c r="HJ648" s="15">
        <f>HI648*SQRT(AR338)</f>
        <v>869.48950539957639</v>
      </c>
      <c r="HK648" s="15">
        <f t="shared" si="546"/>
        <v>1.0329218106995885</v>
      </c>
      <c r="HL648" s="15">
        <f t="shared" si="547"/>
        <v>320</v>
      </c>
      <c r="HM648" s="15">
        <f t="shared" si="548"/>
        <v>3.2391495791236125E-2</v>
      </c>
      <c r="HN648" s="15">
        <f>((HJ648*HJ648)/(AR338*HH648*HH648)+(HG648*HG648)/(AR338*HE648*HE648))</f>
        <v>4.9999999999999992E-3</v>
      </c>
      <c r="HP648" s="15" t="s">
        <v>766</v>
      </c>
      <c r="HV648" s="15">
        <f t="shared" si="549"/>
        <v>106.8656564626762</v>
      </c>
      <c r="HW648" s="15">
        <f t="shared" si="563"/>
        <v>3.2391495791236125E-2</v>
      </c>
      <c r="HX648" s="15">
        <f>BB648</f>
        <v>346.15384615384613</v>
      </c>
      <c r="HY648" s="15">
        <f>AZ648</f>
        <v>576.92307692307691</v>
      </c>
      <c r="HZ648" s="15">
        <f>BA648</f>
        <v>0.19690207403517981</v>
      </c>
      <c r="IA648" s="15">
        <f>BB648</f>
        <v>346.15384615384613</v>
      </c>
    </row>
    <row r="649" spans="1:235" s="15" customFormat="1" x14ac:dyDescent="0.25">
      <c r="A649" s="31">
        <v>647</v>
      </c>
      <c r="B649" s="1">
        <v>95</v>
      </c>
      <c r="C649" s="1">
        <v>113</v>
      </c>
      <c r="D649" s="15" t="s">
        <v>1501</v>
      </c>
      <c r="E649" s="1">
        <v>1</v>
      </c>
      <c r="F649" s="15" t="s">
        <v>761</v>
      </c>
      <c r="G649" s="15" t="s">
        <v>1427</v>
      </c>
      <c r="H649" s="15" t="s">
        <v>1428</v>
      </c>
      <c r="I649" s="1">
        <v>2004</v>
      </c>
      <c r="J649" s="15" t="s">
        <v>1263</v>
      </c>
      <c r="K649" s="1" t="s">
        <v>1429</v>
      </c>
      <c r="L649" s="15" t="s">
        <v>1362</v>
      </c>
      <c r="M649" s="15" t="s">
        <v>480</v>
      </c>
      <c r="N649" s="15" t="s">
        <v>520</v>
      </c>
      <c r="O649" s="31">
        <v>2</v>
      </c>
      <c r="P649" s="15">
        <v>29.17</v>
      </c>
      <c r="Q649" s="15">
        <v>119.18</v>
      </c>
      <c r="S649" s="15">
        <v>1333</v>
      </c>
      <c r="T649" s="15">
        <v>17.100000000000001</v>
      </c>
      <c r="U649" s="15" t="s">
        <v>549</v>
      </c>
      <c r="V649" s="31">
        <v>1</v>
      </c>
      <c r="W649" s="15" t="s">
        <v>1430</v>
      </c>
      <c r="X649" s="15" t="s">
        <v>1339</v>
      </c>
      <c r="Y649" s="1">
        <v>4</v>
      </c>
      <c r="Z649" s="15">
        <v>4.8600000000000003</v>
      </c>
      <c r="AA649" s="15" t="s">
        <v>574</v>
      </c>
      <c r="AB649" s="15">
        <f t="shared" si="564"/>
        <v>4.8600000000000003</v>
      </c>
      <c r="AC649" s="1">
        <v>2</v>
      </c>
      <c r="AD649" s="15">
        <v>3.3</v>
      </c>
      <c r="AF649" s="15">
        <v>5.76</v>
      </c>
      <c r="AH649" s="15">
        <v>6</v>
      </c>
      <c r="AJ649" s="15">
        <v>44.2</v>
      </c>
      <c r="AM649" s="1">
        <v>1</v>
      </c>
      <c r="AP649" s="15" t="s">
        <v>1431</v>
      </c>
      <c r="AQ649" s="1">
        <v>1</v>
      </c>
      <c r="AR649" s="1">
        <v>3</v>
      </c>
      <c r="AT649" s="15" t="s">
        <v>576</v>
      </c>
      <c r="AW649" s="15">
        <f>AW557/13</f>
        <v>865.38461538461536</v>
      </c>
      <c r="AX649" s="15">
        <f t="shared" si="562"/>
        <v>865.38461538461536</v>
      </c>
      <c r="AY649" s="15" t="s">
        <v>766</v>
      </c>
      <c r="AZ649" s="15">
        <f t="shared" si="557"/>
        <v>865.38461538461536</v>
      </c>
      <c r="BA649" s="15">
        <f t="shared" si="558"/>
        <v>0.29535311105276973</v>
      </c>
      <c r="BB649" s="15">
        <f t="shared" si="559"/>
        <v>519.23076923076917</v>
      </c>
      <c r="FK649" s="16">
        <f t="shared" si="554"/>
        <v>4.9000000000000004</v>
      </c>
      <c r="FL649" s="16">
        <f t="shared" si="555"/>
        <v>5.68</v>
      </c>
      <c r="FM649" s="15">
        <v>4.9000000000000004</v>
      </c>
      <c r="FN649" s="15">
        <f t="shared" si="542"/>
        <v>0.24500000000000002</v>
      </c>
      <c r="FO649" s="15">
        <f>FN649*SQRT(AR649)</f>
        <v>0.42435244785437493</v>
      </c>
      <c r="FP649" s="15">
        <v>5.68</v>
      </c>
      <c r="FQ649" s="15">
        <f t="shared" si="551"/>
        <v>0.28399999999999997</v>
      </c>
      <c r="FR649" s="15">
        <f>FQ649*SQRT(AR649)</f>
        <v>0.49190242934956108</v>
      </c>
      <c r="FS649" s="15">
        <f t="shared" si="552"/>
        <v>1.1591836734693877</v>
      </c>
      <c r="FT649" s="15">
        <f t="shared" si="553"/>
        <v>0.77999999999999936</v>
      </c>
      <c r="FU649" s="15">
        <f t="shared" si="556"/>
        <v>0.14771602761647884</v>
      </c>
      <c r="FV649" s="15">
        <f>((FR649*FR649)/(AR649*FP649*FP649)+(FO649*FO649)/(AR649*FM649*FM649))</f>
        <v>4.9999999999999992E-3</v>
      </c>
      <c r="HE649" s="15">
        <v>9720</v>
      </c>
      <c r="HF649" s="15">
        <f t="shared" si="560"/>
        <v>486</v>
      </c>
      <c r="HG649" s="15">
        <f>HF649*SQRT(AR339)</f>
        <v>841.77669247847427</v>
      </c>
      <c r="HH649" s="15">
        <v>14010</v>
      </c>
      <c r="HI649" s="15">
        <f t="shared" si="561"/>
        <v>700.5</v>
      </c>
      <c r="HJ649" s="15">
        <f>HI649*SQRT(AR339)</f>
        <v>1213.3015907019985</v>
      </c>
      <c r="HK649" s="15">
        <f t="shared" si="546"/>
        <v>1.441358024691358</v>
      </c>
      <c r="HL649" s="15">
        <f t="shared" si="547"/>
        <v>4290</v>
      </c>
      <c r="HM649" s="15">
        <f t="shared" si="548"/>
        <v>0.36558574187656845</v>
      </c>
      <c r="HN649" s="15">
        <f>((HJ649*HJ649)/(AR339*HH649*HH649)+(HG649*HG649)/(AR339*HE649*HE649))</f>
        <v>4.9999999999999992E-3</v>
      </c>
      <c r="HP649" s="15" t="s">
        <v>766</v>
      </c>
      <c r="HV649" s="15">
        <f t="shared" si="549"/>
        <v>14.202708414325288</v>
      </c>
      <c r="HW649" s="15">
        <f t="shared" si="563"/>
        <v>0.36558574187656845</v>
      </c>
      <c r="HX649" s="15">
        <f>BB649</f>
        <v>519.23076923076917</v>
      </c>
      <c r="HY649" s="15">
        <f>AZ649</f>
        <v>865.38461538461536</v>
      </c>
      <c r="HZ649" s="15">
        <f>BA649</f>
        <v>0.29535311105276973</v>
      </c>
      <c r="IA649" s="15">
        <f>BB649</f>
        <v>519.23076923076917</v>
      </c>
    </row>
    <row r="650" spans="1:235" s="15" customFormat="1" x14ac:dyDescent="0.25">
      <c r="A650" s="31">
        <v>648</v>
      </c>
      <c r="B650" s="1">
        <v>95</v>
      </c>
      <c r="C650" s="1">
        <v>113</v>
      </c>
      <c r="D650" s="15" t="s">
        <v>1502</v>
      </c>
      <c r="E650" s="1">
        <v>1</v>
      </c>
      <c r="F650" s="15" t="s">
        <v>761</v>
      </c>
      <c r="G650" s="15" t="s">
        <v>1427</v>
      </c>
      <c r="H650" s="15" t="s">
        <v>1428</v>
      </c>
      <c r="I650" s="1">
        <v>2004</v>
      </c>
      <c r="J650" s="15" t="s">
        <v>1263</v>
      </c>
      <c r="K650" s="1" t="s">
        <v>1429</v>
      </c>
      <c r="L650" s="15" t="s">
        <v>1362</v>
      </c>
      <c r="M650" s="15" t="s">
        <v>480</v>
      </c>
      <c r="N650" s="15" t="s">
        <v>520</v>
      </c>
      <c r="O650" s="31">
        <v>2</v>
      </c>
      <c r="P650" s="15">
        <v>29.17</v>
      </c>
      <c r="Q650" s="15">
        <v>119.18</v>
      </c>
      <c r="S650" s="15">
        <v>1333</v>
      </c>
      <c r="T650" s="15">
        <v>17.100000000000001</v>
      </c>
      <c r="U650" s="15" t="s">
        <v>549</v>
      </c>
      <c r="V650" s="31">
        <v>1</v>
      </c>
      <c r="W650" s="15" t="s">
        <v>1430</v>
      </c>
      <c r="X650" s="15" t="s">
        <v>1339</v>
      </c>
      <c r="Y650" s="1">
        <v>4</v>
      </c>
      <c r="Z650" s="15">
        <v>4.8600000000000003</v>
      </c>
      <c r="AA650" s="15" t="s">
        <v>574</v>
      </c>
      <c r="AB650" s="15">
        <f t="shared" si="564"/>
        <v>4.8600000000000003</v>
      </c>
      <c r="AC650" s="1">
        <v>2</v>
      </c>
      <c r="AD650" s="15">
        <v>3.3</v>
      </c>
      <c r="AF650" s="15">
        <v>5.76</v>
      </c>
      <c r="AH650" s="15">
        <v>6</v>
      </c>
      <c r="AJ650" s="15">
        <v>44.2</v>
      </c>
      <c r="AM650" s="1">
        <v>1</v>
      </c>
      <c r="AP650" s="15" t="s">
        <v>1431</v>
      </c>
      <c r="AQ650" s="1">
        <v>1</v>
      </c>
      <c r="AR650" s="1">
        <v>3</v>
      </c>
      <c r="AT650" s="15" t="s">
        <v>576</v>
      </c>
      <c r="AW650" s="15">
        <f>AW558/13</f>
        <v>1153.8461538461538</v>
      </c>
      <c r="AX650" s="15">
        <f t="shared" si="562"/>
        <v>1153.8461538461538</v>
      </c>
      <c r="AY650" s="15" t="s">
        <v>766</v>
      </c>
      <c r="AZ650" s="15">
        <f t="shared" si="557"/>
        <v>1153.8461538461538</v>
      </c>
      <c r="BA650" s="15">
        <f t="shared" si="558"/>
        <v>0.39380414807035963</v>
      </c>
      <c r="BB650" s="15">
        <f t="shared" si="559"/>
        <v>692.30769230769226</v>
      </c>
      <c r="FK650" s="16">
        <f t="shared" si="554"/>
        <v>4.9000000000000004</v>
      </c>
      <c r="FL650" s="16">
        <f t="shared" si="555"/>
        <v>5.84</v>
      </c>
      <c r="FM650" s="15">
        <v>4.9000000000000004</v>
      </c>
      <c r="FN650" s="15">
        <f t="shared" si="542"/>
        <v>0.24500000000000002</v>
      </c>
      <c r="FO650" s="15">
        <f>FN650*SQRT(AR650)</f>
        <v>0.42435244785437493</v>
      </c>
      <c r="FP650" s="15">
        <v>5.84</v>
      </c>
      <c r="FQ650" s="15">
        <f t="shared" si="551"/>
        <v>0.29199999999999998</v>
      </c>
      <c r="FR650" s="15">
        <f>FQ650*SQRT(AR650)</f>
        <v>0.50575883581011216</v>
      </c>
      <c r="FS650" s="15">
        <f t="shared" si="552"/>
        <v>1.1918367346938774</v>
      </c>
      <c r="FT650" s="15">
        <f t="shared" si="553"/>
        <v>0.9399999999999995</v>
      </c>
      <c r="FU650" s="15">
        <f t="shared" si="556"/>
        <v>0.17549559172355456</v>
      </c>
      <c r="FV650" s="15">
        <f>((FR650*FR650)/(AR650*FP650*FP650)+(FO650*FO650)/(AR650*FM650*FM650))</f>
        <v>4.9999999999999992E-3</v>
      </c>
      <c r="HE650" s="15">
        <v>9720</v>
      </c>
      <c r="HF650" s="15">
        <f t="shared" si="560"/>
        <v>486</v>
      </c>
      <c r="HG650" s="15">
        <f>HF650*SQRT(AR340)</f>
        <v>841.77669247847427</v>
      </c>
      <c r="HH650" s="15">
        <v>13870</v>
      </c>
      <c r="HI650" s="15">
        <f t="shared" si="561"/>
        <v>693.5</v>
      </c>
      <c r="HJ650" s="15">
        <f>HI650*SQRT(AR340)</f>
        <v>1201.1772350490164</v>
      </c>
      <c r="HK650" s="15">
        <f t="shared" si="546"/>
        <v>1.426954732510288</v>
      </c>
      <c r="HL650" s="15">
        <f t="shared" si="547"/>
        <v>4150</v>
      </c>
      <c r="HM650" s="15">
        <f t="shared" si="548"/>
        <v>0.35554261585439306</v>
      </c>
      <c r="HN650" s="15">
        <f>((HJ650*HJ650)/(AR340*HH650*HH650)+(HG650*HG650)/(AR340*HE650*HE650))</f>
        <v>4.9999999999999992E-3</v>
      </c>
      <c r="HP650" s="15" t="s">
        <v>766</v>
      </c>
      <c r="HV650" s="15">
        <f t="shared" si="549"/>
        <v>19.471862483883395</v>
      </c>
      <c r="HW650" s="15">
        <f t="shared" si="563"/>
        <v>0.35554261585439306</v>
      </c>
      <c r="HX650" s="15">
        <f>BB650</f>
        <v>692.30769230769226</v>
      </c>
      <c r="HY650" s="15">
        <f>AZ650</f>
        <v>1153.8461538461538</v>
      </c>
      <c r="HZ650" s="15">
        <f>BA650</f>
        <v>0.39380414807035963</v>
      </c>
      <c r="IA650" s="15">
        <f>BB650</f>
        <v>692.30769230769226</v>
      </c>
    </row>
    <row r="651" spans="1:235" s="15" customFormat="1" x14ac:dyDescent="0.25">
      <c r="A651" s="31">
        <v>649</v>
      </c>
      <c r="B651" s="1">
        <v>95</v>
      </c>
      <c r="C651" s="1">
        <v>113</v>
      </c>
      <c r="D651" s="15" t="s">
        <v>1503</v>
      </c>
      <c r="E651" s="1">
        <v>1</v>
      </c>
      <c r="F651" s="15" t="s">
        <v>761</v>
      </c>
      <c r="G651" s="15" t="s">
        <v>1427</v>
      </c>
      <c r="H651" s="15" t="s">
        <v>1428</v>
      </c>
      <c r="I651" s="1">
        <v>2004</v>
      </c>
      <c r="J651" s="15" t="s">
        <v>1263</v>
      </c>
      <c r="K651" s="1" t="s">
        <v>1429</v>
      </c>
      <c r="L651" s="15" t="s">
        <v>1362</v>
      </c>
      <c r="M651" s="15" t="s">
        <v>480</v>
      </c>
      <c r="N651" s="15" t="s">
        <v>520</v>
      </c>
      <c r="O651" s="31">
        <v>2</v>
      </c>
      <c r="P651" s="15">
        <v>29.17</v>
      </c>
      <c r="Q651" s="15">
        <v>119.18</v>
      </c>
      <c r="S651" s="15">
        <v>1333</v>
      </c>
      <c r="T651" s="15">
        <v>17.100000000000001</v>
      </c>
      <c r="U651" s="15" t="s">
        <v>549</v>
      </c>
      <c r="V651" s="31">
        <v>1</v>
      </c>
      <c r="W651" s="15" t="s">
        <v>1430</v>
      </c>
      <c r="X651" s="15" t="s">
        <v>1147</v>
      </c>
      <c r="Y651" s="1">
        <v>5</v>
      </c>
      <c r="Z651" s="15">
        <v>4.8600000000000003</v>
      </c>
      <c r="AA651" s="15" t="s">
        <v>574</v>
      </c>
      <c r="AB651" s="15">
        <f t="shared" si="564"/>
        <v>4.8600000000000003</v>
      </c>
      <c r="AC651" s="1">
        <v>2</v>
      </c>
      <c r="AD651" s="15">
        <v>3.3</v>
      </c>
      <c r="AF651" s="15">
        <v>5.76</v>
      </c>
      <c r="AH651" s="15">
        <v>6</v>
      </c>
      <c r="AJ651" s="15">
        <v>44.2</v>
      </c>
      <c r="AM651" s="1">
        <v>1</v>
      </c>
      <c r="AP651" s="15" t="s">
        <v>1431</v>
      </c>
      <c r="AQ651" s="1">
        <v>1</v>
      </c>
      <c r="AR651" s="1">
        <v>3</v>
      </c>
      <c r="AT651" s="15" t="s">
        <v>576</v>
      </c>
      <c r="AW651" s="15">
        <v>288.46153846153845</v>
      </c>
      <c r="AX651" s="15">
        <f t="shared" si="562"/>
        <v>288.46153846153845</v>
      </c>
      <c r="AY651" s="15" t="s">
        <v>766</v>
      </c>
      <c r="AZ651" s="15">
        <f t="shared" si="557"/>
        <v>288.46153846153845</v>
      </c>
      <c r="BA651" s="15">
        <f t="shared" si="558"/>
        <v>9.8451037017589907E-2</v>
      </c>
      <c r="BB651" s="15">
        <f t="shared" si="559"/>
        <v>173.07692307692307</v>
      </c>
      <c r="FK651" s="16">
        <f t="shared" si="554"/>
        <v>4.9000000000000004</v>
      </c>
      <c r="FL651" s="16">
        <f t="shared" si="555"/>
        <v>5.0599999999999996</v>
      </c>
      <c r="FM651" s="15">
        <v>4.9000000000000004</v>
      </c>
      <c r="FN651" s="15">
        <f t="shared" ref="FN651:FN668" si="565">FM651*0.05</f>
        <v>0.24500000000000002</v>
      </c>
      <c r="FO651" s="15">
        <f>FN651*SQRT(AR651)</f>
        <v>0.42435244785437493</v>
      </c>
      <c r="FP651" s="15">
        <v>5.0599999999999996</v>
      </c>
      <c r="FQ651" s="15">
        <f t="shared" si="551"/>
        <v>0.253</v>
      </c>
      <c r="FR651" s="15">
        <f>FQ651*SQRT(AR651)</f>
        <v>0.43820885431492596</v>
      </c>
      <c r="FS651" s="15">
        <f t="shared" si="552"/>
        <v>1.0326530612244897</v>
      </c>
      <c r="FT651" s="15">
        <f t="shared" si="553"/>
        <v>0.15999999999999925</v>
      </c>
      <c r="FU651" s="15">
        <f t="shared" si="556"/>
        <v>3.2131278182793155E-2</v>
      </c>
      <c r="FV651" s="15">
        <f>((FR651*FR651)/(AR651*FP651*FP651)+(FO651*FO651)/(AR651*FM651*FM651))</f>
        <v>4.9999999999999992E-3</v>
      </c>
      <c r="HE651" s="15">
        <v>1210</v>
      </c>
      <c r="HF651" s="15">
        <f t="shared" si="560"/>
        <v>60.5</v>
      </c>
      <c r="HG651" s="15">
        <f>HF651*SQRT(AR341)</f>
        <v>104.78907385791707</v>
      </c>
      <c r="HH651" s="15">
        <v>1320</v>
      </c>
      <c r="HI651" s="15">
        <f t="shared" si="561"/>
        <v>66</v>
      </c>
      <c r="HJ651" s="15">
        <f>HI651*SQRT(AR341)</f>
        <v>114.31535329954589</v>
      </c>
      <c r="HK651" s="15">
        <f t="shared" si="546"/>
        <v>1.0909090909090908</v>
      </c>
      <c r="HL651" s="15">
        <f t="shared" si="547"/>
        <v>110</v>
      </c>
      <c r="HM651" s="15">
        <f t="shared" si="548"/>
        <v>8.7011376989630129E-2</v>
      </c>
      <c r="HN651" s="15">
        <f>((HJ651*HJ651)/(AR341*HH651*HH651)+(HG651*HG651)/(AR341*HE651*HE651))</f>
        <v>4.9999999999999992E-3</v>
      </c>
      <c r="HP651" s="15" t="s">
        <v>766</v>
      </c>
      <c r="HV651" s="15">
        <f t="shared" si="549"/>
        <v>19.891298019286616</v>
      </c>
      <c r="HW651" s="15">
        <f t="shared" si="563"/>
        <v>8.7011376989630129E-2</v>
      </c>
      <c r="HX651" s="15">
        <f>BB651</f>
        <v>173.07692307692307</v>
      </c>
      <c r="HY651" s="15">
        <f>AZ651</f>
        <v>288.46153846153845</v>
      </c>
      <c r="HZ651" s="15">
        <f>BA651</f>
        <v>9.8451037017589907E-2</v>
      </c>
      <c r="IA651" s="15">
        <f>BB651</f>
        <v>173.07692307692307</v>
      </c>
    </row>
    <row r="652" spans="1:235" s="15" customFormat="1" x14ac:dyDescent="0.25">
      <c r="A652" s="31">
        <v>650</v>
      </c>
      <c r="B652" s="1">
        <v>95</v>
      </c>
      <c r="C652" s="1">
        <v>113</v>
      </c>
      <c r="D652" s="15" t="s">
        <v>1504</v>
      </c>
      <c r="E652" s="1">
        <v>1</v>
      </c>
      <c r="F652" s="15" t="s">
        <v>761</v>
      </c>
      <c r="G652" s="15" t="s">
        <v>1427</v>
      </c>
      <c r="H652" s="15" t="s">
        <v>1428</v>
      </c>
      <c r="I652" s="1">
        <v>2004</v>
      </c>
      <c r="J652" s="15" t="s">
        <v>1263</v>
      </c>
      <c r="K652" s="1" t="s">
        <v>1429</v>
      </c>
      <c r="L652" s="15" t="s">
        <v>1362</v>
      </c>
      <c r="M652" s="15" t="s">
        <v>480</v>
      </c>
      <c r="N652" s="15" t="s">
        <v>520</v>
      </c>
      <c r="O652" s="31">
        <v>2</v>
      </c>
      <c r="P652" s="15">
        <v>29.17</v>
      </c>
      <c r="Q652" s="15">
        <v>119.18</v>
      </c>
      <c r="S652" s="15">
        <v>1333</v>
      </c>
      <c r="T652" s="15">
        <v>17.100000000000001</v>
      </c>
      <c r="U652" s="15" t="s">
        <v>549</v>
      </c>
      <c r="V652" s="31">
        <v>1</v>
      </c>
      <c r="W652" s="15" t="s">
        <v>1430</v>
      </c>
      <c r="X652" s="15" t="s">
        <v>1147</v>
      </c>
      <c r="Y652" s="1">
        <v>5</v>
      </c>
      <c r="Z652" s="15">
        <v>4.8600000000000003</v>
      </c>
      <c r="AA652" s="15" t="s">
        <v>574</v>
      </c>
      <c r="AB652" s="15">
        <f t="shared" si="564"/>
        <v>4.8600000000000003</v>
      </c>
      <c r="AC652" s="1">
        <v>2</v>
      </c>
      <c r="AD652" s="15">
        <v>3.3</v>
      </c>
      <c r="AF652" s="15">
        <v>5.76</v>
      </c>
      <c r="AH652" s="15">
        <v>6</v>
      </c>
      <c r="AJ652" s="15">
        <v>44.2</v>
      </c>
      <c r="AM652" s="1">
        <v>1</v>
      </c>
      <c r="AP652" s="15" t="s">
        <v>1431</v>
      </c>
      <c r="AQ652" s="1">
        <v>1</v>
      </c>
      <c r="AR652" s="1">
        <v>3</v>
      </c>
      <c r="AT652" s="15" t="s">
        <v>576</v>
      </c>
      <c r="AW652" s="15">
        <v>576.92307692307691</v>
      </c>
      <c r="AX652" s="15">
        <f t="shared" si="562"/>
        <v>576.92307692307691</v>
      </c>
      <c r="AY652" s="15" t="s">
        <v>766</v>
      </c>
      <c r="AZ652" s="15">
        <f t="shared" si="557"/>
        <v>576.92307692307691</v>
      </c>
      <c r="BA652" s="15">
        <f t="shared" si="558"/>
        <v>0.19690207403517981</v>
      </c>
      <c r="BB652" s="15">
        <f t="shared" si="559"/>
        <v>346.15384615384613</v>
      </c>
      <c r="FK652" s="16">
        <f t="shared" si="554"/>
        <v>4.9000000000000004</v>
      </c>
      <c r="FL652" s="16">
        <f t="shared" si="555"/>
        <v>5.22</v>
      </c>
      <c r="FM652" s="15">
        <v>4.9000000000000004</v>
      </c>
      <c r="FN652" s="15">
        <f t="shared" si="565"/>
        <v>0.24500000000000002</v>
      </c>
      <c r="FO652" s="15">
        <f>FN652*SQRT(AR652)</f>
        <v>0.42435244785437493</v>
      </c>
      <c r="FP652" s="15">
        <v>5.22</v>
      </c>
      <c r="FQ652" s="15">
        <f t="shared" si="551"/>
        <v>0.26100000000000001</v>
      </c>
      <c r="FR652" s="15">
        <f>FQ652*SQRT(AR652)</f>
        <v>0.45206526077547698</v>
      </c>
      <c r="FS652" s="15">
        <f t="shared" si="552"/>
        <v>1.0653061224489795</v>
      </c>
      <c r="FT652" s="15">
        <f t="shared" si="553"/>
        <v>0.3199999999999994</v>
      </c>
      <c r="FU652" s="15">
        <f t="shared" si="556"/>
        <v>6.3262196777966295E-2</v>
      </c>
      <c r="FV652" s="15">
        <f>((FR652*FR652)/(AR652*FP652*FP652)+(FO652*FO652)/(AR652*FM652*FM652))</f>
        <v>4.9999999999999992E-3</v>
      </c>
      <c r="HE652" s="15">
        <v>1210</v>
      </c>
      <c r="HF652" s="15">
        <f t="shared" si="560"/>
        <v>60.5</v>
      </c>
      <c r="HG652" s="15">
        <f>HF652*SQRT(AR342)</f>
        <v>104.78907385791707</v>
      </c>
      <c r="HH652" s="15">
        <v>1580</v>
      </c>
      <c r="HI652" s="15">
        <f t="shared" si="561"/>
        <v>79</v>
      </c>
      <c r="HJ652" s="15">
        <f>HI652*SQRT(AR342)</f>
        <v>136.8320137979413</v>
      </c>
      <c r="HK652" s="15">
        <f t="shared" si="546"/>
        <v>1.3057851239669422</v>
      </c>
      <c r="HL652" s="15">
        <f t="shared" si="547"/>
        <v>370</v>
      </c>
      <c r="HM652" s="15">
        <f t="shared" si="548"/>
        <v>0.26680448743022644</v>
      </c>
      <c r="HN652" s="15">
        <f>((HJ652*HJ652)/(AR342*HH652*HH652)+(HG652*HG652)/(AR342*HE652*HE652))</f>
        <v>5.0000000000000001E-3</v>
      </c>
      <c r="HP652" s="15" t="s">
        <v>766</v>
      </c>
      <c r="HV652" s="15">
        <f t="shared" si="549"/>
        <v>12.974063873058761</v>
      </c>
      <c r="HW652" s="15">
        <f t="shared" si="563"/>
        <v>0.26680448743022644</v>
      </c>
      <c r="HX652" s="15">
        <f>BB652</f>
        <v>346.15384615384613</v>
      </c>
      <c r="HY652" s="15">
        <f>AZ652</f>
        <v>576.92307692307691</v>
      </c>
      <c r="HZ652" s="15">
        <f>BA652</f>
        <v>0.19690207403517981</v>
      </c>
      <c r="IA652" s="15">
        <f>BB652</f>
        <v>346.15384615384613</v>
      </c>
    </row>
    <row r="653" spans="1:235" s="15" customFormat="1" x14ac:dyDescent="0.25">
      <c r="A653" s="31">
        <v>651</v>
      </c>
      <c r="B653" s="1">
        <v>95</v>
      </c>
      <c r="C653" s="1">
        <v>113</v>
      </c>
      <c r="D653" s="15" t="s">
        <v>1505</v>
      </c>
      <c r="E653" s="1">
        <v>1</v>
      </c>
      <c r="F653" s="15" t="s">
        <v>761</v>
      </c>
      <c r="G653" s="15" t="s">
        <v>1427</v>
      </c>
      <c r="H653" s="15" t="s">
        <v>1428</v>
      </c>
      <c r="I653" s="1">
        <v>2004</v>
      </c>
      <c r="J653" s="15" t="s">
        <v>1263</v>
      </c>
      <c r="K653" s="1" t="s">
        <v>1429</v>
      </c>
      <c r="L653" s="15" t="s">
        <v>1362</v>
      </c>
      <c r="M653" s="15" t="s">
        <v>480</v>
      </c>
      <c r="N653" s="15" t="s">
        <v>520</v>
      </c>
      <c r="O653" s="31">
        <v>2</v>
      </c>
      <c r="P653" s="15">
        <v>29.17</v>
      </c>
      <c r="Q653" s="15">
        <v>119.18</v>
      </c>
      <c r="S653" s="15">
        <v>1333</v>
      </c>
      <c r="T653" s="15">
        <v>17.100000000000001</v>
      </c>
      <c r="U653" s="15" t="s">
        <v>549</v>
      </c>
      <c r="V653" s="31">
        <v>1</v>
      </c>
      <c r="W653" s="15" t="s">
        <v>1430</v>
      </c>
      <c r="X653" s="15" t="s">
        <v>1147</v>
      </c>
      <c r="Y653" s="1">
        <v>5</v>
      </c>
      <c r="Z653" s="15">
        <v>4.8600000000000003</v>
      </c>
      <c r="AA653" s="15" t="s">
        <v>574</v>
      </c>
      <c r="AB653" s="15">
        <f t="shared" si="564"/>
        <v>4.8600000000000003</v>
      </c>
      <c r="AC653" s="1">
        <v>2</v>
      </c>
      <c r="AD653" s="15">
        <v>3.3</v>
      </c>
      <c r="AF653" s="15">
        <v>5.76</v>
      </c>
      <c r="AH653" s="15">
        <v>6</v>
      </c>
      <c r="AJ653" s="15">
        <v>44.2</v>
      </c>
      <c r="AM653" s="1">
        <v>1</v>
      </c>
      <c r="AP653" s="15" t="s">
        <v>1431</v>
      </c>
      <c r="AQ653" s="1">
        <v>1</v>
      </c>
      <c r="AR653" s="1">
        <v>3</v>
      </c>
      <c r="AT653" s="15" t="s">
        <v>576</v>
      </c>
      <c r="AW653" s="15">
        <v>865.38461538461536</v>
      </c>
      <c r="AX653" s="15">
        <f t="shared" si="562"/>
        <v>865.38461538461536</v>
      </c>
      <c r="AY653" s="15" t="s">
        <v>766</v>
      </c>
      <c r="AZ653" s="15">
        <f t="shared" si="557"/>
        <v>865.38461538461536</v>
      </c>
      <c r="BA653" s="15">
        <f t="shared" si="558"/>
        <v>0.29535311105276973</v>
      </c>
      <c r="BB653" s="15">
        <f t="shared" si="559"/>
        <v>519.23076923076917</v>
      </c>
      <c r="FK653" s="16">
        <f t="shared" si="554"/>
        <v>4.9000000000000004</v>
      </c>
      <c r="FL653" s="16">
        <f t="shared" si="555"/>
        <v>5.68</v>
      </c>
      <c r="FM653" s="15">
        <v>4.9000000000000004</v>
      </c>
      <c r="FN653" s="15">
        <f t="shared" si="565"/>
        <v>0.24500000000000002</v>
      </c>
      <c r="FO653" s="15">
        <f>FN653*SQRT(AR653)</f>
        <v>0.42435244785437493</v>
      </c>
      <c r="FP653" s="15">
        <v>5.68</v>
      </c>
      <c r="FQ653" s="15">
        <f t="shared" si="551"/>
        <v>0.28399999999999997</v>
      </c>
      <c r="FR653" s="15">
        <f>FQ653*SQRT(AR653)</f>
        <v>0.49190242934956108</v>
      </c>
      <c r="FS653" s="15">
        <f t="shared" si="552"/>
        <v>1.1591836734693877</v>
      </c>
      <c r="FT653" s="15">
        <f t="shared" si="553"/>
        <v>0.77999999999999936</v>
      </c>
      <c r="FU653" s="15">
        <f t="shared" si="556"/>
        <v>0.14771602761647884</v>
      </c>
      <c r="FV653" s="15">
        <f>((FR653*FR653)/(AR653*FP653*FP653)+(FO653*FO653)/(AR653*FM653*FM653))</f>
        <v>4.9999999999999992E-3</v>
      </c>
      <c r="HE653" s="15">
        <v>1210</v>
      </c>
      <c r="HF653" s="15">
        <f t="shared" si="560"/>
        <v>60.5</v>
      </c>
      <c r="HG653" s="15">
        <f>HF653*SQRT(AR343)</f>
        <v>104.78907385791707</v>
      </c>
      <c r="HH653" s="15">
        <v>1660</v>
      </c>
      <c r="HI653" s="15">
        <f t="shared" si="561"/>
        <v>83</v>
      </c>
      <c r="HJ653" s="15">
        <f>HI653*SQRT(AR343)</f>
        <v>143.7602170282168</v>
      </c>
      <c r="HK653" s="15">
        <f t="shared" ref="HK653:HK710" si="566">HH653/HE653</f>
        <v>1.3719008264462811</v>
      </c>
      <c r="HL653" s="15">
        <f t="shared" ref="HL653:HL710" si="567">HH653-HE653</f>
        <v>450</v>
      </c>
      <c r="HM653" s="15">
        <f t="shared" ref="HM653:HM710" si="568">LN(HH653)-LN(HE653)</f>
        <v>0.31619724275980232</v>
      </c>
      <c r="HN653" s="15">
        <f>((HJ653*HJ653)/(AR343*HH653*HH653)+(HG653*HG653)/(AR343*HE653*HE653))</f>
        <v>4.9999999999999992E-3</v>
      </c>
      <c r="HP653" s="15" t="s">
        <v>766</v>
      </c>
      <c r="HV653" s="15">
        <f t="shared" ref="HV653:HV710" si="569">HX653/HW653/100</f>
        <v>16.421103634518417</v>
      </c>
      <c r="HW653" s="15">
        <f t="shared" ref="HW653:HW684" si="570">HM653</f>
        <v>0.31619724275980232</v>
      </c>
      <c r="HX653" s="15">
        <f>BB653</f>
        <v>519.23076923076917</v>
      </c>
      <c r="HY653" s="15">
        <f>AZ653</f>
        <v>865.38461538461536</v>
      </c>
      <c r="HZ653" s="15">
        <f>BA653</f>
        <v>0.29535311105276973</v>
      </c>
      <c r="IA653" s="15">
        <f>BB653</f>
        <v>519.23076923076917</v>
      </c>
    </row>
    <row r="654" spans="1:235" s="15" customFormat="1" x14ac:dyDescent="0.25">
      <c r="A654" s="31">
        <v>652</v>
      </c>
      <c r="B654" s="1">
        <v>95</v>
      </c>
      <c r="C654" s="1">
        <v>113</v>
      </c>
      <c r="D654" s="15" t="s">
        <v>1506</v>
      </c>
      <c r="E654" s="1">
        <v>1</v>
      </c>
      <c r="F654" s="15" t="s">
        <v>761</v>
      </c>
      <c r="G654" s="15" t="s">
        <v>1427</v>
      </c>
      <c r="H654" s="15" t="s">
        <v>1428</v>
      </c>
      <c r="I654" s="1">
        <v>2004</v>
      </c>
      <c r="J654" s="15" t="s">
        <v>1263</v>
      </c>
      <c r="K654" s="1" t="s">
        <v>1429</v>
      </c>
      <c r="L654" s="15" t="s">
        <v>1362</v>
      </c>
      <c r="M654" s="15" t="s">
        <v>480</v>
      </c>
      <c r="N654" s="15" t="s">
        <v>520</v>
      </c>
      <c r="O654" s="31">
        <v>2</v>
      </c>
      <c r="P654" s="15">
        <v>29.17</v>
      </c>
      <c r="Q654" s="15">
        <v>119.18</v>
      </c>
      <c r="S654" s="15">
        <v>1333</v>
      </c>
      <c r="T654" s="15">
        <v>17.100000000000001</v>
      </c>
      <c r="U654" s="15" t="s">
        <v>549</v>
      </c>
      <c r="V654" s="31">
        <v>1</v>
      </c>
      <c r="W654" s="15" t="s">
        <v>1430</v>
      </c>
      <c r="X654" s="15" t="s">
        <v>1147</v>
      </c>
      <c r="Y654" s="1">
        <v>5</v>
      </c>
      <c r="Z654" s="15">
        <v>4.8600000000000003</v>
      </c>
      <c r="AA654" s="15" t="s">
        <v>574</v>
      </c>
      <c r="AB654" s="15">
        <f t="shared" si="564"/>
        <v>4.8600000000000003</v>
      </c>
      <c r="AC654" s="1">
        <v>2</v>
      </c>
      <c r="AD654" s="15">
        <v>3.3</v>
      </c>
      <c r="AF654" s="15">
        <v>5.76</v>
      </c>
      <c r="AH654" s="15">
        <v>6</v>
      </c>
      <c r="AJ654" s="15">
        <v>44.2</v>
      </c>
      <c r="AM654" s="1">
        <v>1</v>
      </c>
      <c r="AP654" s="15" t="s">
        <v>1431</v>
      </c>
      <c r="AQ654" s="1">
        <v>1</v>
      </c>
      <c r="AR654" s="1">
        <v>3</v>
      </c>
      <c r="AT654" s="15" t="s">
        <v>576</v>
      </c>
      <c r="AW654" s="15">
        <v>1153.8461538461538</v>
      </c>
      <c r="AX654" s="15">
        <f t="shared" si="562"/>
        <v>1153.8461538461538</v>
      </c>
      <c r="AY654" s="15" t="s">
        <v>766</v>
      </c>
      <c r="AZ654" s="15">
        <f t="shared" si="557"/>
        <v>1153.8461538461538</v>
      </c>
      <c r="BA654" s="15">
        <f t="shared" si="558"/>
        <v>0.39380414807035963</v>
      </c>
      <c r="BB654" s="15">
        <f t="shared" si="559"/>
        <v>692.30769230769226</v>
      </c>
      <c r="FK654" s="16">
        <f t="shared" si="554"/>
        <v>4.9000000000000004</v>
      </c>
      <c r="FL654" s="16">
        <f t="shared" si="555"/>
        <v>5.84</v>
      </c>
      <c r="FM654" s="15">
        <v>4.9000000000000004</v>
      </c>
      <c r="FN654" s="15">
        <f t="shared" si="565"/>
        <v>0.24500000000000002</v>
      </c>
      <c r="FO654" s="15">
        <f>FN654*SQRT(AR654)</f>
        <v>0.42435244785437493</v>
      </c>
      <c r="FP654" s="15">
        <v>5.84</v>
      </c>
      <c r="FQ654" s="15">
        <f t="shared" si="551"/>
        <v>0.29199999999999998</v>
      </c>
      <c r="FR654" s="15">
        <f>FQ654*SQRT(AR654)</f>
        <v>0.50575883581011216</v>
      </c>
      <c r="FS654" s="15">
        <f t="shared" si="552"/>
        <v>1.1918367346938774</v>
      </c>
      <c r="FT654" s="15">
        <f t="shared" si="553"/>
        <v>0.9399999999999995</v>
      </c>
      <c r="FU654" s="15">
        <f t="shared" si="556"/>
        <v>0.17549559172355456</v>
      </c>
      <c r="FV654" s="15">
        <f>((FR654*FR654)/(AR654*FP654*FP654)+(FO654*FO654)/(AR654*FM654*FM654))</f>
        <v>4.9999999999999992E-3</v>
      </c>
      <c r="HE654" s="15">
        <v>1210</v>
      </c>
      <c r="HF654" s="15">
        <f t="shared" si="560"/>
        <v>60.5</v>
      </c>
      <c r="HG654" s="15">
        <f>HF654*SQRT(AR344)</f>
        <v>104.78907385791707</v>
      </c>
      <c r="HH654" s="15">
        <v>2050</v>
      </c>
      <c r="HI654" s="15">
        <f t="shared" si="561"/>
        <v>102.5</v>
      </c>
      <c r="HJ654" s="15">
        <f>HI654*SQRT(AR344)</f>
        <v>177.53520777580991</v>
      </c>
      <c r="HK654" s="15">
        <f t="shared" si="566"/>
        <v>1.6942148760330578</v>
      </c>
      <c r="HL654" s="15">
        <f t="shared" si="567"/>
        <v>840</v>
      </c>
      <c r="HM654" s="15">
        <f t="shared" si="568"/>
        <v>0.52721943354166712</v>
      </c>
      <c r="HN654" s="15">
        <f>((HJ654*HJ654)/(AR344*HH654*HH654)+(HG654*HG654)/(AR344*HE654*HE654))</f>
        <v>4.9999999999999992E-3</v>
      </c>
      <c r="HP654" s="15" t="s">
        <v>766</v>
      </c>
      <c r="HV654" s="15">
        <f t="shared" si="569"/>
        <v>13.131300712058785</v>
      </c>
      <c r="HW654" s="15">
        <f t="shared" si="570"/>
        <v>0.52721943354166712</v>
      </c>
      <c r="HX654" s="15">
        <f>BB654</f>
        <v>692.30769230769226</v>
      </c>
      <c r="HY654" s="15">
        <f>AZ654</f>
        <v>1153.8461538461538</v>
      </c>
      <c r="HZ654" s="15">
        <f>BA654</f>
        <v>0.39380414807035963</v>
      </c>
      <c r="IA654" s="15">
        <f>BB654</f>
        <v>692.30769230769226</v>
      </c>
    </row>
    <row r="655" spans="1:235" s="15" customFormat="1" x14ac:dyDescent="0.25">
      <c r="A655" s="31">
        <v>653</v>
      </c>
      <c r="B655" s="1">
        <v>95</v>
      </c>
      <c r="C655" s="1">
        <v>113</v>
      </c>
      <c r="D655" s="15" t="s">
        <v>1507</v>
      </c>
      <c r="E655" s="1">
        <v>1</v>
      </c>
      <c r="F655" s="15" t="s">
        <v>761</v>
      </c>
      <c r="G655" s="15" t="s">
        <v>1427</v>
      </c>
      <c r="H655" s="15" t="s">
        <v>1428</v>
      </c>
      <c r="I655" s="1">
        <v>2004</v>
      </c>
      <c r="J655" s="15" t="s">
        <v>1263</v>
      </c>
      <c r="K655" s="1" t="s">
        <v>1429</v>
      </c>
      <c r="L655" s="15" t="s">
        <v>1362</v>
      </c>
      <c r="M655" s="15" t="s">
        <v>480</v>
      </c>
      <c r="N655" s="15" t="s">
        <v>520</v>
      </c>
      <c r="O655" s="31">
        <v>2</v>
      </c>
      <c r="P655" s="15">
        <v>29.17</v>
      </c>
      <c r="Q655" s="15">
        <v>119.18</v>
      </c>
      <c r="S655" s="15">
        <v>1333</v>
      </c>
      <c r="T655" s="15">
        <v>17.100000000000001</v>
      </c>
      <c r="U655" s="15" t="s">
        <v>549</v>
      </c>
      <c r="V655" s="31">
        <v>1</v>
      </c>
      <c r="W655" s="15" t="s">
        <v>1430</v>
      </c>
      <c r="X655" s="15" t="s">
        <v>1195</v>
      </c>
      <c r="Y655" s="1">
        <v>5</v>
      </c>
      <c r="Z655" s="15">
        <v>4.8600000000000003</v>
      </c>
      <c r="AA655" s="15" t="s">
        <v>574</v>
      </c>
      <c r="AB655" s="15">
        <f t="shared" si="564"/>
        <v>4.8600000000000003</v>
      </c>
      <c r="AC655" s="1">
        <v>2</v>
      </c>
      <c r="AD655" s="15">
        <v>3.3</v>
      </c>
      <c r="AF655" s="15">
        <v>5.76</v>
      </c>
      <c r="AH655" s="15">
        <v>6</v>
      </c>
      <c r="AJ655" s="15">
        <v>44.2</v>
      </c>
      <c r="AM655" s="1">
        <v>1</v>
      </c>
      <c r="AP655" s="15" t="s">
        <v>1431</v>
      </c>
      <c r="AQ655" s="1">
        <v>1</v>
      </c>
      <c r="AR655" s="1">
        <v>3</v>
      </c>
      <c r="AT655" s="15" t="s">
        <v>576</v>
      </c>
      <c r="AW655" s="15">
        <f>AW555/14</f>
        <v>267.85714285714283</v>
      </c>
      <c r="AX655" s="15">
        <f t="shared" si="562"/>
        <v>267.85714285714283</v>
      </c>
      <c r="AY655" s="15" t="s">
        <v>766</v>
      </c>
      <c r="AZ655" s="15">
        <f t="shared" si="557"/>
        <v>267.85714285714283</v>
      </c>
      <c r="BA655" s="15">
        <f t="shared" si="558"/>
        <v>9.1418820087762059E-2</v>
      </c>
      <c r="BB655" s="15">
        <f t="shared" si="559"/>
        <v>160.71428571428569</v>
      </c>
      <c r="FK655" s="16">
        <f t="shared" si="554"/>
        <v>4.91</v>
      </c>
      <c r="FL655" s="16">
        <f t="shared" si="555"/>
        <v>5.1100000000000003</v>
      </c>
      <c r="FM655" s="15">
        <v>4.91</v>
      </c>
      <c r="FN655" s="15">
        <f t="shared" si="565"/>
        <v>0.24550000000000002</v>
      </c>
      <c r="FO655" s="15">
        <f>FN655*SQRT(AR655)</f>
        <v>0.42521847325815937</v>
      </c>
      <c r="FP655" s="15">
        <v>5.1100000000000003</v>
      </c>
      <c r="FQ655" s="15">
        <f t="shared" si="551"/>
        <v>0.2555</v>
      </c>
      <c r="FR655" s="15">
        <f>FQ655*SQRT(AR655)</f>
        <v>0.44253898133384811</v>
      </c>
      <c r="FS655" s="15">
        <f t="shared" si="552"/>
        <v>1.0407331975560081</v>
      </c>
      <c r="FT655" s="15">
        <f t="shared" si="553"/>
        <v>0.20000000000000018</v>
      </c>
      <c r="FU655" s="15">
        <f t="shared" si="556"/>
        <v>3.9925462409183821E-2</v>
      </c>
      <c r="FV655" s="15">
        <f>((FR655*FR655)/(AR655*FP655*FP655)+(FO655*FO655)/(AR655*FM655*FM655))</f>
        <v>4.9999999999999992E-3</v>
      </c>
      <c r="HE655" s="15">
        <v>770</v>
      </c>
      <c r="HF655" s="15">
        <f t="shared" si="560"/>
        <v>38.5</v>
      </c>
      <c r="HG655" s="15">
        <f>HF655*SQRT(AR345)</f>
        <v>66.683956091401768</v>
      </c>
      <c r="HH655" s="15">
        <v>890</v>
      </c>
      <c r="HI655" s="15">
        <f t="shared" si="561"/>
        <v>44.5</v>
      </c>
      <c r="HJ655" s="15">
        <f>HI655*SQRT(AR345)</f>
        <v>77.076260936815032</v>
      </c>
      <c r="HK655" s="15">
        <f t="shared" si="566"/>
        <v>1.1558441558441559</v>
      </c>
      <c r="HL655" s="15">
        <f t="shared" si="567"/>
        <v>120</v>
      </c>
      <c r="HM655" s="15">
        <f t="shared" si="568"/>
        <v>0.14483094787845641</v>
      </c>
      <c r="HN655" s="15">
        <f>((HJ655*HJ655)/(AR345*HH655*HH655)+(HG655*HG655)/(AR345*HE655*HE655))</f>
        <v>4.9999999999999992E-3</v>
      </c>
      <c r="HP655" s="15" t="s">
        <v>766</v>
      </c>
      <c r="HV655" s="15">
        <f t="shared" si="569"/>
        <v>11.096681204431441</v>
      </c>
      <c r="HW655" s="15">
        <f t="shared" si="570"/>
        <v>0.14483094787845641</v>
      </c>
      <c r="HX655" s="15">
        <f>BB655</f>
        <v>160.71428571428569</v>
      </c>
      <c r="HY655" s="15">
        <f>AZ655</f>
        <v>267.85714285714283</v>
      </c>
      <c r="HZ655" s="15">
        <f>BA655</f>
        <v>9.1418820087762059E-2</v>
      </c>
      <c r="IA655" s="15">
        <f>BB655</f>
        <v>160.71428571428569</v>
      </c>
    </row>
    <row r="656" spans="1:235" s="15" customFormat="1" x14ac:dyDescent="0.25">
      <c r="A656" s="31">
        <v>654</v>
      </c>
      <c r="B656" s="1">
        <v>95</v>
      </c>
      <c r="C656" s="1">
        <v>113</v>
      </c>
      <c r="D656" s="15" t="s">
        <v>1508</v>
      </c>
      <c r="E656" s="1">
        <v>1</v>
      </c>
      <c r="F656" s="15" t="s">
        <v>761</v>
      </c>
      <c r="G656" s="15" t="s">
        <v>1427</v>
      </c>
      <c r="H656" s="15" t="s">
        <v>1428</v>
      </c>
      <c r="I656" s="1">
        <v>2004</v>
      </c>
      <c r="J656" s="15" t="s">
        <v>1263</v>
      </c>
      <c r="K656" s="1" t="s">
        <v>1429</v>
      </c>
      <c r="L656" s="15" t="s">
        <v>1362</v>
      </c>
      <c r="M656" s="15" t="s">
        <v>480</v>
      </c>
      <c r="N656" s="15" t="s">
        <v>520</v>
      </c>
      <c r="O656" s="31">
        <v>2</v>
      </c>
      <c r="P656" s="15">
        <v>29.17</v>
      </c>
      <c r="Q656" s="15">
        <v>119.18</v>
      </c>
      <c r="S656" s="15">
        <v>1333</v>
      </c>
      <c r="T656" s="15">
        <v>17.100000000000001</v>
      </c>
      <c r="U656" s="15" t="s">
        <v>549</v>
      </c>
      <c r="V656" s="31">
        <v>1</v>
      </c>
      <c r="W656" s="15" t="s">
        <v>1430</v>
      </c>
      <c r="X656" s="15" t="s">
        <v>1195</v>
      </c>
      <c r="Y656" s="1">
        <v>5</v>
      </c>
      <c r="Z656" s="15">
        <v>4.8600000000000003</v>
      </c>
      <c r="AA656" s="15" t="s">
        <v>574</v>
      </c>
      <c r="AB656" s="15">
        <f t="shared" si="564"/>
        <v>4.8600000000000003</v>
      </c>
      <c r="AC656" s="1">
        <v>2</v>
      </c>
      <c r="AD656" s="15">
        <v>3.3</v>
      </c>
      <c r="AF656" s="15">
        <v>5.76</v>
      </c>
      <c r="AH656" s="15">
        <v>6</v>
      </c>
      <c r="AJ656" s="15">
        <v>44.2</v>
      </c>
      <c r="AM656" s="1">
        <v>1</v>
      </c>
      <c r="AP656" s="15" t="s">
        <v>1431</v>
      </c>
      <c r="AQ656" s="1">
        <v>1</v>
      </c>
      <c r="AR656" s="1">
        <v>3</v>
      </c>
      <c r="AT656" s="15" t="s">
        <v>576</v>
      </c>
      <c r="AW656" s="15">
        <f>AW556/14</f>
        <v>535.71428571428567</v>
      </c>
      <c r="AX656" s="15">
        <f t="shared" si="562"/>
        <v>535.71428571428567</v>
      </c>
      <c r="AY656" s="15" t="s">
        <v>766</v>
      </c>
      <c r="AZ656" s="15">
        <f t="shared" si="557"/>
        <v>535.71428571428567</v>
      </c>
      <c r="BA656" s="15">
        <f t="shared" si="558"/>
        <v>0.18283764017552412</v>
      </c>
      <c r="BB656" s="15">
        <f t="shared" si="559"/>
        <v>321.42857142857139</v>
      </c>
      <c r="FK656" s="16">
        <f t="shared" si="554"/>
        <v>4.91</v>
      </c>
      <c r="FL656" s="16">
        <f t="shared" si="555"/>
        <v>5.27</v>
      </c>
      <c r="FM656" s="15">
        <v>4.91</v>
      </c>
      <c r="FN656" s="15">
        <f t="shared" si="565"/>
        <v>0.24550000000000002</v>
      </c>
      <c r="FO656" s="15">
        <f>FN656*SQRT(AR656)</f>
        <v>0.42521847325815937</v>
      </c>
      <c r="FP656" s="15">
        <v>5.27</v>
      </c>
      <c r="FQ656" s="15">
        <f t="shared" si="551"/>
        <v>0.26350000000000001</v>
      </c>
      <c r="FR656" s="15">
        <f>FQ656*SQRT(AR656)</f>
        <v>0.45639538779439914</v>
      </c>
      <c r="FS656" s="15">
        <f t="shared" si="552"/>
        <v>1.0733197556008145</v>
      </c>
      <c r="FT656" s="15">
        <f t="shared" si="553"/>
        <v>0.35999999999999943</v>
      </c>
      <c r="FU656" s="15">
        <f t="shared" si="556"/>
        <v>7.0756420746841631E-2</v>
      </c>
      <c r="FV656" s="15">
        <f>((FR656*FR656)/(AR656*FP656*FP656)+(FO656*FO656)/(AR656*FM656*FM656))</f>
        <v>4.9999999999999992E-3</v>
      </c>
      <c r="HE656" s="15">
        <v>770</v>
      </c>
      <c r="HF656" s="15">
        <f t="shared" si="560"/>
        <v>38.5</v>
      </c>
      <c r="HG656" s="15">
        <f>HF656*SQRT(AR346)</f>
        <v>66.683956091401768</v>
      </c>
      <c r="HH656" s="15">
        <v>920</v>
      </c>
      <c r="HI656" s="15">
        <f t="shared" si="561"/>
        <v>46</v>
      </c>
      <c r="HJ656" s="15">
        <f>HI656*SQRT(AR346)</f>
        <v>79.674337148168348</v>
      </c>
      <c r="HK656" s="15">
        <f t="shared" si="566"/>
        <v>1.1948051948051948</v>
      </c>
      <c r="HL656" s="15">
        <f t="shared" si="567"/>
        <v>150</v>
      </c>
      <c r="HM656" s="15">
        <f t="shared" si="568"/>
        <v>0.17798315519535723</v>
      </c>
      <c r="HN656" s="15">
        <f>((HJ656*HJ656)/(AR346*HH656*HH656)+(HG656*HG656)/(AR346*HE656*HE656))</f>
        <v>4.9999999999999992E-3</v>
      </c>
      <c r="HP656" s="15" t="s">
        <v>766</v>
      </c>
      <c r="HV656" s="15">
        <f t="shared" si="569"/>
        <v>18.059493949063107</v>
      </c>
      <c r="HW656" s="15">
        <f t="shared" si="570"/>
        <v>0.17798315519535723</v>
      </c>
      <c r="HX656" s="15">
        <f>BB656</f>
        <v>321.42857142857139</v>
      </c>
      <c r="HY656" s="15">
        <f>AZ656</f>
        <v>535.71428571428567</v>
      </c>
      <c r="HZ656" s="15">
        <f>BA656</f>
        <v>0.18283764017552412</v>
      </c>
      <c r="IA656" s="15">
        <f>BB656</f>
        <v>321.42857142857139</v>
      </c>
    </row>
    <row r="657" spans="1:235" s="15" customFormat="1" x14ac:dyDescent="0.25">
      <c r="A657" s="31">
        <v>655</v>
      </c>
      <c r="B657" s="1">
        <v>95</v>
      </c>
      <c r="C657" s="1">
        <v>113</v>
      </c>
      <c r="D657" s="15" t="s">
        <v>1509</v>
      </c>
      <c r="E657" s="1">
        <v>1</v>
      </c>
      <c r="F657" s="15" t="s">
        <v>761</v>
      </c>
      <c r="G657" s="15" t="s">
        <v>1427</v>
      </c>
      <c r="H657" s="15" t="s">
        <v>1428</v>
      </c>
      <c r="I657" s="1">
        <v>2004</v>
      </c>
      <c r="J657" s="15" t="s">
        <v>1263</v>
      </c>
      <c r="K657" s="1" t="s">
        <v>1429</v>
      </c>
      <c r="L657" s="15" t="s">
        <v>1362</v>
      </c>
      <c r="M657" s="15" t="s">
        <v>480</v>
      </c>
      <c r="N657" s="15" t="s">
        <v>520</v>
      </c>
      <c r="O657" s="31">
        <v>2</v>
      </c>
      <c r="P657" s="15">
        <v>29.17</v>
      </c>
      <c r="Q657" s="15">
        <v>119.18</v>
      </c>
      <c r="S657" s="15">
        <v>1333</v>
      </c>
      <c r="T657" s="15">
        <v>17.100000000000001</v>
      </c>
      <c r="U657" s="15" t="s">
        <v>549</v>
      </c>
      <c r="V657" s="31">
        <v>1</v>
      </c>
      <c r="W657" s="15" t="s">
        <v>1430</v>
      </c>
      <c r="X657" s="15" t="s">
        <v>1195</v>
      </c>
      <c r="Y657" s="1">
        <v>5</v>
      </c>
      <c r="Z657" s="15">
        <v>4.8600000000000003</v>
      </c>
      <c r="AA657" s="15" t="s">
        <v>574</v>
      </c>
      <c r="AB657" s="15">
        <f t="shared" si="564"/>
        <v>4.8600000000000003</v>
      </c>
      <c r="AC657" s="1">
        <v>2</v>
      </c>
      <c r="AD657" s="15">
        <v>3.3</v>
      </c>
      <c r="AF657" s="15">
        <v>5.76</v>
      </c>
      <c r="AH657" s="15">
        <v>6</v>
      </c>
      <c r="AJ657" s="15">
        <v>44.2</v>
      </c>
      <c r="AM657" s="1">
        <v>1</v>
      </c>
      <c r="AP657" s="15" t="s">
        <v>1431</v>
      </c>
      <c r="AQ657" s="1">
        <v>1</v>
      </c>
      <c r="AR657" s="1">
        <v>3</v>
      </c>
      <c r="AT657" s="15" t="s">
        <v>576</v>
      </c>
      <c r="AW657" s="15">
        <f>AW557/14</f>
        <v>803.57142857142856</v>
      </c>
      <c r="AX657" s="15">
        <f t="shared" si="562"/>
        <v>803.57142857142856</v>
      </c>
      <c r="AY657" s="15" t="s">
        <v>766</v>
      </c>
      <c r="AZ657" s="15">
        <f t="shared" si="557"/>
        <v>803.57142857142856</v>
      </c>
      <c r="BA657" s="15">
        <f t="shared" si="558"/>
        <v>0.27425646026328615</v>
      </c>
      <c r="BB657" s="15">
        <f t="shared" si="559"/>
        <v>482.14285714285711</v>
      </c>
      <c r="FK657" s="16">
        <f t="shared" si="554"/>
        <v>4.91</v>
      </c>
      <c r="FL657" s="16">
        <f t="shared" si="555"/>
        <v>5.53</v>
      </c>
      <c r="FM657" s="15">
        <v>4.91</v>
      </c>
      <c r="FN657" s="15">
        <f t="shared" si="565"/>
        <v>0.24550000000000002</v>
      </c>
      <c r="FO657" s="15">
        <f>FN657*SQRT(AR657)</f>
        <v>0.42521847325815937</v>
      </c>
      <c r="FP657" s="15">
        <v>5.53</v>
      </c>
      <c r="FQ657" s="15">
        <f t="shared" si="551"/>
        <v>0.27650000000000002</v>
      </c>
      <c r="FR657" s="15">
        <f>FQ657*SQRT(AR657)</f>
        <v>0.4789120482927946</v>
      </c>
      <c r="FS657" s="15">
        <f t="shared" si="552"/>
        <v>1.1262729124236253</v>
      </c>
      <c r="FT657" s="15">
        <f t="shared" si="553"/>
        <v>0.62000000000000011</v>
      </c>
      <c r="FU657" s="15">
        <f t="shared" si="556"/>
        <v>0.11891387372781415</v>
      </c>
      <c r="FV657" s="15">
        <f>((FR657*FR657)/(AR657*FP657*FP657)+(FO657*FO657)/(AR657*FM657*FM657))</f>
        <v>5.0000000000000001E-3</v>
      </c>
      <c r="HE657" s="15">
        <v>770</v>
      </c>
      <c r="HF657" s="15">
        <f t="shared" si="560"/>
        <v>38.5</v>
      </c>
      <c r="HG657" s="15">
        <f>HF657*SQRT(AR347)</f>
        <v>66.683956091401768</v>
      </c>
      <c r="HH657" s="15">
        <v>1000</v>
      </c>
      <c r="HI657" s="15">
        <f t="shared" si="561"/>
        <v>50</v>
      </c>
      <c r="HJ657" s="15">
        <f>HI657*SQRT(AR347)</f>
        <v>86.602540378443862</v>
      </c>
      <c r="HK657" s="15">
        <f t="shared" si="566"/>
        <v>1.2987012987012987</v>
      </c>
      <c r="HL657" s="15">
        <f t="shared" si="567"/>
        <v>230</v>
      </c>
      <c r="HM657" s="15">
        <f t="shared" si="568"/>
        <v>0.26136476413440768</v>
      </c>
      <c r="HN657" s="15">
        <f>((HJ657*HJ657)/(AR347*HH657*HH657)+(HG657*HG657)/(AR347*HE657*HE657))</f>
        <v>4.9999999999999992E-3</v>
      </c>
      <c r="HP657" s="15" t="s">
        <v>766</v>
      </c>
      <c r="HV657" s="15">
        <f t="shared" si="569"/>
        <v>18.447125370538224</v>
      </c>
      <c r="HW657" s="15">
        <f t="shared" si="570"/>
        <v>0.26136476413440768</v>
      </c>
      <c r="HX657" s="15">
        <f>BB657</f>
        <v>482.14285714285711</v>
      </c>
      <c r="HY657" s="15">
        <f>AZ657</f>
        <v>803.57142857142856</v>
      </c>
      <c r="HZ657" s="15">
        <f>BA657</f>
        <v>0.27425646026328615</v>
      </c>
      <c r="IA657" s="15">
        <f>BB657</f>
        <v>482.14285714285711</v>
      </c>
    </row>
    <row r="658" spans="1:235" s="15" customFormat="1" x14ac:dyDescent="0.25">
      <c r="A658" s="31">
        <v>656</v>
      </c>
      <c r="B658" s="1">
        <v>95</v>
      </c>
      <c r="C658" s="1">
        <v>113</v>
      </c>
      <c r="D658" s="15" t="s">
        <v>1510</v>
      </c>
      <c r="E658" s="1">
        <v>1</v>
      </c>
      <c r="F658" s="15" t="s">
        <v>761</v>
      </c>
      <c r="G658" s="15" t="s">
        <v>1427</v>
      </c>
      <c r="H658" s="15" t="s">
        <v>1428</v>
      </c>
      <c r="I658" s="1">
        <v>2004</v>
      </c>
      <c r="J658" s="15" t="s">
        <v>1263</v>
      </c>
      <c r="K658" s="1" t="s">
        <v>1429</v>
      </c>
      <c r="L658" s="15" t="s">
        <v>1362</v>
      </c>
      <c r="M658" s="15" t="s">
        <v>480</v>
      </c>
      <c r="N658" s="15" t="s">
        <v>520</v>
      </c>
      <c r="O658" s="31">
        <v>2</v>
      </c>
      <c r="P658" s="15">
        <v>29.17</v>
      </c>
      <c r="Q658" s="15">
        <v>119.18</v>
      </c>
      <c r="S658" s="15">
        <v>1333</v>
      </c>
      <c r="T658" s="15">
        <v>17.100000000000001</v>
      </c>
      <c r="U658" s="15" t="s">
        <v>549</v>
      </c>
      <c r="V658" s="31">
        <v>1</v>
      </c>
      <c r="W658" s="15" t="s">
        <v>1430</v>
      </c>
      <c r="X658" s="15" t="s">
        <v>1195</v>
      </c>
      <c r="Y658" s="1">
        <v>5</v>
      </c>
      <c r="Z658" s="15">
        <v>4.8600000000000003</v>
      </c>
      <c r="AA658" s="15" t="s">
        <v>574</v>
      </c>
      <c r="AB658" s="15">
        <f t="shared" si="564"/>
        <v>4.8600000000000003</v>
      </c>
      <c r="AC658" s="1">
        <v>2</v>
      </c>
      <c r="AD658" s="15">
        <v>3.3</v>
      </c>
      <c r="AF658" s="15">
        <v>5.76</v>
      </c>
      <c r="AH658" s="15">
        <v>6</v>
      </c>
      <c r="AJ658" s="15">
        <v>44.2</v>
      </c>
      <c r="AM658" s="1">
        <v>1</v>
      </c>
      <c r="AP658" s="15" t="s">
        <v>1431</v>
      </c>
      <c r="AQ658" s="1">
        <v>1</v>
      </c>
      <c r="AR658" s="1">
        <v>3</v>
      </c>
      <c r="AT658" s="15" t="s">
        <v>576</v>
      </c>
      <c r="AW658" s="15">
        <f>AW558/14</f>
        <v>1071.4285714285713</v>
      </c>
      <c r="AX658" s="15">
        <f t="shared" si="562"/>
        <v>1071.4285714285713</v>
      </c>
      <c r="AY658" s="15" t="s">
        <v>766</v>
      </c>
      <c r="AZ658" s="15">
        <f t="shared" si="557"/>
        <v>1071.4285714285713</v>
      </c>
      <c r="BA658" s="15">
        <f t="shared" si="558"/>
        <v>0.36567528035104824</v>
      </c>
      <c r="BB658" s="15">
        <f t="shared" si="559"/>
        <v>642.85714285714278</v>
      </c>
      <c r="FK658" s="16">
        <f t="shared" si="554"/>
        <v>4.91</v>
      </c>
      <c r="FL658" s="16">
        <f t="shared" si="555"/>
        <v>5.66</v>
      </c>
      <c r="FM658" s="15">
        <v>4.91</v>
      </c>
      <c r="FN658" s="15">
        <f t="shared" si="565"/>
        <v>0.24550000000000002</v>
      </c>
      <c r="FO658" s="15">
        <f>FN658*SQRT(AR658)</f>
        <v>0.42521847325815937</v>
      </c>
      <c r="FP658" s="15">
        <v>5.66</v>
      </c>
      <c r="FQ658" s="15">
        <f t="shared" si="551"/>
        <v>0.28300000000000003</v>
      </c>
      <c r="FR658" s="15">
        <f>FQ658*SQRT(AR658)</f>
        <v>0.4901703785419923</v>
      </c>
      <c r="FS658" s="15">
        <f t="shared" si="552"/>
        <v>1.1527494908350306</v>
      </c>
      <c r="FT658" s="15">
        <f t="shared" si="553"/>
        <v>0.75</v>
      </c>
      <c r="FU658" s="15">
        <f t="shared" si="556"/>
        <v>0.1421499504086623</v>
      </c>
      <c r="FV658" s="15">
        <f>((FR658*FR658)/(AR658*FP658*FP658)+(FO658*FO658)/(AR658*FM658*FM658))</f>
        <v>4.9999999999999992E-3</v>
      </c>
      <c r="HE658" s="15">
        <v>770</v>
      </c>
      <c r="HF658" s="15">
        <f t="shared" si="560"/>
        <v>38.5</v>
      </c>
      <c r="HG658" s="15">
        <f>HF658*SQRT(AR348)</f>
        <v>66.683956091401768</v>
      </c>
      <c r="HH658" s="15">
        <v>1070</v>
      </c>
      <c r="HI658" s="15">
        <f t="shared" si="561"/>
        <v>53.5</v>
      </c>
      <c r="HJ658" s="15">
        <f>HI658*SQRT(AR348)</f>
        <v>92.664718204934928</v>
      </c>
      <c r="HK658" s="15">
        <f t="shared" si="566"/>
        <v>1.3896103896103895</v>
      </c>
      <c r="HL658" s="15">
        <f t="shared" si="567"/>
        <v>300</v>
      </c>
      <c r="HM658" s="15">
        <f t="shared" si="568"/>
        <v>0.32902341260822254</v>
      </c>
      <c r="HN658" s="15">
        <f>((HJ658*HJ658)/(AR348*HH658*HH658)+(HG658*HG658)/(AR348*HE658*HE658))</f>
        <v>4.9999999999999992E-3</v>
      </c>
      <c r="HP658" s="15" t="s">
        <v>766</v>
      </c>
      <c r="HV658" s="15">
        <f t="shared" si="569"/>
        <v>19.538340380130059</v>
      </c>
      <c r="HW658" s="15">
        <f t="shared" si="570"/>
        <v>0.32902341260822254</v>
      </c>
      <c r="HX658" s="15">
        <f>BB658</f>
        <v>642.85714285714278</v>
      </c>
      <c r="HY658" s="15">
        <f>AZ658</f>
        <v>1071.4285714285713</v>
      </c>
      <c r="HZ658" s="15">
        <f>BA658</f>
        <v>0.36567528035104824</v>
      </c>
      <c r="IA658" s="15">
        <f>BB658</f>
        <v>642.85714285714278</v>
      </c>
    </row>
    <row r="659" spans="1:235" s="15" customFormat="1" x14ac:dyDescent="0.25">
      <c r="A659" s="31">
        <v>657</v>
      </c>
      <c r="B659" s="1">
        <v>95</v>
      </c>
      <c r="C659" s="1">
        <v>113</v>
      </c>
      <c r="D659" s="15" t="s">
        <v>1511</v>
      </c>
      <c r="E659" s="1">
        <v>1</v>
      </c>
      <c r="F659" s="15" t="s">
        <v>761</v>
      </c>
      <c r="G659" s="15" t="s">
        <v>1427</v>
      </c>
      <c r="H659" s="15" t="s">
        <v>1428</v>
      </c>
      <c r="I659" s="1">
        <v>2004</v>
      </c>
      <c r="J659" s="15" t="s">
        <v>1263</v>
      </c>
      <c r="K659" s="1" t="s">
        <v>1429</v>
      </c>
      <c r="L659" s="15" t="s">
        <v>1362</v>
      </c>
      <c r="M659" s="15" t="s">
        <v>480</v>
      </c>
      <c r="N659" s="15" t="s">
        <v>520</v>
      </c>
      <c r="O659" s="31">
        <v>2</v>
      </c>
      <c r="P659" s="15">
        <v>29.17</v>
      </c>
      <c r="Q659" s="15">
        <v>119.18</v>
      </c>
      <c r="S659" s="15">
        <v>1333</v>
      </c>
      <c r="T659" s="15">
        <v>17.100000000000001</v>
      </c>
      <c r="U659" s="15" t="s">
        <v>549</v>
      </c>
      <c r="V659" s="31">
        <v>1</v>
      </c>
      <c r="W659" s="15" t="s">
        <v>1430</v>
      </c>
      <c r="X659" s="15" t="s">
        <v>1147</v>
      </c>
      <c r="Y659" s="1">
        <v>5</v>
      </c>
      <c r="Z659" s="15">
        <v>4.8600000000000003</v>
      </c>
      <c r="AA659" s="15" t="s">
        <v>574</v>
      </c>
      <c r="AB659" s="15">
        <f t="shared" si="564"/>
        <v>4.8600000000000003</v>
      </c>
      <c r="AC659" s="1">
        <v>2</v>
      </c>
      <c r="AD659" s="15">
        <v>3.3</v>
      </c>
      <c r="AF659" s="15">
        <v>5.76</v>
      </c>
      <c r="AH659" s="15">
        <v>6</v>
      </c>
      <c r="AJ659" s="15">
        <v>44.2</v>
      </c>
      <c r="AM659" s="1">
        <v>1</v>
      </c>
      <c r="AP659" s="15" t="s">
        <v>1431</v>
      </c>
      <c r="AQ659" s="1">
        <v>1</v>
      </c>
      <c r="AR659" s="1">
        <v>3</v>
      </c>
      <c r="AT659" s="15" t="s">
        <v>576</v>
      </c>
      <c r="AW659" s="15">
        <v>267.85714285714283</v>
      </c>
      <c r="AX659" s="15">
        <f t="shared" si="562"/>
        <v>267.85714285714283</v>
      </c>
      <c r="AY659" s="15" t="s">
        <v>766</v>
      </c>
      <c r="AZ659" s="15">
        <f t="shared" si="557"/>
        <v>267.85714285714283</v>
      </c>
      <c r="BA659" s="15">
        <f t="shared" si="558"/>
        <v>9.1418820087762059E-2</v>
      </c>
      <c r="BB659" s="15">
        <f t="shared" si="559"/>
        <v>160.71428571428569</v>
      </c>
      <c r="EZ659" s="63"/>
      <c r="FA659" s="63"/>
      <c r="FC659" s="63"/>
      <c r="FD659" s="63"/>
      <c r="FF659" s="63"/>
      <c r="FG659" s="63"/>
      <c r="FK659" s="16">
        <f t="shared" si="554"/>
        <v>4.91</v>
      </c>
      <c r="FL659" s="16">
        <f t="shared" si="555"/>
        <v>5.1100000000000003</v>
      </c>
      <c r="FM659" s="15">
        <v>4.91</v>
      </c>
      <c r="FN659" s="15">
        <f t="shared" si="565"/>
        <v>0.24550000000000002</v>
      </c>
      <c r="FO659" s="15">
        <f>FN659*SQRT(AR659)</f>
        <v>0.42521847325815937</v>
      </c>
      <c r="FP659" s="15">
        <v>5.1100000000000003</v>
      </c>
      <c r="FQ659" s="15">
        <f t="shared" si="551"/>
        <v>0.2555</v>
      </c>
      <c r="FR659" s="15">
        <f>FQ659*SQRT(AR659)</f>
        <v>0.44253898133384811</v>
      </c>
      <c r="FS659" s="15">
        <f t="shared" si="552"/>
        <v>1.0407331975560081</v>
      </c>
      <c r="FT659" s="15">
        <f t="shared" si="553"/>
        <v>0.20000000000000018</v>
      </c>
      <c r="FU659" s="15">
        <f t="shared" si="556"/>
        <v>3.9925462409183821E-2</v>
      </c>
      <c r="FV659" s="15">
        <f>((FR659*FR659)/(AR659*FP659*FP659)+(FO659*FO659)/(AR659*FM659*FM659))</f>
        <v>4.9999999999999992E-3</v>
      </c>
      <c r="HE659" s="15">
        <v>1020</v>
      </c>
      <c r="HF659" s="15">
        <f t="shared" si="560"/>
        <v>51</v>
      </c>
      <c r="HG659" s="15">
        <f>HF659*SQRT(AR349)</f>
        <v>88.33459118601273</v>
      </c>
      <c r="HH659" s="15">
        <v>1050</v>
      </c>
      <c r="HI659" s="15">
        <f t="shared" si="561"/>
        <v>52.5</v>
      </c>
      <c r="HJ659" s="15">
        <f>HI659*SQRT(AR349)</f>
        <v>90.932667397366046</v>
      </c>
      <c r="HK659" s="15">
        <f t="shared" si="566"/>
        <v>1.0294117647058822</v>
      </c>
      <c r="HL659" s="15">
        <f t="shared" si="567"/>
        <v>30</v>
      </c>
      <c r="HM659" s="15">
        <f t="shared" si="568"/>
        <v>2.8987536873252395E-2</v>
      </c>
      <c r="HN659" s="15">
        <f>((HJ659*HJ659)/(AR349*HH659*HH659)+(HG659*HG659)/(AR349*HE659*HE659))</f>
        <v>4.9999999999999992E-3</v>
      </c>
      <c r="HP659" s="15" t="s">
        <v>766</v>
      </c>
      <c r="HV659" s="15">
        <f t="shared" si="569"/>
        <v>55.442546366394183</v>
      </c>
      <c r="HW659" s="15">
        <f t="shared" si="570"/>
        <v>2.8987536873252395E-2</v>
      </c>
      <c r="HX659" s="15">
        <f>BB659</f>
        <v>160.71428571428569</v>
      </c>
      <c r="HY659" s="15">
        <f>AZ659</f>
        <v>267.85714285714283</v>
      </c>
      <c r="HZ659" s="15">
        <f>BA659</f>
        <v>9.1418820087762059E-2</v>
      </c>
      <c r="IA659" s="15">
        <f>BB659</f>
        <v>160.71428571428569</v>
      </c>
    </row>
    <row r="660" spans="1:235" s="15" customFormat="1" x14ac:dyDescent="0.25">
      <c r="A660" s="31">
        <v>658</v>
      </c>
      <c r="B660" s="1">
        <v>95</v>
      </c>
      <c r="C660" s="1">
        <v>113</v>
      </c>
      <c r="D660" s="15" t="s">
        <v>1512</v>
      </c>
      <c r="E660" s="1">
        <v>1</v>
      </c>
      <c r="F660" s="15" t="s">
        <v>761</v>
      </c>
      <c r="G660" s="15" t="s">
        <v>1427</v>
      </c>
      <c r="H660" s="15" t="s">
        <v>1428</v>
      </c>
      <c r="I660" s="1">
        <v>2004</v>
      </c>
      <c r="J660" s="15" t="s">
        <v>1263</v>
      </c>
      <c r="K660" s="1" t="s">
        <v>1429</v>
      </c>
      <c r="L660" s="15" t="s">
        <v>1362</v>
      </c>
      <c r="M660" s="15" t="s">
        <v>480</v>
      </c>
      <c r="N660" s="15" t="s">
        <v>520</v>
      </c>
      <c r="O660" s="31">
        <v>2</v>
      </c>
      <c r="P660" s="15">
        <v>29.17</v>
      </c>
      <c r="Q660" s="15">
        <v>119.18</v>
      </c>
      <c r="S660" s="15">
        <v>1333</v>
      </c>
      <c r="T660" s="15">
        <v>17.100000000000001</v>
      </c>
      <c r="U660" s="15" t="s">
        <v>549</v>
      </c>
      <c r="V660" s="31">
        <v>1</v>
      </c>
      <c r="W660" s="15" t="s">
        <v>1430</v>
      </c>
      <c r="X660" s="15" t="s">
        <v>1147</v>
      </c>
      <c r="Y660" s="1">
        <v>5</v>
      </c>
      <c r="Z660" s="15">
        <v>4.8600000000000003</v>
      </c>
      <c r="AA660" s="15" t="s">
        <v>574</v>
      </c>
      <c r="AB660" s="15">
        <f t="shared" si="564"/>
        <v>4.8600000000000003</v>
      </c>
      <c r="AC660" s="1">
        <v>2</v>
      </c>
      <c r="AD660" s="15">
        <v>3.3</v>
      </c>
      <c r="AF660" s="15">
        <v>5.76</v>
      </c>
      <c r="AH660" s="15">
        <v>6</v>
      </c>
      <c r="AJ660" s="15">
        <v>44.2</v>
      </c>
      <c r="AM660" s="1">
        <v>1</v>
      </c>
      <c r="AP660" s="15" t="s">
        <v>1431</v>
      </c>
      <c r="AQ660" s="1">
        <v>1</v>
      </c>
      <c r="AR660" s="1">
        <v>3</v>
      </c>
      <c r="AT660" s="15" t="s">
        <v>576</v>
      </c>
      <c r="AW660" s="15">
        <v>535.71428571428567</v>
      </c>
      <c r="AX660" s="15">
        <f t="shared" si="562"/>
        <v>535.71428571428567</v>
      </c>
      <c r="AY660" s="15" t="s">
        <v>766</v>
      </c>
      <c r="AZ660" s="15">
        <f t="shared" si="557"/>
        <v>535.71428571428567</v>
      </c>
      <c r="BA660" s="15">
        <f t="shared" si="558"/>
        <v>0.18283764017552412</v>
      </c>
      <c r="BB660" s="15">
        <f t="shared" si="559"/>
        <v>321.42857142857139</v>
      </c>
      <c r="EZ660" s="63"/>
      <c r="FA660" s="63"/>
      <c r="FC660" s="63"/>
      <c r="FD660" s="63"/>
      <c r="FF660" s="63"/>
      <c r="FG660" s="63"/>
      <c r="FK660" s="16">
        <f t="shared" si="554"/>
        <v>4.91</v>
      </c>
      <c r="FL660" s="16">
        <f t="shared" si="555"/>
        <v>5.27</v>
      </c>
      <c r="FM660" s="15">
        <v>4.91</v>
      </c>
      <c r="FN660" s="15">
        <f t="shared" si="565"/>
        <v>0.24550000000000002</v>
      </c>
      <c r="FO660" s="15">
        <f>FN660*SQRT(AR660)</f>
        <v>0.42521847325815937</v>
      </c>
      <c r="FP660" s="15">
        <v>5.27</v>
      </c>
      <c r="FQ660" s="15">
        <f t="shared" si="551"/>
        <v>0.26350000000000001</v>
      </c>
      <c r="FR660" s="15">
        <f>FQ660*SQRT(AR660)</f>
        <v>0.45639538779439914</v>
      </c>
      <c r="FS660" s="15">
        <f t="shared" si="552"/>
        <v>1.0733197556008145</v>
      </c>
      <c r="FT660" s="15">
        <f t="shared" si="553"/>
        <v>0.35999999999999943</v>
      </c>
      <c r="FU660" s="15">
        <f t="shared" si="556"/>
        <v>7.0756420746841631E-2</v>
      </c>
      <c r="FV660" s="15">
        <f>((FR660*FR660)/(AR660*FP660*FP660)+(FO660*FO660)/(AR660*FM660*FM660))</f>
        <v>4.9999999999999992E-3</v>
      </c>
      <c r="HE660" s="15">
        <v>1020</v>
      </c>
      <c r="HF660" s="15">
        <f t="shared" si="560"/>
        <v>51</v>
      </c>
      <c r="HG660" s="15">
        <f>HF660*SQRT(AR350)</f>
        <v>88.33459118601273</v>
      </c>
      <c r="HH660" s="15">
        <v>1120</v>
      </c>
      <c r="HI660" s="15">
        <f t="shared" si="561"/>
        <v>56</v>
      </c>
      <c r="HJ660" s="15">
        <f>HI660*SQRT(AR350)</f>
        <v>96.994845223857126</v>
      </c>
      <c r="HK660" s="15">
        <f t="shared" si="566"/>
        <v>1.0980392156862746</v>
      </c>
      <c r="HL660" s="15">
        <f t="shared" si="567"/>
        <v>100</v>
      </c>
      <c r="HM660" s="15">
        <f t="shared" si="568"/>
        <v>9.3526058010823476E-2</v>
      </c>
      <c r="HN660" s="15">
        <f>((HJ660*HJ660)/(AR350*HH660*HH660)+(HG660*HG660)/(AR350*HE660*HE660))</f>
        <v>4.9999999999999992E-3</v>
      </c>
      <c r="HP660" s="15" t="s">
        <v>766</v>
      </c>
      <c r="HV660" s="15">
        <f t="shared" si="569"/>
        <v>34.36780917157585</v>
      </c>
      <c r="HW660" s="15">
        <f t="shared" si="570"/>
        <v>9.3526058010823476E-2</v>
      </c>
      <c r="HX660" s="15">
        <f>BB660</f>
        <v>321.42857142857139</v>
      </c>
      <c r="HY660" s="15">
        <f>AZ660</f>
        <v>535.71428571428567</v>
      </c>
      <c r="HZ660" s="15">
        <f>BA660</f>
        <v>0.18283764017552412</v>
      </c>
      <c r="IA660" s="15">
        <f>BB660</f>
        <v>321.42857142857139</v>
      </c>
    </row>
    <row r="661" spans="1:235" s="15" customFormat="1" x14ac:dyDescent="0.25">
      <c r="A661" s="31">
        <v>659</v>
      </c>
      <c r="B661" s="1">
        <v>95</v>
      </c>
      <c r="C661" s="1">
        <v>113</v>
      </c>
      <c r="D661" s="15" t="s">
        <v>1513</v>
      </c>
      <c r="E661" s="1">
        <v>1</v>
      </c>
      <c r="F661" s="15" t="s">
        <v>761</v>
      </c>
      <c r="G661" s="15" t="s">
        <v>1427</v>
      </c>
      <c r="H661" s="15" t="s">
        <v>1428</v>
      </c>
      <c r="I661" s="1">
        <v>2004</v>
      </c>
      <c r="J661" s="15" t="s">
        <v>1263</v>
      </c>
      <c r="K661" s="1" t="s">
        <v>1429</v>
      </c>
      <c r="L661" s="15" t="s">
        <v>1362</v>
      </c>
      <c r="M661" s="15" t="s">
        <v>480</v>
      </c>
      <c r="N661" s="15" t="s">
        <v>520</v>
      </c>
      <c r="O661" s="31">
        <v>2</v>
      </c>
      <c r="P661" s="15">
        <v>29.17</v>
      </c>
      <c r="Q661" s="15">
        <v>119.18</v>
      </c>
      <c r="S661" s="15">
        <v>1333</v>
      </c>
      <c r="T661" s="15">
        <v>17.100000000000001</v>
      </c>
      <c r="U661" s="15" t="s">
        <v>549</v>
      </c>
      <c r="V661" s="31">
        <v>1</v>
      </c>
      <c r="W661" s="15" t="s">
        <v>1430</v>
      </c>
      <c r="X661" s="15" t="s">
        <v>1147</v>
      </c>
      <c r="Y661" s="1">
        <v>5</v>
      </c>
      <c r="Z661" s="15">
        <v>4.8600000000000003</v>
      </c>
      <c r="AA661" s="15" t="s">
        <v>574</v>
      </c>
      <c r="AB661" s="15">
        <f t="shared" si="564"/>
        <v>4.8600000000000003</v>
      </c>
      <c r="AC661" s="1">
        <v>2</v>
      </c>
      <c r="AD661" s="15">
        <v>3.3</v>
      </c>
      <c r="AF661" s="15">
        <v>5.76</v>
      </c>
      <c r="AH661" s="15">
        <v>6</v>
      </c>
      <c r="AJ661" s="15">
        <v>44.2</v>
      </c>
      <c r="AM661" s="1">
        <v>1</v>
      </c>
      <c r="AP661" s="15" t="s">
        <v>1431</v>
      </c>
      <c r="AQ661" s="1">
        <v>1</v>
      </c>
      <c r="AR661" s="1">
        <v>3</v>
      </c>
      <c r="AT661" s="15" t="s">
        <v>576</v>
      </c>
      <c r="AW661" s="15">
        <v>803.57142857142856</v>
      </c>
      <c r="AX661" s="15">
        <f t="shared" si="562"/>
        <v>803.57142857142856</v>
      </c>
      <c r="AY661" s="15" t="s">
        <v>766</v>
      </c>
      <c r="AZ661" s="15">
        <f t="shared" si="557"/>
        <v>803.57142857142856</v>
      </c>
      <c r="BA661" s="15">
        <f t="shared" si="558"/>
        <v>0.27425646026328615</v>
      </c>
      <c r="BB661" s="15">
        <f t="shared" si="559"/>
        <v>482.14285714285711</v>
      </c>
      <c r="EZ661" s="63"/>
      <c r="FA661" s="63"/>
      <c r="FC661" s="63"/>
      <c r="FD661" s="63"/>
      <c r="FF661" s="63"/>
      <c r="FG661" s="63"/>
      <c r="FK661" s="16">
        <f t="shared" si="554"/>
        <v>4.91</v>
      </c>
      <c r="FL661" s="16">
        <f t="shared" si="555"/>
        <v>5.53</v>
      </c>
      <c r="FM661" s="15">
        <v>4.91</v>
      </c>
      <c r="FN661" s="15">
        <f t="shared" si="565"/>
        <v>0.24550000000000002</v>
      </c>
      <c r="FO661" s="15">
        <f>FN661*SQRT(AR661)</f>
        <v>0.42521847325815937</v>
      </c>
      <c r="FP661" s="15">
        <v>5.53</v>
      </c>
      <c r="FQ661" s="15">
        <f t="shared" si="551"/>
        <v>0.27650000000000002</v>
      </c>
      <c r="FR661" s="15">
        <f>FQ661*SQRT(AR661)</f>
        <v>0.4789120482927946</v>
      </c>
      <c r="FS661" s="15">
        <f t="shared" si="552"/>
        <v>1.1262729124236253</v>
      </c>
      <c r="FT661" s="15">
        <f t="shared" si="553"/>
        <v>0.62000000000000011</v>
      </c>
      <c r="FU661" s="15">
        <f t="shared" si="556"/>
        <v>0.11891387372781415</v>
      </c>
      <c r="FV661" s="15">
        <f>((FR661*FR661)/(AR661*FP661*FP661)+(FO661*FO661)/(AR661*FM661*FM661))</f>
        <v>5.0000000000000001E-3</v>
      </c>
      <c r="HE661" s="15">
        <v>1020</v>
      </c>
      <c r="HF661" s="15">
        <f t="shared" si="560"/>
        <v>51</v>
      </c>
      <c r="HG661" s="15">
        <f>HF661*SQRT(AR351)</f>
        <v>88.33459118601273</v>
      </c>
      <c r="HH661" s="15">
        <v>1310</v>
      </c>
      <c r="HI661" s="15">
        <f t="shared" si="561"/>
        <v>65.5</v>
      </c>
      <c r="HJ661" s="15">
        <f>HI661*SQRT(AR351)</f>
        <v>113.44932789576146</v>
      </c>
      <c r="HK661" s="15">
        <f t="shared" si="566"/>
        <v>1.2843137254901962</v>
      </c>
      <c r="HL661" s="15">
        <f t="shared" si="567"/>
        <v>290</v>
      </c>
      <c r="HM661" s="15">
        <f t="shared" si="568"/>
        <v>0.2502245099168805</v>
      </c>
      <c r="HN661" s="15">
        <f>((HJ661*HJ661)/(AR351*HH661*HH661)+(HG661*HG661)/(AR351*HE661*HE661))</f>
        <v>4.9999999999999992E-3</v>
      </c>
      <c r="HP661" s="15" t="s">
        <v>766</v>
      </c>
      <c r="HV661" s="15">
        <f t="shared" si="569"/>
        <v>19.268410488765277</v>
      </c>
      <c r="HW661" s="15">
        <f t="shared" si="570"/>
        <v>0.2502245099168805</v>
      </c>
      <c r="HX661" s="15">
        <f>BB661</f>
        <v>482.14285714285711</v>
      </c>
      <c r="HY661" s="15">
        <f>AZ661</f>
        <v>803.57142857142856</v>
      </c>
      <c r="HZ661" s="15">
        <f>BA661</f>
        <v>0.27425646026328615</v>
      </c>
      <c r="IA661" s="15">
        <f>BB661</f>
        <v>482.14285714285711</v>
      </c>
    </row>
    <row r="662" spans="1:235" s="15" customFormat="1" x14ac:dyDescent="0.25">
      <c r="A662" s="31">
        <v>660</v>
      </c>
      <c r="B662" s="1">
        <v>95</v>
      </c>
      <c r="C662" s="1">
        <v>113</v>
      </c>
      <c r="D662" s="15" t="s">
        <v>1514</v>
      </c>
      <c r="E662" s="1">
        <v>1</v>
      </c>
      <c r="F662" s="15" t="s">
        <v>761</v>
      </c>
      <c r="G662" s="15" t="s">
        <v>1427</v>
      </c>
      <c r="H662" s="15" t="s">
        <v>1428</v>
      </c>
      <c r="I662" s="1">
        <v>2004</v>
      </c>
      <c r="J662" s="15" t="s">
        <v>1263</v>
      </c>
      <c r="K662" s="1" t="s">
        <v>1429</v>
      </c>
      <c r="L662" s="15" t="s">
        <v>1362</v>
      </c>
      <c r="M662" s="15" t="s">
        <v>480</v>
      </c>
      <c r="N662" s="15" t="s">
        <v>520</v>
      </c>
      <c r="O662" s="31">
        <v>2</v>
      </c>
      <c r="P662" s="15">
        <v>29.17</v>
      </c>
      <c r="Q662" s="15">
        <v>119.18</v>
      </c>
      <c r="S662" s="15">
        <v>1333</v>
      </c>
      <c r="T662" s="15">
        <v>17.100000000000001</v>
      </c>
      <c r="U662" s="15" t="s">
        <v>549</v>
      </c>
      <c r="V662" s="31">
        <v>1</v>
      </c>
      <c r="W662" s="15" t="s">
        <v>1430</v>
      </c>
      <c r="X662" s="15" t="s">
        <v>1147</v>
      </c>
      <c r="Y662" s="1">
        <v>5</v>
      </c>
      <c r="Z662" s="15">
        <v>4.8600000000000003</v>
      </c>
      <c r="AA662" s="15" t="s">
        <v>574</v>
      </c>
      <c r="AB662" s="15">
        <f t="shared" si="564"/>
        <v>4.8600000000000003</v>
      </c>
      <c r="AC662" s="1">
        <v>2</v>
      </c>
      <c r="AD662" s="15">
        <v>3.3</v>
      </c>
      <c r="AF662" s="15">
        <v>5.76</v>
      </c>
      <c r="AH662" s="15">
        <v>6</v>
      </c>
      <c r="AJ662" s="15">
        <v>44.2</v>
      </c>
      <c r="AM662" s="1">
        <v>1</v>
      </c>
      <c r="AP662" s="15" t="s">
        <v>1431</v>
      </c>
      <c r="AQ662" s="1">
        <v>1</v>
      </c>
      <c r="AR662" s="1">
        <v>3</v>
      </c>
      <c r="AT662" s="15" t="s">
        <v>576</v>
      </c>
      <c r="AW662" s="15">
        <v>1071.4285714285713</v>
      </c>
      <c r="AX662" s="15">
        <f t="shared" si="562"/>
        <v>1071.4285714285713</v>
      </c>
      <c r="AY662" s="15" t="s">
        <v>766</v>
      </c>
      <c r="AZ662" s="15">
        <f t="shared" si="557"/>
        <v>1071.4285714285713</v>
      </c>
      <c r="BA662" s="15">
        <f t="shared" si="558"/>
        <v>0.36567528035104824</v>
      </c>
      <c r="BB662" s="15">
        <f t="shared" si="559"/>
        <v>642.85714285714278</v>
      </c>
      <c r="EZ662" s="63"/>
      <c r="FA662" s="63"/>
      <c r="FC662" s="63"/>
      <c r="FD662" s="63"/>
      <c r="FF662" s="63"/>
      <c r="FG662" s="63"/>
      <c r="FK662" s="16">
        <f t="shared" si="554"/>
        <v>4.91</v>
      </c>
      <c r="FL662" s="16">
        <f t="shared" si="555"/>
        <v>5.66</v>
      </c>
      <c r="FM662" s="15">
        <v>4.91</v>
      </c>
      <c r="FN662" s="15">
        <f t="shared" si="565"/>
        <v>0.24550000000000002</v>
      </c>
      <c r="FO662" s="15">
        <f>FN662*SQRT(AR662)</f>
        <v>0.42521847325815937</v>
      </c>
      <c r="FP662" s="15">
        <v>5.66</v>
      </c>
      <c r="FQ662" s="15">
        <f t="shared" ref="FQ662:FQ668" si="571">FP662*0.05</f>
        <v>0.28300000000000003</v>
      </c>
      <c r="FR662" s="15">
        <f>FQ662*SQRT(AR662)</f>
        <v>0.4901703785419923</v>
      </c>
      <c r="FS662" s="15">
        <f t="shared" si="552"/>
        <v>1.1527494908350306</v>
      </c>
      <c r="FT662" s="15">
        <f t="shared" si="553"/>
        <v>0.75</v>
      </c>
      <c r="FU662" s="15">
        <f t="shared" si="556"/>
        <v>0.1421499504086623</v>
      </c>
      <c r="FV662" s="15">
        <f>((FR662*FR662)/(AR662*FP662*FP662)+(FO662*FO662)/(AR662*FM662*FM662))</f>
        <v>4.9999999999999992E-3</v>
      </c>
      <c r="HE662" s="15">
        <v>1020</v>
      </c>
      <c r="HF662" s="15">
        <f t="shared" si="560"/>
        <v>51</v>
      </c>
      <c r="HG662" s="15">
        <f>HF662*SQRT(AR352)</f>
        <v>88.33459118601273</v>
      </c>
      <c r="HH662" s="15">
        <v>1280</v>
      </c>
      <c r="HI662" s="15">
        <f t="shared" si="561"/>
        <v>64</v>
      </c>
      <c r="HJ662" s="15">
        <f>HI662*SQRT(AR352)</f>
        <v>110.85125168440814</v>
      </c>
      <c r="HK662" s="15">
        <f t="shared" si="566"/>
        <v>1.2549019607843137</v>
      </c>
      <c r="HL662" s="15">
        <f t="shared" si="567"/>
        <v>260</v>
      </c>
      <c r="HM662" s="15">
        <f t="shared" si="568"/>
        <v>0.22705745063534621</v>
      </c>
      <c r="HN662" s="15">
        <f>((HJ662*HJ662)/(AR352*HH662*HH662)+(HG662*HG662)/(AR352*HE662*HE662))</f>
        <v>4.9999999999999992E-3</v>
      </c>
      <c r="HP662" s="15" t="s">
        <v>766</v>
      </c>
      <c r="HV662" s="15">
        <f t="shared" si="569"/>
        <v>28.312532403509191</v>
      </c>
      <c r="HW662" s="15">
        <f t="shared" si="570"/>
        <v>0.22705745063534621</v>
      </c>
      <c r="HX662" s="15">
        <f>BB662</f>
        <v>642.85714285714278</v>
      </c>
      <c r="HY662" s="15">
        <f>AZ662</f>
        <v>1071.4285714285713</v>
      </c>
      <c r="HZ662" s="15">
        <f>BA662</f>
        <v>0.36567528035104824</v>
      </c>
      <c r="IA662" s="15">
        <f>BB662</f>
        <v>642.85714285714278</v>
      </c>
    </row>
    <row r="663" spans="1:235" s="15" customFormat="1" x14ac:dyDescent="0.25">
      <c r="A663" s="31">
        <v>661</v>
      </c>
      <c r="B663" s="1">
        <v>95</v>
      </c>
      <c r="C663" s="1">
        <v>113</v>
      </c>
      <c r="D663" s="15" t="s">
        <v>1515</v>
      </c>
      <c r="E663" s="1">
        <v>1</v>
      </c>
      <c r="F663" s="15" t="s">
        <v>761</v>
      </c>
      <c r="G663" s="15" t="s">
        <v>1427</v>
      </c>
      <c r="H663" s="15" t="s">
        <v>1428</v>
      </c>
      <c r="I663" s="1">
        <v>2004</v>
      </c>
      <c r="J663" s="15" t="s">
        <v>1263</v>
      </c>
      <c r="K663" s="1" t="s">
        <v>1429</v>
      </c>
      <c r="L663" s="15" t="s">
        <v>1362</v>
      </c>
      <c r="M663" s="15" t="s">
        <v>480</v>
      </c>
      <c r="N663" s="15" t="s">
        <v>520</v>
      </c>
      <c r="O663" s="31">
        <v>2</v>
      </c>
      <c r="P663" s="15">
        <v>29.17</v>
      </c>
      <c r="Q663" s="15">
        <v>119.18</v>
      </c>
      <c r="S663" s="15">
        <v>1333</v>
      </c>
      <c r="T663" s="15">
        <v>17.100000000000001</v>
      </c>
      <c r="U663" s="15" t="s">
        <v>549</v>
      </c>
      <c r="V663" s="31">
        <v>1</v>
      </c>
      <c r="W663" s="15" t="s">
        <v>1430</v>
      </c>
      <c r="X663" s="15" t="s">
        <v>1442</v>
      </c>
      <c r="Y663" s="1">
        <v>2</v>
      </c>
      <c r="Z663" s="15">
        <v>4.8600000000000003</v>
      </c>
      <c r="AA663" s="15" t="s">
        <v>574</v>
      </c>
      <c r="AB663" s="15">
        <f t="shared" si="564"/>
        <v>4.8600000000000003</v>
      </c>
      <c r="AC663" s="1">
        <v>2</v>
      </c>
      <c r="AD663" s="15">
        <v>3.3</v>
      </c>
      <c r="AF663" s="15">
        <v>5.76</v>
      </c>
      <c r="AH663" s="15">
        <v>6</v>
      </c>
      <c r="AJ663" s="15">
        <v>44.2</v>
      </c>
      <c r="AM663" s="1">
        <v>1</v>
      </c>
      <c r="AP663" s="15" t="s">
        <v>1431</v>
      </c>
      <c r="AQ663" s="1">
        <v>1</v>
      </c>
      <c r="AR663" s="1">
        <v>3</v>
      </c>
      <c r="AT663" s="15" t="s">
        <v>576</v>
      </c>
      <c r="AW663" s="15">
        <f>AW555/15</f>
        <v>250</v>
      </c>
      <c r="AX663" s="15">
        <f t="shared" si="562"/>
        <v>250</v>
      </c>
      <c r="AY663" s="15" t="s">
        <v>766</v>
      </c>
      <c r="AZ663" s="15">
        <f t="shared" si="557"/>
        <v>250</v>
      </c>
      <c r="BA663" s="15">
        <f t="shared" si="558"/>
        <v>8.5324232081911255E-2</v>
      </c>
      <c r="BB663" s="15">
        <f t="shared" si="559"/>
        <v>150</v>
      </c>
      <c r="FK663" s="16">
        <f t="shared" si="554"/>
        <v>4.78</v>
      </c>
      <c r="FL663" s="16">
        <f t="shared" si="555"/>
        <v>4.97</v>
      </c>
      <c r="FM663" s="15">
        <v>4.78</v>
      </c>
      <c r="FN663" s="15">
        <f t="shared" si="565"/>
        <v>0.23900000000000002</v>
      </c>
      <c r="FO663" s="15">
        <f>FN663*SQRT(AR663)</f>
        <v>0.41396014300896167</v>
      </c>
      <c r="FP663" s="15">
        <v>4.97</v>
      </c>
      <c r="FQ663" s="15">
        <f t="shared" si="571"/>
        <v>0.2485</v>
      </c>
      <c r="FR663" s="15">
        <f>FQ663*SQRT(AR663)</f>
        <v>0.43041462568086597</v>
      </c>
      <c r="FS663" s="15">
        <f t="shared" ref="FS663:FS668" si="572">FP663/FM663</f>
        <v>1.0397489539748952</v>
      </c>
      <c r="FT663" s="15">
        <f t="shared" ref="FT663:FT668" si="573">FP663-FM663</f>
        <v>0.1899999999999995</v>
      </c>
      <c r="FU663" s="15">
        <f t="shared" si="556"/>
        <v>3.8979293605172716E-2</v>
      </c>
      <c r="FV663" s="15">
        <f>((FR663*FR663)/(AR663*FP663*FP663)+(FO663*FO663)/(AR663*FM663*FM663))</f>
        <v>4.9999999999999992E-3</v>
      </c>
      <c r="HE663" s="15">
        <v>28100</v>
      </c>
      <c r="HF663" s="15">
        <f t="shared" si="560"/>
        <v>1405</v>
      </c>
      <c r="HG663" s="15">
        <f>HF663*SQRT(AR353)</f>
        <v>2433.5313846342724</v>
      </c>
      <c r="HH663" s="15">
        <v>31100</v>
      </c>
      <c r="HI663" s="15">
        <f t="shared" si="561"/>
        <v>1555</v>
      </c>
      <c r="HJ663" s="15">
        <f>HI663*SQRT(AR353)</f>
        <v>2693.3390057696042</v>
      </c>
      <c r="HK663" s="15">
        <f t="shared" si="566"/>
        <v>1.106761565836299</v>
      </c>
      <c r="HL663" s="15">
        <f t="shared" si="567"/>
        <v>3000</v>
      </c>
      <c r="HM663" s="15">
        <f t="shared" si="568"/>
        <v>0.10143824284548764</v>
      </c>
      <c r="HN663" s="15">
        <f>((HJ663*HJ663)/(AR353*HH663*HH663)+(HG663*HG663)/(AR353*HE663*HE663))</f>
        <v>4.9999999999999992E-3</v>
      </c>
      <c r="HP663" s="15" t="s">
        <v>766</v>
      </c>
      <c r="HV663" s="15">
        <f t="shared" si="569"/>
        <v>14.787322393634362</v>
      </c>
      <c r="HW663" s="15">
        <f t="shared" si="570"/>
        <v>0.10143824284548764</v>
      </c>
      <c r="HX663" s="15">
        <f>BB663</f>
        <v>150</v>
      </c>
      <c r="HY663" s="15">
        <f>AZ663</f>
        <v>250</v>
      </c>
      <c r="HZ663" s="15">
        <f>BA663</f>
        <v>8.5324232081911255E-2</v>
      </c>
      <c r="IA663" s="15">
        <f>BB663</f>
        <v>150</v>
      </c>
    </row>
    <row r="664" spans="1:235" s="15" customFormat="1" x14ac:dyDescent="0.25">
      <c r="A664" s="31">
        <v>662</v>
      </c>
      <c r="B664" s="1">
        <v>95</v>
      </c>
      <c r="C664" s="1">
        <v>113</v>
      </c>
      <c r="D664" s="15" t="s">
        <v>1516</v>
      </c>
      <c r="E664" s="1">
        <v>1</v>
      </c>
      <c r="F664" s="15" t="s">
        <v>761</v>
      </c>
      <c r="G664" s="15" t="s">
        <v>1427</v>
      </c>
      <c r="H664" s="15" t="s">
        <v>1428</v>
      </c>
      <c r="I664" s="1">
        <v>2004</v>
      </c>
      <c r="J664" s="15" t="s">
        <v>1263</v>
      </c>
      <c r="K664" s="1" t="s">
        <v>1429</v>
      </c>
      <c r="L664" s="15" t="s">
        <v>1362</v>
      </c>
      <c r="M664" s="15" t="s">
        <v>480</v>
      </c>
      <c r="N664" s="15" t="s">
        <v>520</v>
      </c>
      <c r="O664" s="31">
        <v>2</v>
      </c>
      <c r="P664" s="15">
        <v>29.17</v>
      </c>
      <c r="Q664" s="15">
        <v>119.18</v>
      </c>
      <c r="S664" s="15">
        <v>1333</v>
      </c>
      <c r="T664" s="15">
        <v>17.100000000000001</v>
      </c>
      <c r="U664" s="15" t="s">
        <v>549</v>
      </c>
      <c r="V664" s="31">
        <v>1</v>
      </c>
      <c r="W664" s="15" t="s">
        <v>1430</v>
      </c>
      <c r="X664" s="15" t="s">
        <v>1442</v>
      </c>
      <c r="Y664" s="1">
        <v>2</v>
      </c>
      <c r="Z664" s="15">
        <v>4.8600000000000003</v>
      </c>
      <c r="AA664" s="15" t="s">
        <v>574</v>
      </c>
      <c r="AB664" s="15">
        <f t="shared" si="564"/>
        <v>4.8600000000000003</v>
      </c>
      <c r="AC664" s="1">
        <v>2</v>
      </c>
      <c r="AD664" s="15">
        <v>3.3</v>
      </c>
      <c r="AF664" s="15">
        <v>5.76</v>
      </c>
      <c r="AH664" s="15">
        <v>6</v>
      </c>
      <c r="AJ664" s="15">
        <v>44.2</v>
      </c>
      <c r="AM664" s="1">
        <v>1</v>
      </c>
      <c r="AP664" s="15" t="s">
        <v>1431</v>
      </c>
      <c r="AQ664" s="1">
        <v>1</v>
      </c>
      <c r="AR664" s="1">
        <v>3</v>
      </c>
      <c r="AT664" s="15" t="s">
        <v>576</v>
      </c>
      <c r="AW664" s="15">
        <f>AW556/15</f>
        <v>500</v>
      </c>
      <c r="AX664" s="15">
        <f t="shared" si="562"/>
        <v>500</v>
      </c>
      <c r="AY664" s="15" t="s">
        <v>766</v>
      </c>
      <c r="AZ664" s="15">
        <f t="shared" si="557"/>
        <v>500</v>
      </c>
      <c r="BA664" s="15">
        <f t="shared" si="558"/>
        <v>0.17064846416382251</v>
      </c>
      <c r="BB664" s="15">
        <f t="shared" si="559"/>
        <v>300</v>
      </c>
      <c r="FK664" s="16">
        <f t="shared" si="554"/>
        <v>4.78</v>
      </c>
      <c r="FL664" s="16">
        <f t="shared" si="555"/>
        <v>5.12</v>
      </c>
      <c r="FM664" s="15">
        <v>4.78</v>
      </c>
      <c r="FN664" s="15">
        <f t="shared" si="565"/>
        <v>0.23900000000000002</v>
      </c>
      <c r="FO664" s="15">
        <f>FN664*SQRT(AR664)</f>
        <v>0.41396014300896167</v>
      </c>
      <c r="FP664" s="15">
        <v>5.12</v>
      </c>
      <c r="FQ664" s="15">
        <f t="shared" si="571"/>
        <v>0.25600000000000001</v>
      </c>
      <c r="FR664" s="15">
        <f>FQ664*SQRT(AR664)</f>
        <v>0.44340500673763256</v>
      </c>
      <c r="FS664" s="15">
        <f t="shared" si="572"/>
        <v>1.0711297071129706</v>
      </c>
      <c r="FT664" s="15">
        <f t="shared" si="573"/>
        <v>0.33999999999999986</v>
      </c>
      <c r="FU664" s="15">
        <f t="shared" si="556"/>
        <v>6.8713892548051714E-2</v>
      </c>
      <c r="FV664" s="15">
        <f>((FR664*FR664)/(AR664*FP664*FP664)+(FO664*FO664)/(AR664*FM664*FM664))</f>
        <v>4.9999999999999992E-3</v>
      </c>
      <c r="HE664" s="15">
        <v>28100</v>
      </c>
      <c r="HF664" s="15">
        <f t="shared" si="560"/>
        <v>1405</v>
      </c>
      <c r="HG664" s="15">
        <f>HF664*SQRT(AR354)</f>
        <v>2433.5313846342724</v>
      </c>
      <c r="HH664" s="15">
        <v>32400</v>
      </c>
      <c r="HI664" s="15">
        <f t="shared" si="561"/>
        <v>1620</v>
      </c>
      <c r="HJ664" s="15">
        <f>HI664*SQRT(AR354)</f>
        <v>2805.9223082615808</v>
      </c>
      <c r="HK664" s="15">
        <f t="shared" si="566"/>
        <v>1.1530249110320285</v>
      </c>
      <c r="HL664" s="15">
        <f t="shared" si="567"/>
        <v>4300</v>
      </c>
      <c r="HM664" s="15">
        <f t="shared" si="568"/>
        <v>0.14238884645858363</v>
      </c>
      <c r="HN664" s="15">
        <f>((HJ664*HJ664)/(AR354*HH664*HH664)+(HG664*HG664)/(AR354*HE664*HE664))</f>
        <v>4.9999999999999992E-3</v>
      </c>
      <c r="HP664" s="15" t="s">
        <v>766</v>
      </c>
      <c r="HV664" s="15">
        <f t="shared" si="569"/>
        <v>21.069065974016471</v>
      </c>
      <c r="HW664" s="15">
        <f t="shared" si="570"/>
        <v>0.14238884645858363</v>
      </c>
      <c r="HX664" s="15">
        <f>BB664</f>
        <v>300</v>
      </c>
      <c r="HY664" s="15">
        <f>AZ664</f>
        <v>500</v>
      </c>
      <c r="HZ664" s="15">
        <f>BA664</f>
        <v>0.17064846416382251</v>
      </c>
      <c r="IA664" s="15">
        <f>BB664</f>
        <v>300</v>
      </c>
    </row>
    <row r="665" spans="1:235" s="15" customFormat="1" x14ac:dyDescent="0.25">
      <c r="A665" s="31">
        <v>663</v>
      </c>
      <c r="B665" s="1">
        <v>95</v>
      </c>
      <c r="C665" s="1">
        <v>113</v>
      </c>
      <c r="D665" s="15" t="s">
        <v>1517</v>
      </c>
      <c r="E665" s="1">
        <v>1</v>
      </c>
      <c r="F665" s="15" t="s">
        <v>761</v>
      </c>
      <c r="G665" s="15" t="s">
        <v>1427</v>
      </c>
      <c r="H665" s="15" t="s">
        <v>1428</v>
      </c>
      <c r="I665" s="1">
        <v>2004</v>
      </c>
      <c r="J665" s="15" t="s">
        <v>1263</v>
      </c>
      <c r="K665" s="1" t="s">
        <v>1429</v>
      </c>
      <c r="L665" s="15" t="s">
        <v>1362</v>
      </c>
      <c r="M665" s="15" t="s">
        <v>480</v>
      </c>
      <c r="N665" s="15" t="s">
        <v>520</v>
      </c>
      <c r="O665" s="31">
        <v>2</v>
      </c>
      <c r="P665" s="15">
        <v>29.17</v>
      </c>
      <c r="Q665" s="15">
        <v>119.18</v>
      </c>
      <c r="S665" s="15">
        <v>1333</v>
      </c>
      <c r="T665" s="15">
        <v>17.100000000000001</v>
      </c>
      <c r="U665" s="15" t="s">
        <v>549</v>
      </c>
      <c r="V665" s="31">
        <v>1</v>
      </c>
      <c r="W665" s="15" t="s">
        <v>1430</v>
      </c>
      <c r="X665" s="15" t="s">
        <v>1442</v>
      </c>
      <c r="Y665" s="1">
        <v>2</v>
      </c>
      <c r="Z665" s="15">
        <v>4.8600000000000003</v>
      </c>
      <c r="AA665" s="15" t="s">
        <v>574</v>
      </c>
      <c r="AB665" s="15">
        <f t="shared" si="564"/>
        <v>4.8600000000000003</v>
      </c>
      <c r="AC665" s="1">
        <v>2</v>
      </c>
      <c r="AD665" s="15">
        <v>3.3</v>
      </c>
      <c r="AF665" s="15">
        <v>5.76</v>
      </c>
      <c r="AH665" s="15">
        <v>6</v>
      </c>
      <c r="AJ665" s="15">
        <v>44.2</v>
      </c>
      <c r="AM665" s="1">
        <v>1</v>
      </c>
      <c r="AP665" s="15" t="s">
        <v>1431</v>
      </c>
      <c r="AQ665" s="1">
        <v>1</v>
      </c>
      <c r="AR665" s="1">
        <v>3</v>
      </c>
      <c r="AT665" s="15" t="s">
        <v>576</v>
      </c>
      <c r="AW665" s="15">
        <f>AW557/15</f>
        <v>750</v>
      </c>
      <c r="AX665" s="15">
        <f t="shared" si="562"/>
        <v>750</v>
      </c>
      <c r="AY665" s="15" t="s">
        <v>766</v>
      </c>
      <c r="AZ665" s="15">
        <f t="shared" si="557"/>
        <v>750</v>
      </c>
      <c r="BA665" s="15">
        <f t="shared" si="558"/>
        <v>0.25597269624573377</v>
      </c>
      <c r="BB665" s="15">
        <f t="shared" si="559"/>
        <v>450</v>
      </c>
      <c r="FK665" s="16">
        <f t="shared" si="554"/>
        <v>4.78</v>
      </c>
      <c r="FL665" s="16">
        <f t="shared" si="555"/>
        <v>5.53</v>
      </c>
      <c r="FM665" s="15">
        <v>4.78</v>
      </c>
      <c r="FN665" s="15">
        <f t="shared" si="565"/>
        <v>0.23900000000000002</v>
      </c>
      <c r="FO665" s="15">
        <f>FN665*SQRT(AR665)</f>
        <v>0.41396014300896167</v>
      </c>
      <c r="FP665" s="15">
        <v>5.53</v>
      </c>
      <c r="FQ665" s="15">
        <f t="shared" si="571"/>
        <v>0.27650000000000002</v>
      </c>
      <c r="FR665" s="15">
        <f>FQ665*SQRT(AR665)</f>
        <v>0.4789120482927946</v>
      </c>
      <c r="FS665" s="15">
        <f t="shared" si="572"/>
        <v>1.1569037656903765</v>
      </c>
      <c r="FT665" s="15">
        <f t="shared" si="573"/>
        <v>0.75</v>
      </c>
      <c r="FU665" s="15">
        <f t="shared" si="556"/>
        <v>0.14574726903087876</v>
      </c>
      <c r="FV665" s="15">
        <f>((FR665*FR665)/(AR665*FP665*FP665)+(FO665*FO665)/(AR665*FM665*FM665))</f>
        <v>5.0000000000000001E-3</v>
      </c>
      <c r="HE665" s="15">
        <v>28100</v>
      </c>
      <c r="HF665" s="15">
        <f t="shared" si="560"/>
        <v>1405</v>
      </c>
      <c r="HG665" s="15">
        <f>HF665*SQRT(AR355)</f>
        <v>2433.5313846342724</v>
      </c>
      <c r="HH665" s="15">
        <v>33300</v>
      </c>
      <c r="HI665" s="15">
        <f t="shared" si="561"/>
        <v>1665</v>
      </c>
      <c r="HJ665" s="15">
        <f>HI665*SQRT(AR355)</f>
        <v>2883.8645946021807</v>
      </c>
      <c r="HK665" s="15">
        <f t="shared" si="566"/>
        <v>1.1850533807829182</v>
      </c>
      <c r="HL665" s="15">
        <f t="shared" si="567"/>
        <v>5200</v>
      </c>
      <c r="HM665" s="15">
        <f t="shared" si="568"/>
        <v>0.16978782064669851</v>
      </c>
      <c r="HN665" s="15">
        <f>((HJ665*HJ665)/(AR355*HH665*HH665)+(HG665*HG665)/(AR355*HE665*HE665))</f>
        <v>4.9999999999999992E-3</v>
      </c>
      <c r="HP665" s="15" t="s">
        <v>766</v>
      </c>
      <c r="HV665" s="15">
        <f t="shared" si="569"/>
        <v>26.503667830001692</v>
      </c>
      <c r="HW665" s="15">
        <f t="shared" si="570"/>
        <v>0.16978782064669851</v>
      </c>
      <c r="HX665" s="15">
        <f>BB665</f>
        <v>450</v>
      </c>
      <c r="HY665" s="15">
        <f>AZ665</f>
        <v>750</v>
      </c>
      <c r="HZ665" s="15">
        <f>BA665</f>
        <v>0.25597269624573377</v>
      </c>
      <c r="IA665" s="15">
        <f>BB665</f>
        <v>450</v>
      </c>
    </row>
    <row r="666" spans="1:235" s="15" customFormat="1" x14ac:dyDescent="0.25">
      <c r="A666" s="31">
        <v>664</v>
      </c>
      <c r="B666" s="1">
        <v>95</v>
      </c>
      <c r="C666" s="1">
        <v>113</v>
      </c>
      <c r="D666" s="15" t="s">
        <v>1518</v>
      </c>
      <c r="E666" s="1">
        <v>1</v>
      </c>
      <c r="F666" s="15" t="s">
        <v>761</v>
      </c>
      <c r="G666" s="15" t="s">
        <v>1427</v>
      </c>
      <c r="H666" s="15" t="s">
        <v>1428</v>
      </c>
      <c r="I666" s="1">
        <v>2004</v>
      </c>
      <c r="J666" s="15" t="s">
        <v>1263</v>
      </c>
      <c r="K666" s="1" t="s">
        <v>1429</v>
      </c>
      <c r="L666" s="15" t="s">
        <v>1362</v>
      </c>
      <c r="M666" s="15" t="s">
        <v>480</v>
      </c>
      <c r="N666" s="15" t="s">
        <v>520</v>
      </c>
      <c r="O666" s="31">
        <v>2</v>
      </c>
      <c r="P666" s="15">
        <v>29.17</v>
      </c>
      <c r="Q666" s="15">
        <v>119.18</v>
      </c>
      <c r="S666" s="15">
        <v>1333</v>
      </c>
      <c r="T666" s="15">
        <v>17.100000000000001</v>
      </c>
      <c r="U666" s="15" t="s">
        <v>549</v>
      </c>
      <c r="V666" s="31">
        <v>1</v>
      </c>
      <c r="W666" s="15" t="s">
        <v>1430</v>
      </c>
      <c r="X666" s="15" t="s">
        <v>1442</v>
      </c>
      <c r="Y666" s="1">
        <v>2</v>
      </c>
      <c r="Z666" s="15">
        <v>4.8600000000000003</v>
      </c>
      <c r="AA666" s="15" t="s">
        <v>574</v>
      </c>
      <c r="AB666" s="15">
        <f t="shared" si="564"/>
        <v>4.8600000000000003</v>
      </c>
      <c r="AC666" s="1">
        <v>2</v>
      </c>
      <c r="AD666" s="15">
        <v>3.3</v>
      </c>
      <c r="AF666" s="15">
        <v>5.76</v>
      </c>
      <c r="AH666" s="15">
        <v>6</v>
      </c>
      <c r="AJ666" s="15">
        <v>44.2</v>
      </c>
      <c r="AM666" s="1">
        <v>1</v>
      </c>
      <c r="AP666" s="15" t="s">
        <v>1431</v>
      </c>
      <c r="AQ666" s="1">
        <v>1</v>
      </c>
      <c r="AR666" s="1">
        <v>3</v>
      </c>
      <c r="AT666" s="15" t="s">
        <v>576</v>
      </c>
      <c r="AW666" s="15">
        <f>AW558/15</f>
        <v>1000</v>
      </c>
      <c r="AX666" s="15">
        <f t="shared" si="562"/>
        <v>1000</v>
      </c>
      <c r="AY666" s="15" t="s">
        <v>766</v>
      </c>
      <c r="AZ666" s="15">
        <f t="shared" si="557"/>
        <v>1000</v>
      </c>
      <c r="BA666" s="15">
        <f t="shared" si="558"/>
        <v>0.34129692832764502</v>
      </c>
      <c r="BB666" s="15">
        <f t="shared" si="559"/>
        <v>600</v>
      </c>
      <c r="FK666" s="16">
        <f t="shared" si="554"/>
        <v>4.78</v>
      </c>
      <c r="FL666" s="16">
        <f t="shared" si="555"/>
        <v>5.72</v>
      </c>
      <c r="FM666" s="15">
        <v>4.78</v>
      </c>
      <c r="FN666" s="15">
        <f t="shared" si="565"/>
        <v>0.23900000000000002</v>
      </c>
      <c r="FO666" s="15">
        <f>FN666*SQRT(AR666)</f>
        <v>0.41396014300896167</v>
      </c>
      <c r="FP666" s="15">
        <v>5.72</v>
      </c>
      <c r="FQ666" s="15">
        <f t="shared" si="571"/>
        <v>0.28599999999999998</v>
      </c>
      <c r="FR666" s="15">
        <f>FQ666*SQRT(AR666)</f>
        <v>0.49536653096469885</v>
      </c>
      <c r="FS666" s="15">
        <f t="shared" si="572"/>
        <v>1.1966527196652719</v>
      </c>
      <c r="FT666" s="15">
        <f t="shared" si="573"/>
        <v>0.9399999999999995</v>
      </c>
      <c r="FU666" s="15">
        <f t="shared" si="556"/>
        <v>0.17952825888834179</v>
      </c>
      <c r="FV666" s="15">
        <f>((FR666*FR666)/(AR666*FP666*FP666)+(FO666*FO666)/(AR666*FM666*FM666))</f>
        <v>4.9999999999999992E-3</v>
      </c>
      <c r="HE666" s="15">
        <v>28100</v>
      </c>
      <c r="HF666" s="15">
        <f t="shared" si="560"/>
        <v>1405</v>
      </c>
      <c r="HG666" s="15">
        <f>HF666*SQRT(AR356)</f>
        <v>2433.5313846342724</v>
      </c>
      <c r="HH666" s="15">
        <v>33700</v>
      </c>
      <c r="HI666" s="15">
        <f t="shared" si="561"/>
        <v>1685</v>
      </c>
      <c r="HJ666" s="15">
        <f>HI666*SQRT(AR356)</f>
        <v>2918.5056107535579</v>
      </c>
      <c r="HK666" s="15">
        <f t="shared" si="566"/>
        <v>1.199288256227758</v>
      </c>
      <c r="HL666" s="15">
        <f t="shared" si="567"/>
        <v>5600</v>
      </c>
      <c r="HM666" s="15">
        <f t="shared" si="568"/>
        <v>0.18172826101861617</v>
      </c>
      <c r="HN666" s="15">
        <f>((HJ666*HJ666)/(AR356*HH666*HH666)+(HG666*HG666)/(AR356*HE666*HE666))</f>
        <v>4.9999999999999992E-3</v>
      </c>
      <c r="HP666" s="15" t="s">
        <v>766</v>
      </c>
      <c r="HV666" s="15">
        <f t="shared" si="569"/>
        <v>33.016328700715199</v>
      </c>
      <c r="HW666" s="15">
        <f t="shared" si="570"/>
        <v>0.18172826101861617</v>
      </c>
      <c r="HX666" s="15">
        <f>BB666</f>
        <v>600</v>
      </c>
      <c r="HY666" s="15">
        <f>AZ666</f>
        <v>1000</v>
      </c>
      <c r="HZ666" s="15">
        <f>BA666</f>
        <v>0.34129692832764502</v>
      </c>
      <c r="IA666" s="15">
        <f>BB666</f>
        <v>600</v>
      </c>
    </row>
    <row r="667" spans="1:235" s="70" customFormat="1" ht="14.4" x14ac:dyDescent="0.25">
      <c r="A667" s="31">
        <v>665</v>
      </c>
      <c r="B667" s="60">
        <v>96</v>
      </c>
      <c r="C667" s="1">
        <v>114</v>
      </c>
      <c r="D667" s="15" t="s">
        <v>1520</v>
      </c>
      <c r="E667" s="1">
        <v>2</v>
      </c>
      <c r="F667" s="15" t="s">
        <v>777</v>
      </c>
      <c r="G667" s="70" t="s">
        <v>1522</v>
      </c>
      <c r="H667" s="70" t="s">
        <v>1523</v>
      </c>
      <c r="I667" s="60">
        <v>2013</v>
      </c>
      <c r="J667" s="70" t="s">
        <v>1524</v>
      </c>
      <c r="K667" s="60">
        <v>2011</v>
      </c>
      <c r="L667" s="70" t="s">
        <v>1525</v>
      </c>
      <c r="M667" s="15" t="s">
        <v>480</v>
      </c>
      <c r="N667" s="15" t="s">
        <v>520</v>
      </c>
      <c r="O667" s="31">
        <v>2</v>
      </c>
      <c r="P667" s="70">
        <v>30.23</v>
      </c>
      <c r="Q667" s="70">
        <v>119.72</v>
      </c>
      <c r="R667" s="70">
        <v>39</v>
      </c>
      <c r="S667" s="70">
        <v>1628</v>
      </c>
      <c r="T667" s="70">
        <v>16.399999999999999</v>
      </c>
      <c r="U667" s="15" t="s">
        <v>549</v>
      </c>
      <c r="V667" s="31">
        <v>1</v>
      </c>
      <c r="W667" s="70" t="s">
        <v>1158</v>
      </c>
      <c r="X667" s="70" t="s">
        <v>910</v>
      </c>
      <c r="Y667" s="1">
        <v>9</v>
      </c>
      <c r="Z667" s="70">
        <v>5.88</v>
      </c>
      <c r="AA667" s="15" t="s">
        <v>574</v>
      </c>
      <c r="AB667" s="15">
        <f t="shared" si="564"/>
        <v>5.88</v>
      </c>
      <c r="AC667" s="1">
        <v>4</v>
      </c>
      <c r="AD667" s="70">
        <f>10.6*1.74</f>
        <v>18.443999999999999</v>
      </c>
      <c r="AM667" s="60"/>
      <c r="AP667" s="15" t="s">
        <v>1431</v>
      </c>
      <c r="AQ667" s="1">
        <v>1</v>
      </c>
      <c r="AR667" s="1">
        <v>3</v>
      </c>
      <c r="CC667" s="70" t="s">
        <v>1526</v>
      </c>
      <c r="CE667" s="70">
        <v>2250</v>
      </c>
      <c r="CF667" s="15">
        <f>CE667</f>
        <v>2250</v>
      </c>
      <c r="CG667" s="15" t="s">
        <v>766</v>
      </c>
      <c r="CH667" s="70">
        <v>9.41</v>
      </c>
      <c r="CY667" s="25">
        <f>CF667</f>
        <v>2250</v>
      </c>
      <c r="CZ667" s="25">
        <f>CY667/0.78/1000</f>
        <v>2.8846153846153841</v>
      </c>
      <c r="DA667" s="25">
        <f>CY667*3</f>
        <v>6750</v>
      </c>
      <c r="FK667" s="16">
        <f t="shared" si="554"/>
        <v>5.82</v>
      </c>
      <c r="FL667" s="16">
        <f t="shared" si="555"/>
        <v>5.99</v>
      </c>
      <c r="FM667" s="70">
        <v>5.82</v>
      </c>
      <c r="FN667" s="70">
        <f t="shared" si="565"/>
        <v>0.29100000000000004</v>
      </c>
      <c r="FO667" s="15">
        <f>FN667*SQRT(AR667)</f>
        <v>0.50402678500254328</v>
      </c>
      <c r="FP667" s="70">
        <v>5.99</v>
      </c>
      <c r="FQ667" s="70">
        <f t="shared" si="571"/>
        <v>0.29950000000000004</v>
      </c>
      <c r="FR667" s="15">
        <f>FQ667*SQRT(AR667)</f>
        <v>0.5187492168668788</v>
      </c>
      <c r="FS667" s="70">
        <f t="shared" si="572"/>
        <v>1.029209621993127</v>
      </c>
      <c r="FT667" s="70">
        <f t="shared" si="573"/>
        <v>0.16999999999999993</v>
      </c>
      <c r="FU667" s="15">
        <f t="shared" si="556"/>
        <v>2.8791150384011699E-2</v>
      </c>
      <c r="FV667" s="15">
        <f>((FR667*FR667)/(AR667*FP667*FP667)+(FO667*FO667)/(AR667*FM667*FM667))</f>
        <v>4.9999999999999992E-3</v>
      </c>
      <c r="FX667" s="15">
        <f>5.53*1.74</f>
        <v>9.6222000000000012</v>
      </c>
      <c r="FY667" s="15">
        <f t="shared" ref="FY667:FY682" si="574">FX667*0.05</f>
        <v>0.48111000000000009</v>
      </c>
      <c r="FZ667" s="15">
        <f>FY667*SQRT(AR667)</f>
        <v>0.83330696402946269</v>
      </c>
      <c r="GA667" s="15">
        <f>5.75*1.74</f>
        <v>10.005000000000001</v>
      </c>
      <c r="GB667" s="15">
        <f t="shared" ref="GB667:GB682" si="575">GA667*0.05</f>
        <v>0.50025000000000008</v>
      </c>
      <c r="GC667" s="15">
        <f>GB667*SQRT(AR667)</f>
        <v>0.86645841648633093</v>
      </c>
      <c r="GD667" s="15">
        <f t="shared" ref="GD667:GD682" si="576">GA667/FX667</f>
        <v>1.0397830018083183</v>
      </c>
      <c r="GE667" s="15">
        <f t="shared" ref="GE667:GE682" si="577">GA667-FX667</f>
        <v>0.38279999999999959</v>
      </c>
      <c r="GF667" s="15">
        <f t="shared" ref="GF667:GF682" si="578">LN(GA667)-LN(FX667)</f>
        <v>3.9012039275015287E-2</v>
      </c>
      <c r="GG667" s="15">
        <f>((GC667*GC667)/(AR667*GA667*GA667)+(FZ667*FZ667)/(AR667*FX667*FX667))</f>
        <v>5.0000000000000001E-3</v>
      </c>
      <c r="HE667" s="70">
        <v>636.70000000000005</v>
      </c>
      <c r="HF667" s="70">
        <f t="shared" si="560"/>
        <v>31.835000000000004</v>
      </c>
      <c r="HG667" s="15">
        <f>HF667*SQRT(AR357)</f>
        <v>55.139837458955213</v>
      </c>
      <c r="HH667" s="70">
        <v>881.7</v>
      </c>
      <c r="HI667" s="70">
        <f t="shared" si="561"/>
        <v>44.085000000000008</v>
      </c>
      <c r="HJ667" s="15">
        <f>HI667*SQRT(AR357)</f>
        <v>76.357459851673966</v>
      </c>
      <c r="HK667" s="70">
        <f t="shared" si="566"/>
        <v>1.3847966075074603</v>
      </c>
      <c r="HL667" s="15">
        <f t="shared" si="567"/>
        <v>245</v>
      </c>
      <c r="HM667" s="15">
        <f t="shared" si="568"/>
        <v>0.32555327507000165</v>
      </c>
      <c r="HN667" s="15">
        <f>((HJ667*HJ667)/(AR357*HH667*HH667)+(HG667*HG667)/(AR357*HE667*HE667))</f>
        <v>5.0000000000000001E-3</v>
      </c>
      <c r="HP667" s="15" t="s">
        <v>766</v>
      </c>
      <c r="HV667" s="15">
        <f t="shared" si="569"/>
        <v>207.33933635128048</v>
      </c>
      <c r="HW667" s="15">
        <f t="shared" si="570"/>
        <v>0.32555327507000165</v>
      </c>
      <c r="HX667" s="25">
        <f>DA667</f>
        <v>6750</v>
      </c>
      <c r="HY667" s="25">
        <f>CY667</f>
        <v>2250</v>
      </c>
      <c r="HZ667" s="25">
        <f>CZ667</f>
        <v>2.8846153846153841</v>
      </c>
      <c r="IA667" s="25">
        <f>DA667</f>
        <v>6750</v>
      </c>
    </row>
    <row r="668" spans="1:235" s="70" customFormat="1" ht="14.4" x14ac:dyDescent="0.25">
      <c r="A668" s="31">
        <v>666</v>
      </c>
      <c r="B668" s="60">
        <v>96</v>
      </c>
      <c r="C668" s="1">
        <v>114</v>
      </c>
      <c r="D668" s="15" t="s">
        <v>1521</v>
      </c>
      <c r="E668" s="1">
        <v>2</v>
      </c>
      <c r="F668" s="15" t="s">
        <v>777</v>
      </c>
      <c r="G668" s="70" t="s">
        <v>1522</v>
      </c>
      <c r="H668" s="70" t="s">
        <v>1523</v>
      </c>
      <c r="I668" s="60">
        <v>2013</v>
      </c>
      <c r="J668" s="70" t="s">
        <v>1524</v>
      </c>
      <c r="K668" s="60">
        <v>2011</v>
      </c>
      <c r="L668" s="70" t="s">
        <v>1525</v>
      </c>
      <c r="M668" s="15" t="s">
        <v>480</v>
      </c>
      <c r="N668" s="15" t="s">
        <v>520</v>
      </c>
      <c r="O668" s="31">
        <v>2</v>
      </c>
      <c r="P668" s="70">
        <v>30.23</v>
      </c>
      <c r="Q668" s="70">
        <v>119.72</v>
      </c>
      <c r="R668" s="70">
        <v>39</v>
      </c>
      <c r="S668" s="70">
        <v>1628</v>
      </c>
      <c r="T668" s="70">
        <v>16.399999999999999</v>
      </c>
      <c r="U668" s="15" t="s">
        <v>549</v>
      </c>
      <c r="V668" s="31">
        <v>1</v>
      </c>
      <c r="W668" s="70" t="s">
        <v>1158</v>
      </c>
      <c r="X668" s="70" t="s">
        <v>910</v>
      </c>
      <c r="Y668" s="1">
        <v>9</v>
      </c>
      <c r="Z668" s="70">
        <v>5.88</v>
      </c>
      <c r="AA668" s="15" t="s">
        <v>574</v>
      </c>
      <c r="AB668" s="15">
        <f t="shared" si="564"/>
        <v>5.88</v>
      </c>
      <c r="AC668" s="1">
        <v>4</v>
      </c>
      <c r="AD668" s="70">
        <f>10.6*1.74</f>
        <v>18.443999999999999</v>
      </c>
      <c r="AM668" s="60"/>
      <c r="AP668" s="15" t="s">
        <v>1431</v>
      </c>
      <c r="AQ668" s="1">
        <v>1</v>
      </c>
      <c r="AR668" s="1">
        <v>3</v>
      </c>
      <c r="CC668" s="70" t="s">
        <v>1526</v>
      </c>
      <c r="CE668" s="70">
        <v>2250</v>
      </c>
      <c r="CF668" s="15">
        <f>CE668</f>
        <v>2250</v>
      </c>
      <c r="CG668" s="15" t="s">
        <v>766</v>
      </c>
      <c r="CH668" s="70">
        <v>9.41</v>
      </c>
      <c r="CY668" s="25">
        <f>CF668</f>
        <v>2250</v>
      </c>
      <c r="CZ668" s="25">
        <f>CY668/0.78/1000</f>
        <v>2.8846153846153841</v>
      </c>
      <c r="DA668" s="25">
        <f>CY668*3</f>
        <v>6750</v>
      </c>
      <c r="FK668" s="16">
        <f t="shared" si="554"/>
        <v>5.15</v>
      </c>
      <c r="FL668" s="16">
        <f t="shared" si="555"/>
        <v>5.53</v>
      </c>
      <c r="FM668" s="70">
        <v>5.15</v>
      </c>
      <c r="FN668" s="70">
        <f t="shared" si="565"/>
        <v>0.25750000000000001</v>
      </c>
      <c r="FO668" s="15">
        <f>FN668*SQRT(AR668)</f>
        <v>0.44600308294898589</v>
      </c>
      <c r="FP668" s="70">
        <v>5.53</v>
      </c>
      <c r="FQ668" s="70">
        <f t="shared" si="571"/>
        <v>0.27650000000000002</v>
      </c>
      <c r="FR668" s="15">
        <f>FQ668*SQRT(AR668)</f>
        <v>0.4789120482927946</v>
      </c>
      <c r="FS668" s="70">
        <f t="shared" si="572"/>
        <v>1.0737864077669903</v>
      </c>
      <c r="FT668" s="70">
        <f t="shared" si="573"/>
        <v>0.37999999999999989</v>
      </c>
      <c r="FU668" s="15">
        <f t="shared" si="556"/>
        <v>7.1191100858598588E-2</v>
      </c>
      <c r="FV668" s="15">
        <f>((FR668*FR668)/(AR668*FP668*FP668)+(FO668*FO668)/(AR668*FM668*FM668))</f>
        <v>5.0000000000000001E-3</v>
      </c>
      <c r="FX668" s="15">
        <f>8.19*1.74</f>
        <v>14.250599999999999</v>
      </c>
      <c r="FY668" s="15">
        <f t="shared" si="574"/>
        <v>0.71253</v>
      </c>
      <c r="FZ668" s="15">
        <f>FY668*SQRT(AR668)</f>
        <v>1.2341381619170522</v>
      </c>
      <c r="GA668" s="15">
        <f>8.78*1.74</f>
        <v>15.277199999999999</v>
      </c>
      <c r="GB668" s="15">
        <f t="shared" si="575"/>
        <v>0.76385999999999998</v>
      </c>
      <c r="GC668" s="15">
        <f>GB668*SQRT(AR668)</f>
        <v>1.3230443298695624</v>
      </c>
      <c r="GD668" s="15">
        <f t="shared" si="576"/>
        <v>1.072039072039072</v>
      </c>
      <c r="GE668" s="15">
        <f t="shared" si="577"/>
        <v>1.0266000000000002</v>
      </c>
      <c r="GF668" s="15">
        <f t="shared" si="578"/>
        <v>6.9562509782047144E-2</v>
      </c>
      <c r="GG668" s="15">
        <f>((GC668*GC668)/(AR668*GA668*GA668)+(FZ668*FZ668)/(AR668*FX668*FX668))</f>
        <v>5.0000000000000001E-3</v>
      </c>
      <c r="HE668" s="70">
        <v>9297.7000000000007</v>
      </c>
      <c r="HF668" s="70">
        <f t="shared" si="560"/>
        <v>464.88500000000005</v>
      </c>
      <c r="HG668" s="15">
        <f>HF668*SQRT(AR358)</f>
        <v>805.20443967665756</v>
      </c>
      <c r="HH668" s="70">
        <v>9402</v>
      </c>
      <c r="HI668" s="70">
        <f t="shared" si="561"/>
        <v>470.1</v>
      </c>
      <c r="HJ668" s="15">
        <f>HI668*SQRT(AR358)</f>
        <v>814.2370846381292</v>
      </c>
      <c r="HK668" s="70">
        <f t="shared" si="566"/>
        <v>1.0112178280650053</v>
      </c>
      <c r="HL668" s="15">
        <f t="shared" si="567"/>
        <v>104.29999999999927</v>
      </c>
      <c r="HM668" s="15">
        <f t="shared" si="568"/>
        <v>1.1155374857299449E-2</v>
      </c>
      <c r="HN668" s="15">
        <f>((HJ668*HJ668)/(AR358*HH668*HH668)+(HG668*HG668)/(AR358*HE668*HE668))</f>
        <v>4.9999999999999992E-3</v>
      </c>
      <c r="HP668" s="15" t="s">
        <v>766</v>
      </c>
      <c r="HV668" s="15">
        <f t="shared" si="569"/>
        <v>6050.8948254510515</v>
      </c>
      <c r="HW668" s="15">
        <f t="shared" si="570"/>
        <v>1.1155374857299449E-2</v>
      </c>
      <c r="HX668" s="25">
        <f>DA668</f>
        <v>6750</v>
      </c>
      <c r="HY668" s="25">
        <f>CY668</f>
        <v>2250</v>
      </c>
      <c r="HZ668" s="25">
        <f>CZ668</f>
        <v>2.8846153846153841</v>
      </c>
      <c r="IA668" s="25">
        <f>DA668</f>
        <v>6750</v>
      </c>
    </row>
    <row r="669" spans="1:235" s="70" customFormat="1" x14ac:dyDescent="0.25">
      <c r="A669" s="31">
        <v>667</v>
      </c>
      <c r="B669" s="60">
        <v>97</v>
      </c>
      <c r="C669" s="1">
        <v>115</v>
      </c>
      <c r="D669" s="15" t="s">
        <v>1528</v>
      </c>
      <c r="E669" s="1">
        <v>5</v>
      </c>
      <c r="F669" s="15" t="s">
        <v>798</v>
      </c>
      <c r="G669" s="70" t="s">
        <v>1530</v>
      </c>
      <c r="H669" s="70" t="s">
        <v>839</v>
      </c>
      <c r="I669" s="60">
        <v>2014</v>
      </c>
      <c r="J669" s="70" t="s">
        <v>1527</v>
      </c>
      <c r="K669" s="60" t="s">
        <v>1062</v>
      </c>
      <c r="L669" s="70" t="s">
        <v>1531</v>
      </c>
      <c r="M669" s="15" t="s">
        <v>480</v>
      </c>
      <c r="N669" s="15" t="s">
        <v>520</v>
      </c>
      <c r="O669" s="31">
        <v>2</v>
      </c>
      <c r="P669" s="70">
        <v>31.05</v>
      </c>
      <c r="Q669" s="70">
        <v>104.19</v>
      </c>
      <c r="S669" s="70">
        <v>891</v>
      </c>
      <c r="T669" s="70">
        <v>16.3</v>
      </c>
      <c r="U669" s="15" t="s">
        <v>549</v>
      </c>
      <c r="V669" s="31">
        <v>1</v>
      </c>
      <c r="W669" s="70" t="s">
        <v>1176</v>
      </c>
      <c r="X669" s="70" t="s">
        <v>689</v>
      </c>
      <c r="Y669" s="60">
        <v>1</v>
      </c>
      <c r="Z669" s="70">
        <v>5.5</v>
      </c>
      <c r="AA669" s="15" t="s">
        <v>574</v>
      </c>
      <c r="AB669" s="15">
        <f t="shared" si="564"/>
        <v>5.5</v>
      </c>
      <c r="AC669" s="1">
        <v>3</v>
      </c>
      <c r="AD669" s="70">
        <v>31.3</v>
      </c>
      <c r="AM669" s="60"/>
      <c r="AN669" s="70">
        <v>1.2</v>
      </c>
      <c r="AP669" s="70" t="s">
        <v>1334</v>
      </c>
      <c r="AQ669" s="61">
        <v>3</v>
      </c>
      <c r="AR669" s="1">
        <v>3</v>
      </c>
      <c r="DB669" s="70" t="s">
        <v>1195</v>
      </c>
      <c r="DD669" s="70">
        <f>2.55*4000</f>
        <v>10200</v>
      </c>
      <c r="DE669" s="15">
        <f>DD669</f>
        <v>10200</v>
      </c>
      <c r="DF669" s="15" t="s">
        <v>766</v>
      </c>
      <c r="DS669" s="15">
        <f>DE669</f>
        <v>10200</v>
      </c>
      <c r="DT669" s="15">
        <f t="shared" ref="DT669:DT711" si="579">DS669/0.6/1000</f>
        <v>17</v>
      </c>
      <c r="DU669" s="15">
        <f t="shared" ref="DU669:DU711" si="580">DS669*0.2</f>
        <v>2040</v>
      </c>
      <c r="EZ669" s="70">
        <f t="shared" ref="EZ669:EZ682" si="581">1.3*0.25+1.51*0.75</f>
        <v>1.4575</v>
      </c>
      <c r="FA669" s="15">
        <f t="shared" ref="FA669:FA682" si="582">EZ669*0.05</f>
        <v>7.2875000000000009E-2</v>
      </c>
      <c r="FB669" s="15">
        <f>FA669*SQRT(AR669)</f>
        <v>0.12622320260158193</v>
      </c>
      <c r="FC669" s="70">
        <f t="shared" ref="FC669:FC682" si="583">1.06*0.25+1.45*0.75</f>
        <v>1.3525</v>
      </c>
      <c r="FD669" s="15">
        <f t="shared" ref="FD669:FD682" si="584">FC669*0.05</f>
        <v>6.7625000000000005E-2</v>
      </c>
      <c r="FE669" s="15">
        <f>FD669*SQRT(AR669)</f>
        <v>0.11712993586184532</v>
      </c>
      <c r="FF669" s="15">
        <f t="shared" ref="FF669:FF682" si="585">FC669/EZ669</f>
        <v>0.92795883361921094</v>
      </c>
      <c r="FG669" s="15">
        <f t="shared" ref="FG669:FG682" si="586">FC669-EZ669</f>
        <v>-0.10499999999999998</v>
      </c>
      <c r="FH669" s="15">
        <f t="shared" ref="FH669:FH682" si="587">LN(FC669)-LN(EZ669)</f>
        <v>-7.4767907504010855E-2</v>
      </c>
      <c r="FI669" s="15">
        <f>((FE669*FE669)/(AR669*FC669*FC669)+(FB669*FB669)/(AR669*EZ669*EZ669))</f>
        <v>4.9999999999999992E-3</v>
      </c>
      <c r="FJ669" s="15"/>
      <c r="FK669" s="16"/>
      <c r="FL669" s="16"/>
      <c r="FX669" s="15">
        <f t="shared" ref="FX669:FX682" si="588">25*0.25+16*0.75</f>
        <v>18.25</v>
      </c>
      <c r="FY669" s="15">
        <f t="shared" si="574"/>
        <v>0.91250000000000009</v>
      </c>
      <c r="FZ669" s="15">
        <f>FY669*SQRT(AR669)</f>
        <v>1.5804963619066006</v>
      </c>
      <c r="GA669" s="15">
        <f t="shared" ref="GA669:GA682" si="589">43*0.25+25*0.75</f>
        <v>29.5</v>
      </c>
      <c r="GB669" s="15">
        <f t="shared" si="575"/>
        <v>1.4750000000000001</v>
      </c>
      <c r="GC669" s="15">
        <f>GB669*SQRT(AR669)</f>
        <v>2.5547749411640939</v>
      </c>
      <c r="GD669" s="15">
        <f t="shared" si="576"/>
        <v>1.6164383561643836</v>
      </c>
      <c r="GE669" s="15">
        <f t="shared" si="577"/>
        <v>11.25</v>
      </c>
      <c r="GF669" s="15">
        <f t="shared" si="578"/>
        <v>0.48022518331727371</v>
      </c>
      <c r="GG669" s="15">
        <f>((GC669*GC669)/(AR669*GA669*GA669)+(FZ669*FZ669)/(AR669*FX669*FX669))</f>
        <v>4.9999999999999992E-3</v>
      </c>
      <c r="HE669" s="70">
        <v>9423</v>
      </c>
      <c r="HF669" s="70">
        <f t="shared" si="560"/>
        <v>471.15000000000003</v>
      </c>
      <c r="HG669" s="15">
        <f>HF669*SQRT(AR359)</f>
        <v>816.05573798607656</v>
      </c>
      <c r="HH669" s="70">
        <v>9175</v>
      </c>
      <c r="HI669" s="70">
        <f t="shared" si="561"/>
        <v>458.75</v>
      </c>
      <c r="HJ669" s="15">
        <f>HI669*SQRT(AR359)</f>
        <v>794.57830797222243</v>
      </c>
      <c r="HK669" s="70">
        <f t="shared" si="566"/>
        <v>0.97368141780749229</v>
      </c>
      <c r="HL669" s="15">
        <f t="shared" si="567"/>
        <v>-248</v>
      </c>
      <c r="HM669" s="15">
        <f t="shared" si="568"/>
        <v>-2.6671115283985358E-2</v>
      </c>
      <c r="HN669" s="15">
        <f>((HJ669*HJ669)/(AR359*HH669*HH669)+(HG669*HG669)/(AR359*HE669*HE669))</f>
        <v>5.0000000000000001E-3</v>
      </c>
      <c r="HP669" s="15" t="s">
        <v>766</v>
      </c>
      <c r="HV669" s="15">
        <f t="shared" si="569"/>
        <v>-764.87240157704082</v>
      </c>
      <c r="HW669" s="15">
        <f t="shared" si="570"/>
        <v>-2.6671115283985358E-2</v>
      </c>
      <c r="HX669" s="15">
        <f t="shared" ref="HX669:HX710" si="590">DU669</f>
        <v>2040</v>
      </c>
      <c r="HY669" s="15">
        <f t="shared" ref="HY669:HY711" si="591">DS669</f>
        <v>10200</v>
      </c>
      <c r="HZ669" s="15">
        <f t="shared" ref="HZ669:HZ711" si="592">DT669</f>
        <v>17</v>
      </c>
      <c r="IA669" s="15">
        <f t="shared" ref="IA669:IA711" si="593">DU669</f>
        <v>2040</v>
      </c>
    </row>
    <row r="670" spans="1:235" s="70" customFormat="1" x14ac:dyDescent="0.25">
      <c r="A670" s="31">
        <v>668</v>
      </c>
      <c r="B670" s="60">
        <v>97</v>
      </c>
      <c r="C670" s="1">
        <v>115</v>
      </c>
      <c r="D670" s="15" t="s">
        <v>1529</v>
      </c>
      <c r="E670" s="1">
        <v>5</v>
      </c>
      <c r="F670" s="15" t="s">
        <v>798</v>
      </c>
      <c r="G670" s="70" t="s">
        <v>1530</v>
      </c>
      <c r="H670" s="70" t="s">
        <v>839</v>
      </c>
      <c r="I670" s="60">
        <v>2014</v>
      </c>
      <c r="J670" s="70" t="s">
        <v>1527</v>
      </c>
      <c r="K670" s="60" t="s">
        <v>1062</v>
      </c>
      <c r="L670" s="70" t="s">
        <v>1531</v>
      </c>
      <c r="M670" s="15" t="s">
        <v>480</v>
      </c>
      <c r="N670" s="15" t="s">
        <v>520</v>
      </c>
      <c r="O670" s="31">
        <v>2</v>
      </c>
      <c r="P670" s="70">
        <v>31.05</v>
      </c>
      <c r="Q670" s="70">
        <v>104.19</v>
      </c>
      <c r="S670" s="70">
        <v>891</v>
      </c>
      <c r="T670" s="70">
        <v>16.3</v>
      </c>
      <c r="U670" s="15" t="s">
        <v>549</v>
      </c>
      <c r="V670" s="31">
        <v>1</v>
      </c>
      <c r="W670" s="70" t="s">
        <v>1176</v>
      </c>
      <c r="X670" s="70" t="s">
        <v>689</v>
      </c>
      <c r="Y670" s="60">
        <v>1</v>
      </c>
      <c r="Z670" s="70">
        <v>5.5</v>
      </c>
      <c r="AA670" s="15" t="s">
        <v>574</v>
      </c>
      <c r="AB670" s="15">
        <f t="shared" si="564"/>
        <v>5.5</v>
      </c>
      <c r="AC670" s="1">
        <v>3</v>
      </c>
      <c r="AD670" s="70">
        <v>31.3</v>
      </c>
      <c r="AM670" s="60"/>
      <c r="AN670" s="70">
        <v>1.2</v>
      </c>
      <c r="AP670" s="70" t="s">
        <v>1334</v>
      </c>
      <c r="AQ670" s="61">
        <v>3</v>
      </c>
      <c r="AR670" s="1">
        <v>3</v>
      </c>
      <c r="DB670" s="70" t="s">
        <v>1544</v>
      </c>
      <c r="DD670" s="70" t="s">
        <v>1545</v>
      </c>
      <c r="DE670" s="70">
        <f t="shared" ref="DE670:DE682" si="594">10200+95000</f>
        <v>105200</v>
      </c>
      <c r="DF670" s="15" t="s">
        <v>766</v>
      </c>
      <c r="DS670" s="15">
        <f>DE670</f>
        <v>105200</v>
      </c>
      <c r="DT670" s="15">
        <f t="shared" si="579"/>
        <v>175.33333333333334</v>
      </c>
      <c r="DU670" s="15">
        <f t="shared" si="580"/>
        <v>21040</v>
      </c>
      <c r="EZ670" s="70">
        <f t="shared" si="581"/>
        <v>1.4575</v>
      </c>
      <c r="FA670" s="15">
        <f t="shared" si="582"/>
        <v>7.2875000000000009E-2</v>
      </c>
      <c r="FB670" s="15">
        <f>FA670*SQRT(AR670)</f>
        <v>0.12622320260158193</v>
      </c>
      <c r="FC670" s="70">
        <f t="shared" si="583"/>
        <v>1.3525</v>
      </c>
      <c r="FD670" s="15">
        <f t="shared" si="584"/>
        <v>6.7625000000000005E-2</v>
      </c>
      <c r="FE670" s="15">
        <f>FD670*SQRT(AR670)</f>
        <v>0.11712993586184532</v>
      </c>
      <c r="FF670" s="15">
        <f t="shared" si="585"/>
        <v>0.92795883361921094</v>
      </c>
      <c r="FG670" s="15">
        <f t="shared" si="586"/>
        <v>-0.10499999999999998</v>
      </c>
      <c r="FH670" s="15">
        <f t="shared" si="587"/>
        <v>-7.4767907504010855E-2</v>
      </c>
      <c r="FI670" s="15">
        <f>((FE670*FE670)/(AR670*FC670*FC670)+(FB670*FB670)/(AR670*EZ670*EZ670))</f>
        <v>4.9999999999999992E-3</v>
      </c>
      <c r="FJ670" s="15"/>
      <c r="FK670" s="16"/>
      <c r="FL670" s="16"/>
      <c r="FX670" s="15">
        <f t="shared" si="588"/>
        <v>18.25</v>
      </c>
      <c r="FY670" s="15">
        <f t="shared" si="574"/>
        <v>0.91250000000000009</v>
      </c>
      <c r="FZ670" s="15">
        <f>FY670*SQRT(AR670)</f>
        <v>1.5804963619066006</v>
      </c>
      <c r="GA670" s="15">
        <f t="shared" si="589"/>
        <v>29.5</v>
      </c>
      <c r="GB670" s="15">
        <f t="shared" si="575"/>
        <v>1.4750000000000001</v>
      </c>
      <c r="GC670" s="15">
        <f>GB670*SQRT(AR670)</f>
        <v>2.5547749411640939</v>
      </c>
      <c r="GD670" s="15">
        <f t="shared" si="576"/>
        <v>1.6164383561643836</v>
      </c>
      <c r="GE670" s="15">
        <f t="shared" si="577"/>
        <v>11.25</v>
      </c>
      <c r="GF670" s="15">
        <f t="shared" si="578"/>
        <v>0.48022518331727371</v>
      </c>
      <c r="GG670" s="15">
        <f>((GC670*GC670)/(AR670*GA670*GA670)+(FZ670*FZ670)/(AR670*FX670*FX670))</f>
        <v>4.9999999999999992E-3</v>
      </c>
      <c r="HE670" s="70">
        <v>9776</v>
      </c>
      <c r="HF670" s="70">
        <f t="shared" si="560"/>
        <v>488.8</v>
      </c>
      <c r="HG670" s="15">
        <f>HF670*SQRT(AR360)</f>
        <v>846.62643473966716</v>
      </c>
      <c r="HH670" s="70">
        <v>9855</v>
      </c>
      <c r="HI670" s="70">
        <f t="shared" si="561"/>
        <v>492.75</v>
      </c>
      <c r="HJ670" s="15">
        <f>HI670*SQRT(AR360)</f>
        <v>853.46803542956422</v>
      </c>
      <c r="HK670" s="70">
        <f t="shared" si="566"/>
        <v>1.0080810147299508</v>
      </c>
      <c r="HL670" s="15">
        <f t="shared" si="567"/>
        <v>79</v>
      </c>
      <c r="HM670" s="15">
        <f t="shared" si="568"/>
        <v>8.0485381754424878E-3</v>
      </c>
      <c r="HN670" s="15">
        <f>((HJ670*HJ670)/(AR360*HH670*HH670)+(HG670*HG670)/(AR360*HE670*HE670))</f>
        <v>4.9999999999999992E-3</v>
      </c>
      <c r="HP670" s="15" t="s">
        <v>766</v>
      </c>
      <c r="HV670" s="15">
        <f t="shared" si="569"/>
        <v>26141.393059669841</v>
      </c>
      <c r="HW670" s="15">
        <f t="shared" si="570"/>
        <v>8.0485381754424878E-3</v>
      </c>
      <c r="HX670" s="15">
        <f t="shared" si="590"/>
        <v>21040</v>
      </c>
      <c r="HY670" s="15">
        <f t="shared" si="591"/>
        <v>105200</v>
      </c>
      <c r="HZ670" s="15">
        <f t="shared" si="592"/>
        <v>175.33333333333334</v>
      </c>
      <c r="IA670" s="15">
        <f t="shared" si="593"/>
        <v>21040</v>
      </c>
    </row>
    <row r="671" spans="1:235" s="70" customFormat="1" x14ac:dyDescent="0.25">
      <c r="A671" s="31">
        <v>669</v>
      </c>
      <c r="B671" s="60">
        <v>97</v>
      </c>
      <c r="C671" s="1">
        <v>115</v>
      </c>
      <c r="D671" s="15" t="s">
        <v>1532</v>
      </c>
      <c r="E671" s="1">
        <v>5</v>
      </c>
      <c r="F671" s="15" t="s">
        <v>798</v>
      </c>
      <c r="G671" s="70" t="s">
        <v>1530</v>
      </c>
      <c r="H671" s="70" t="s">
        <v>839</v>
      </c>
      <c r="I671" s="60">
        <v>2014</v>
      </c>
      <c r="J671" s="70" t="s">
        <v>1527</v>
      </c>
      <c r="K671" s="60" t="s">
        <v>1062</v>
      </c>
      <c r="L671" s="70" t="s">
        <v>1531</v>
      </c>
      <c r="M671" s="15" t="s">
        <v>480</v>
      </c>
      <c r="N671" s="15" t="s">
        <v>520</v>
      </c>
      <c r="O671" s="31">
        <v>2</v>
      </c>
      <c r="P671" s="70">
        <v>31.05</v>
      </c>
      <c r="Q671" s="70">
        <v>104.19</v>
      </c>
      <c r="S671" s="70">
        <v>891</v>
      </c>
      <c r="T671" s="70">
        <v>16.3</v>
      </c>
      <c r="U671" s="15" t="s">
        <v>549</v>
      </c>
      <c r="V671" s="31">
        <v>1</v>
      </c>
      <c r="W671" s="70" t="s">
        <v>1176</v>
      </c>
      <c r="X671" s="70" t="s">
        <v>689</v>
      </c>
      <c r="Y671" s="60">
        <v>1</v>
      </c>
      <c r="Z671" s="70">
        <v>5.5</v>
      </c>
      <c r="AA671" s="15" t="s">
        <v>574</v>
      </c>
      <c r="AB671" s="15">
        <f t="shared" si="564"/>
        <v>5.5</v>
      </c>
      <c r="AC671" s="1">
        <v>3</v>
      </c>
      <c r="AD671" s="70">
        <v>31.3</v>
      </c>
      <c r="AM671" s="60"/>
      <c r="AN671" s="70">
        <v>1.2</v>
      </c>
      <c r="AP671" s="70" t="s">
        <v>1334</v>
      </c>
      <c r="AQ671" s="61">
        <v>3</v>
      </c>
      <c r="AR671" s="1">
        <v>3</v>
      </c>
      <c r="DB671" s="70" t="s">
        <v>1544</v>
      </c>
      <c r="DD671" s="70" t="s">
        <v>1545</v>
      </c>
      <c r="DE671" s="70">
        <f t="shared" si="594"/>
        <v>105200</v>
      </c>
      <c r="DF671" s="15" t="s">
        <v>766</v>
      </c>
      <c r="DS671" s="15">
        <f>DE671</f>
        <v>105200</v>
      </c>
      <c r="DT671" s="15">
        <f t="shared" si="579"/>
        <v>175.33333333333334</v>
      </c>
      <c r="DU671" s="15">
        <f t="shared" si="580"/>
        <v>21040</v>
      </c>
      <c r="EZ671" s="70">
        <f t="shared" si="581"/>
        <v>1.4575</v>
      </c>
      <c r="FA671" s="15">
        <f t="shared" si="582"/>
        <v>7.2875000000000009E-2</v>
      </c>
      <c r="FB671" s="15">
        <f>FA671*SQRT(AR671)</f>
        <v>0.12622320260158193</v>
      </c>
      <c r="FC671" s="70">
        <f t="shared" si="583"/>
        <v>1.3525</v>
      </c>
      <c r="FD671" s="15">
        <f t="shared" si="584"/>
        <v>6.7625000000000005E-2</v>
      </c>
      <c r="FE671" s="15">
        <f>FD671*SQRT(AR671)</f>
        <v>0.11712993586184532</v>
      </c>
      <c r="FF671" s="15">
        <f t="shared" si="585"/>
        <v>0.92795883361921094</v>
      </c>
      <c r="FG671" s="15">
        <f t="shared" si="586"/>
        <v>-0.10499999999999998</v>
      </c>
      <c r="FH671" s="15">
        <f t="shared" si="587"/>
        <v>-7.4767907504010855E-2</v>
      </c>
      <c r="FI671" s="15">
        <f>((FE671*FE671)/(AR671*FC671*FC671)+(FB671*FB671)/(AR671*EZ671*EZ671))</f>
        <v>4.9999999999999992E-3</v>
      </c>
      <c r="FJ671" s="15"/>
      <c r="FK671" s="16"/>
      <c r="FL671" s="16"/>
      <c r="FX671" s="15">
        <f t="shared" si="588"/>
        <v>18.25</v>
      </c>
      <c r="FY671" s="15">
        <f t="shared" si="574"/>
        <v>0.91250000000000009</v>
      </c>
      <c r="FZ671" s="15">
        <f>FY671*SQRT(AR671)</f>
        <v>1.5804963619066006</v>
      </c>
      <c r="GA671" s="15">
        <f t="shared" si="589"/>
        <v>29.5</v>
      </c>
      <c r="GB671" s="15">
        <f t="shared" si="575"/>
        <v>1.4750000000000001</v>
      </c>
      <c r="GC671" s="15">
        <f>GB671*SQRT(AR671)</f>
        <v>2.5547749411640939</v>
      </c>
      <c r="GD671" s="15">
        <f t="shared" si="576"/>
        <v>1.6164383561643836</v>
      </c>
      <c r="GE671" s="15">
        <f t="shared" si="577"/>
        <v>11.25</v>
      </c>
      <c r="GF671" s="15">
        <f t="shared" si="578"/>
        <v>0.48022518331727371</v>
      </c>
      <c r="GG671" s="15">
        <f>((GC671*GC671)/(AR671*GA671*GA671)+(FZ671*FZ671)/(AR671*FX671*FX671))</f>
        <v>4.9999999999999992E-3</v>
      </c>
      <c r="HE671" s="70">
        <v>10150</v>
      </c>
      <c r="HF671" s="70">
        <f t="shared" si="560"/>
        <v>507.5</v>
      </c>
      <c r="HG671" s="15">
        <f>HF671*SQRT(AR361)</f>
        <v>879.01578484120523</v>
      </c>
      <c r="HH671" s="70">
        <v>10572</v>
      </c>
      <c r="HI671" s="70">
        <f t="shared" si="561"/>
        <v>528.6</v>
      </c>
      <c r="HJ671" s="15">
        <f>HI671*SQRT(AR361)</f>
        <v>915.56205688090847</v>
      </c>
      <c r="HK671" s="70">
        <f t="shared" si="566"/>
        <v>1.0415763546798029</v>
      </c>
      <c r="HL671" s="15">
        <f t="shared" si="567"/>
        <v>422</v>
      </c>
      <c r="HM671" s="15">
        <f t="shared" si="568"/>
        <v>4.073529125424713E-2</v>
      </c>
      <c r="HN671" s="15">
        <f>((HJ671*HJ671)/(AR361*HH671*HH671)+(HG671*HG671)/(AR361*HE671*HE671))</f>
        <v>4.9999999999999992E-3</v>
      </c>
      <c r="HP671" s="15" t="s">
        <v>766</v>
      </c>
      <c r="HV671" s="15">
        <f t="shared" si="569"/>
        <v>5165.0545146909517</v>
      </c>
      <c r="HW671" s="15">
        <f t="shared" si="570"/>
        <v>4.073529125424713E-2</v>
      </c>
      <c r="HX671" s="15">
        <f t="shared" si="590"/>
        <v>21040</v>
      </c>
      <c r="HY671" s="15">
        <f t="shared" si="591"/>
        <v>105200</v>
      </c>
      <c r="HZ671" s="15">
        <f t="shared" si="592"/>
        <v>175.33333333333334</v>
      </c>
      <c r="IA671" s="15">
        <f t="shared" si="593"/>
        <v>21040</v>
      </c>
    </row>
    <row r="672" spans="1:235" s="70" customFormat="1" x14ac:dyDescent="0.25">
      <c r="A672" s="31">
        <v>670</v>
      </c>
      <c r="B672" s="60">
        <v>97</v>
      </c>
      <c r="C672" s="1">
        <v>115</v>
      </c>
      <c r="D672" s="15" t="s">
        <v>1533</v>
      </c>
      <c r="E672" s="1">
        <v>5</v>
      </c>
      <c r="F672" s="15" t="s">
        <v>798</v>
      </c>
      <c r="G672" s="70" t="s">
        <v>1530</v>
      </c>
      <c r="H672" s="70" t="s">
        <v>839</v>
      </c>
      <c r="I672" s="60">
        <v>2014</v>
      </c>
      <c r="J672" s="70" t="s">
        <v>1527</v>
      </c>
      <c r="K672" s="60" t="s">
        <v>1062</v>
      </c>
      <c r="L672" s="70" t="s">
        <v>1531</v>
      </c>
      <c r="M672" s="15" t="s">
        <v>480</v>
      </c>
      <c r="N672" s="15" t="s">
        <v>520</v>
      </c>
      <c r="O672" s="31">
        <v>2</v>
      </c>
      <c r="P672" s="70">
        <v>31.05</v>
      </c>
      <c r="Q672" s="70">
        <v>104.19</v>
      </c>
      <c r="S672" s="70">
        <v>891</v>
      </c>
      <c r="T672" s="70">
        <v>16.3</v>
      </c>
      <c r="U672" s="15" t="s">
        <v>549</v>
      </c>
      <c r="V672" s="31">
        <v>1</v>
      </c>
      <c r="W672" s="70" t="s">
        <v>1176</v>
      </c>
      <c r="X672" s="70" t="s">
        <v>689</v>
      </c>
      <c r="Y672" s="60">
        <v>1</v>
      </c>
      <c r="Z672" s="70">
        <v>5.5</v>
      </c>
      <c r="AA672" s="15" t="s">
        <v>574</v>
      </c>
      <c r="AB672" s="15">
        <f t="shared" si="564"/>
        <v>5.5</v>
      </c>
      <c r="AC672" s="1">
        <v>3</v>
      </c>
      <c r="AD672" s="70">
        <v>31.3</v>
      </c>
      <c r="AM672" s="60"/>
      <c r="AN672" s="70">
        <v>1.2</v>
      </c>
      <c r="AP672" s="70" t="s">
        <v>1334</v>
      </c>
      <c r="AQ672" s="61">
        <v>3</v>
      </c>
      <c r="AR672" s="1">
        <v>3</v>
      </c>
      <c r="DB672" s="70" t="s">
        <v>1544</v>
      </c>
      <c r="DD672" s="70" t="s">
        <v>1545</v>
      </c>
      <c r="DE672" s="70">
        <f t="shared" si="594"/>
        <v>105200</v>
      </c>
      <c r="DF672" s="15" t="s">
        <v>766</v>
      </c>
      <c r="DS672" s="15">
        <f>DE672</f>
        <v>105200</v>
      </c>
      <c r="DT672" s="15">
        <f t="shared" si="579"/>
        <v>175.33333333333334</v>
      </c>
      <c r="DU672" s="15">
        <f t="shared" si="580"/>
        <v>21040</v>
      </c>
      <c r="EZ672" s="70">
        <f t="shared" si="581"/>
        <v>1.4575</v>
      </c>
      <c r="FA672" s="15">
        <f t="shared" si="582"/>
        <v>7.2875000000000009E-2</v>
      </c>
      <c r="FB672" s="15">
        <f>FA672*SQRT(AR672)</f>
        <v>0.12622320260158193</v>
      </c>
      <c r="FC672" s="70">
        <f t="shared" si="583"/>
        <v>1.3525</v>
      </c>
      <c r="FD672" s="15">
        <f t="shared" si="584"/>
        <v>6.7625000000000005E-2</v>
      </c>
      <c r="FE672" s="15">
        <f>FD672*SQRT(AR672)</f>
        <v>0.11712993586184532</v>
      </c>
      <c r="FF672" s="15">
        <f t="shared" si="585"/>
        <v>0.92795883361921094</v>
      </c>
      <c r="FG672" s="15">
        <f t="shared" si="586"/>
        <v>-0.10499999999999998</v>
      </c>
      <c r="FH672" s="15">
        <f t="shared" si="587"/>
        <v>-7.4767907504010855E-2</v>
      </c>
      <c r="FI672" s="15">
        <f>((FE672*FE672)/(AR672*FC672*FC672)+(FB672*FB672)/(AR672*EZ672*EZ672))</f>
        <v>4.9999999999999992E-3</v>
      </c>
      <c r="FJ672" s="15"/>
      <c r="FK672" s="16"/>
      <c r="FL672" s="16"/>
      <c r="FX672" s="15">
        <f t="shared" si="588"/>
        <v>18.25</v>
      </c>
      <c r="FY672" s="15">
        <f t="shared" si="574"/>
        <v>0.91250000000000009</v>
      </c>
      <c r="FZ672" s="15">
        <f>FY672*SQRT(AR672)</f>
        <v>1.5804963619066006</v>
      </c>
      <c r="GA672" s="15">
        <f t="shared" si="589"/>
        <v>29.5</v>
      </c>
      <c r="GB672" s="15">
        <f t="shared" si="575"/>
        <v>1.4750000000000001</v>
      </c>
      <c r="GC672" s="15">
        <f>GB672*SQRT(AR672)</f>
        <v>2.5547749411640939</v>
      </c>
      <c r="GD672" s="15">
        <f t="shared" si="576"/>
        <v>1.6164383561643836</v>
      </c>
      <c r="GE672" s="15">
        <f t="shared" si="577"/>
        <v>11.25</v>
      </c>
      <c r="GF672" s="15">
        <f t="shared" si="578"/>
        <v>0.48022518331727371</v>
      </c>
      <c r="GG672" s="15">
        <f>((GC672*GC672)/(AR672*GA672*GA672)+(FZ672*FZ672)/(AR672*FX672*FX672))</f>
        <v>4.9999999999999992E-3</v>
      </c>
      <c r="HE672" s="70">
        <v>10091</v>
      </c>
      <c r="HF672" s="70">
        <f t="shared" si="560"/>
        <v>504.55</v>
      </c>
      <c r="HG672" s="15">
        <f>HF672*SQRT(AR362)</f>
        <v>873.90623495887701</v>
      </c>
      <c r="HH672" s="70">
        <v>11256</v>
      </c>
      <c r="HI672" s="70">
        <f t="shared" si="561"/>
        <v>562.80000000000007</v>
      </c>
      <c r="HJ672" s="15">
        <f>HI672*SQRT(AR362)</f>
        <v>974.79819449976424</v>
      </c>
      <c r="HK672" s="70">
        <f t="shared" si="566"/>
        <v>1.1154494103656725</v>
      </c>
      <c r="HL672" s="15">
        <f t="shared" si="567"/>
        <v>1165</v>
      </c>
      <c r="HM672" s="15">
        <f t="shared" si="568"/>
        <v>0.10925738232969628</v>
      </c>
      <c r="HN672" s="15">
        <f>((HJ672*HJ672)/(AR362*HH672*HH672)+(HG672*HG672)/(AR362*HE672*HE672))</f>
        <v>5.0000000000000001E-3</v>
      </c>
      <c r="HP672" s="15" t="s">
        <v>766</v>
      </c>
      <c r="HV672" s="15">
        <f t="shared" si="569"/>
        <v>1925.7279967141685</v>
      </c>
      <c r="HW672" s="15">
        <f t="shared" si="570"/>
        <v>0.10925738232969628</v>
      </c>
      <c r="HX672" s="15">
        <f t="shared" si="590"/>
        <v>21040</v>
      </c>
      <c r="HY672" s="15">
        <f t="shared" si="591"/>
        <v>105200</v>
      </c>
      <c r="HZ672" s="15">
        <f t="shared" si="592"/>
        <v>175.33333333333334</v>
      </c>
      <c r="IA672" s="15">
        <f t="shared" si="593"/>
        <v>21040</v>
      </c>
    </row>
    <row r="673" spans="1:235" s="70" customFormat="1" x14ac:dyDescent="0.25">
      <c r="A673" s="31">
        <v>671</v>
      </c>
      <c r="B673" s="60">
        <v>97</v>
      </c>
      <c r="C673" s="1">
        <v>115</v>
      </c>
      <c r="D673" s="15" t="s">
        <v>1534</v>
      </c>
      <c r="E673" s="1">
        <v>5</v>
      </c>
      <c r="F673" s="15" t="s">
        <v>798</v>
      </c>
      <c r="G673" s="70" t="s">
        <v>1530</v>
      </c>
      <c r="H673" s="70" t="s">
        <v>839</v>
      </c>
      <c r="I673" s="60">
        <v>2014</v>
      </c>
      <c r="J673" s="70" t="s">
        <v>1527</v>
      </c>
      <c r="K673" s="60" t="s">
        <v>1062</v>
      </c>
      <c r="L673" s="70" t="s">
        <v>1531</v>
      </c>
      <c r="M673" s="15" t="s">
        <v>480</v>
      </c>
      <c r="N673" s="15" t="s">
        <v>520</v>
      </c>
      <c r="O673" s="31">
        <v>2</v>
      </c>
      <c r="P673" s="70">
        <v>31.05</v>
      </c>
      <c r="Q673" s="70">
        <v>104.19</v>
      </c>
      <c r="S673" s="70">
        <v>891</v>
      </c>
      <c r="T673" s="70">
        <v>16.3</v>
      </c>
      <c r="U673" s="15" t="s">
        <v>549</v>
      </c>
      <c r="V673" s="31">
        <v>1</v>
      </c>
      <c r="W673" s="70" t="s">
        <v>1176</v>
      </c>
      <c r="X673" s="70" t="s">
        <v>689</v>
      </c>
      <c r="Y673" s="60">
        <v>1</v>
      </c>
      <c r="Z673" s="70">
        <v>5.5</v>
      </c>
      <c r="AA673" s="15" t="s">
        <v>574</v>
      </c>
      <c r="AB673" s="15">
        <f t="shared" si="564"/>
        <v>5.5</v>
      </c>
      <c r="AC673" s="1">
        <v>3</v>
      </c>
      <c r="AD673" s="70">
        <v>31.3</v>
      </c>
      <c r="AM673" s="60"/>
      <c r="AN673" s="70">
        <v>1.2</v>
      </c>
      <c r="AP673" s="70" t="s">
        <v>1334</v>
      </c>
      <c r="AQ673" s="61">
        <v>3</v>
      </c>
      <c r="AR673" s="1">
        <v>3</v>
      </c>
      <c r="DB673" s="70" t="s">
        <v>1544</v>
      </c>
      <c r="DD673" s="70" t="s">
        <v>1545</v>
      </c>
      <c r="DE673" s="70">
        <f t="shared" si="594"/>
        <v>105200</v>
      </c>
      <c r="DF673" s="15" t="s">
        <v>766</v>
      </c>
      <c r="DS673" s="15">
        <f>DE673</f>
        <v>105200</v>
      </c>
      <c r="DT673" s="15">
        <f t="shared" si="579"/>
        <v>175.33333333333334</v>
      </c>
      <c r="DU673" s="15">
        <f t="shared" si="580"/>
        <v>21040</v>
      </c>
      <c r="EZ673" s="70">
        <f t="shared" si="581"/>
        <v>1.4575</v>
      </c>
      <c r="FA673" s="15">
        <f t="shared" si="582"/>
        <v>7.2875000000000009E-2</v>
      </c>
      <c r="FB673" s="15">
        <f>FA673*SQRT(AR673)</f>
        <v>0.12622320260158193</v>
      </c>
      <c r="FC673" s="70">
        <f t="shared" si="583"/>
        <v>1.3525</v>
      </c>
      <c r="FD673" s="15">
        <f t="shared" si="584"/>
        <v>6.7625000000000005E-2</v>
      </c>
      <c r="FE673" s="15">
        <f>FD673*SQRT(AR673)</f>
        <v>0.11712993586184532</v>
      </c>
      <c r="FF673" s="15">
        <f t="shared" si="585"/>
        <v>0.92795883361921094</v>
      </c>
      <c r="FG673" s="15">
        <f t="shared" si="586"/>
        <v>-0.10499999999999998</v>
      </c>
      <c r="FH673" s="15">
        <f t="shared" si="587"/>
        <v>-7.4767907504010855E-2</v>
      </c>
      <c r="FI673" s="15">
        <f>((FE673*FE673)/(AR673*FC673*FC673)+(FB673*FB673)/(AR673*EZ673*EZ673))</f>
        <v>4.9999999999999992E-3</v>
      </c>
      <c r="FJ673" s="15"/>
      <c r="FK673" s="16"/>
      <c r="FL673" s="16"/>
      <c r="FX673" s="15">
        <f t="shared" si="588"/>
        <v>18.25</v>
      </c>
      <c r="FY673" s="15">
        <f t="shared" si="574"/>
        <v>0.91250000000000009</v>
      </c>
      <c r="FZ673" s="15">
        <f>FY673*SQRT(AR673)</f>
        <v>1.5804963619066006</v>
      </c>
      <c r="GA673" s="15">
        <f t="shared" si="589"/>
        <v>29.5</v>
      </c>
      <c r="GB673" s="15">
        <f t="shared" si="575"/>
        <v>1.4750000000000001</v>
      </c>
      <c r="GC673" s="15">
        <f>GB673*SQRT(AR673)</f>
        <v>2.5547749411640939</v>
      </c>
      <c r="GD673" s="15">
        <f t="shared" si="576"/>
        <v>1.6164383561643836</v>
      </c>
      <c r="GE673" s="15">
        <f t="shared" si="577"/>
        <v>11.25</v>
      </c>
      <c r="GF673" s="15">
        <f t="shared" si="578"/>
        <v>0.48022518331727371</v>
      </c>
      <c r="GG673" s="15">
        <f>((GC673*GC673)/(AR673*GA673*GA673)+(FZ673*FZ673)/(AR673*FX673*FX673))</f>
        <v>4.9999999999999992E-3</v>
      </c>
      <c r="HE673" s="70">
        <v>10343</v>
      </c>
      <c r="HF673" s="70">
        <f t="shared" si="560"/>
        <v>517.15</v>
      </c>
      <c r="HG673" s="15">
        <f>HF673*SQRT(AR363)</f>
        <v>895.73007513424477</v>
      </c>
      <c r="HH673" s="70">
        <v>11369</v>
      </c>
      <c r="HI673" s="70">
        <f t="shared" si="561"/>
        <v>568.45000000000005</v>
      </c>
      <c r="HJ673" s="15">
        <f>HI673*SQRT(AR363)</f>
        <v>984.5842815625283</v>
      </c>
      <c r="HK673" s="70">
        <f t="shared" si="566"/>
        <v>1.099197524896065</v>
      </c>
      <c r="HL673" s="15">
        <f t="shared" si="567"/>
        <v>1026</v>
      </c>
      <c r="HM673" s="15">
        <f t="shared" si="568"/>
        <v>9.458039075130209E-2</v>
      </c>
      <c r="HN673" s="15">
        <f>((HJ673*HJ673)/(AR363*HH673*HH673)+(HG673*HG673)/(AR363*HE673*HE673))</f>
        <v>4.9999999999999992E-3</v>
      </c>
      <c r="HP673" s="15" t="s">
        <v>766</v>
      </c>
      <c r="HV673" s="15">
        <f t="shared" si="569"/>
        <v>2224.5626004363216</v>
      </c>
      <c r="HW673" s="15">
        <f t="shared" si="570"/>
        <v>9.458039075130209E-2</v>
      </c>
      <c r="HX673" s="15">
        <f t="shared" si="590"/>
        <v>21040</v>
      </c>
      <c r="HY673" s="15">
        <f t="shared" si="591"/>
        <v>105200</v>
      </c>
      <c r="HZ673" s="15">
        <f t="shared" si="592"/>
        <v>175.33333333333334</v>
      </c>
      <c r="IA673" s="15">
        <f t="shared" si="593"/>
        <v>21040</v>
      </c>
    </row>
    <row r="674" spans="1:235" s="70" customFormat="1" x14ac:dyDescent="0.25">
      <c r="A674" s="31">
        <v>672</v>
      </c>
      <c r="B674" s="60">
        <v>97</v>
      </c>
      <c r="C674" s="1">
        <v>115</v>
      </c>
      <c r="D674" s="15" t="s">
        <v>1535</v>
      </c>
      <c r="E674" s="1">
        <v>5</v>
      </c>
      <c r="F674" s="15" t="s">
        <v>798</v>
      </c>
      <c r="G674" s="70" t="s">
        <v>1530</v>
      </c>
      <c r="H674" s="70" t="s">
        <v>839</v>
      </c>
      <c r="I674" s="60">
        <v>2014</v>
      </c>
      <c r="J674" s="70" t="s">
        <v>1527</v>
      </c>
      <c r="K674" s="60" t="s">
        <v>1062</v>
      </c>
      <c r="L674" s="70" t="s">
        <v>1531</v>
      </c>
      <c r="M674" s="15" t="s">
        <v>480</v>
      </c>
      <c r="N674" s="15" t="s">
        <v>520</v>
      </c>
      <c r="O674" s="31">
        <v>2</v>
      </c>
      <c r="P674" s="70">
        <v>31.05</v>
      </c>
      <c r="Q674" s="70">
        <v>104.19</v>
      </c>
      <c r="S674" s="70">
        <v>891</v>
      </c>
      <c r="T674" s="70">
        <v>16.3</v>
      </c>
      <c r="U674" s="15" t="s">
        <v>549</v>
      </c>
      <c r="V674" s="31">
        <v>1</v>
      </c>
      <c r="W674" s="70" t="s">
        <v>1176</v>
      </c>
      <c r="X674" s="70" t="s">
        <v>689</v>
      </c>
      <c r="Y674" s="60">
        <v>1</v>
      </c>
      <c r="Z674" s="70">
        <v>5.5</v>
      </c>
      <c r="AA674" s="15" t="s">
        <v>574</v>
      </c>
      <c r="AB674" s="15">
        <f t="shared" si="564"/>
        <v>5.5</v>
      </c>
      <c r="AC674" s="1">
        <v>3</v>
      </c>
      <c r="AD674" s="70">
        <v>31.3</v>
      </c>
      <c r="AM674" s="60"/>
      <c r="AN674" s="70">
        <v>1.2</v>
      </c>
      <c r="AP674" s="70" t="s">
        <v>1334</v>
      </c>
      <c r="AQ674" s="61">
        <v>3</v>
      </c>
      <c r="AR674" s="1">
        <v>3</v>
      </c>
      <c r="DB674" s="70" t="s">
        <v>1544</v>
      </c>
      <c r="DD674" s="70" t="s">
        <v>1545</v>
      </c>
      <c r="DE674" s="70">
        <f t="shared" si="594"/>
        <v>105200</v>
      </c>
      <c r="DF674" s="15" t="s">
        <v>766</v>
      </c>
      <c r="DS674" s="15">
        <f>DE674</f>
        <v>105200</v>
      </c>
      <c r="DT674" s="15">
        <f t="shared" si="579"/>
        <v>175.33333333333334</v>
      </c>
      <c r="DU674" s="15">
        <f t="shared" si="580"/>
        <v>21040</v>
      </c>
      <c r="EZ674" s="70">
        <f t="shared" si="581"/>
        <v>1.4575</v>
      </c>
      <c r="FA674" s="15">
        <f t="shared" si="582"/>
        <v>7.2875000000000009E-2</v>
      </c>
      <c r="FB674" s="15">
        <f>FA674*SQRT(AR674)</f>
        <v>0.12622320260158193</v>
      </c>
      <c r="FC674" s="70">
        <f t="shared" si="583"/>
        <v>1.3525</v>
      </c>
      <c r="FD674" s="15">
        <f t="shared" si="584"/>
        <v>6.7625000000000005E-2</v>
      </c>
      <c r="FE674" s="15">
        <f>FD674*SQRT(AR674)</f>
        <v>0.11712993586184532</v>
      </c>
      <c r="FF674" s="15">
        <f t="shared" si="585"/>
        <v>0.92795883361921094</v>
      </c>
      <c r="FG674" s="15">
        <f t="shared" si="586"/>
        <v>-0.10499999999999998</v>
      </c>
      <c r="FH674" s="15">
        <f t="shared" si="587"/>
        <v>-7.4767907504010855E-2</v>
      </c>
      <c r="FI674" s="15">
        <f>((FE674*FE674)/(AR674*FC674*FC674)+(FB674*FB674)/(AR674*EZ674*EZ674))</f>
        <v>4.9999999999999992E-3</v>
      </c>
      <c r="FJ674" s="15"/>
      <c r="FK674" s="16"/>
      <c r="FL674" s="16"/>
      <c r="FX674" s="15">
        <f t="shared" si="588"/>
        <v>18.25</v>
      </c>
      <c r="FY674" s="15">
        <f t="shared" si="574"/>
        <v>0.91250000000000009</v>
      </c>
      <c r="FZ674" s="15">
        <f>FY674*SQRT(AR674)</f>
        <v>1.5804963619066006</v>
      </c>
      <c r="GA674" s="15">
        <f t="shared" si="589"/>
        <v>29.5</v>
      </c>
      <c r="GB674" s="15">
        <f t="shared" si="575"/>
        <v>1.4750000000000001</v>
      </c>
      <c r="GC674" s="15">
        <f>GB674*SQRT(AR674)</f>
        <v>2.5547749411640939</v>
      </c>
      <c r="GD674" s="15">
        <f t="shared" si="576"/>
        <v>1.6164383561643836</v>
      </c>
      <c r="GE674" s="15">
        <f t="shared" si="577"/>
        <v>11.25</v>
      </c>
      <c r="GF674" s="15">
        <f t="shared" si="578"/>
        <v>0.48022518331727371</v>
      </c>
      <c r="GG674" s="15">
        <f>((GC674*GC674)/(AR674*GA674*GA674)+(FZ674*FZ674)/(AR674*FX674*FX674))</f>
        <v>4.9999999999999992E-3</v>
      </c>
      <c r="HE674" s="70">
        <v>10267</v>
      </c>
      <c r="HF674" s="70">
        <f t="shared" si="560"/>
        <v>513.35</v>
      </c>
      <c r="HG674" s="15">
        <f>HF674*SQRT(AR364)</f>
        <v>889.14828206548316</v>
      </c>
      <c r="HH674" s="70">
        <v>11122</v>
      </c>
      <c r="HI674" s="70">
        <f t="shared" si="561"/>
        <v>556.1</v>
      </c>
      <c r="HJ674" s="15">
        <f>HI674*SQRT(AR364)</f>
        <v>963.19345408905269</v>
      </c>
      <c r="HK674" s="70">
        <f t="shared" si="566"/>
        <v>1.0832765169962015</v>
      </c>
      <c r="HL674" s="15">
        <f t="shared" si="567"/>
        <v>855</v>
      </c>
      <c r="HM674" s="15">
        <f t="shared" si="568"/>
        <v>7.9990260448543182E-2</v>
      </c>
      <c r="HN674" s="15">
        <f>((HJ674*HJ674)/(AR364*HH674*HH674)+(HG674*HG674)/(AR364*HE674*HE674))</f>
        <v>5.0000000000000001E-3</v>
      </c>
      <c r="HP674" s="15" t="s">
        <v>766</v>
      </c>
      <c r="HV674" s="15">
        <f t="shared" si="569"/>
        <v>2630.3202267399529</v>
      </c>
      <c r="HW674" s="15">
        <f t="shared" si="570"/>
        <v>7.9990260448543182E-2</v>
      </c>
      <c r="HX674" s="15">
        <f t="shared" si="590"/>
        <v>21040</v>
      </c>
      <c r="HY674" s="15">
        <f t="shared" si="591"/>
        <v>105200</v>
      </c>
      <c r="HZ674" s="15">
        <f t="shared" si="592"/>
        <v>175.33333333333334</v>
      </c>
      <c r="IA674" s="15">
        <f t="shared" si="593"/>
        <v>21040</v>
      </c>
    </row>
    <row r="675" spans="1:235" s="70" customFormat="1" x14ac:dyDescent="0.25">
      <c r="A675" s="31">
        <v>673</v>
      </c>
      <c r="B675" s="60">
        <v>97</v>
      </c>
      <c r="C675" s="1">
        <v>115</v>
      </c>
      <c r="D675" s="15" t="s">
        <v>1536</v>
      </c>
      <c r="E675" s="1">
        <v>5</v>
      </c>
      <c r="F675" s="15" t="s">
        <v>798</v>
      </c>
      <c r="G675" s="70" t="s">
        <v>1530</v>
      </c>
      <c r="H675" s="70" t="s">
        <v>839</v>
      </c>
      <c r="I675" s="60">
        <v>2014</v>
      </c>
      <c r="J675" s="70" t="s">
        <v>1527</v>
      </c>
      <c r="K675" s="60" t="s">
        <v>1062</v>
      </c>
      <c r="L675" s="70" t="s">
        <v>1531</v>
      </c>
      <c r="M675" s="15" t="s">
        <v>480</v>
      </c>
      <c r="N675" s="15" t="s">
        <v>520</v>
      </c>
      <c r="O675" s="31">
        <v>2</v>
      </c>
      <c r="P675" s="70">
        <v>31.05</v>
      </c>
      <c r="Q675" s="70">
        <v>104.19</v>
      </c>
      <c r="S675" s="70">
        <v>891</v>
      </c>
      <c r="T675" s="70">
        <v>16.3</v>
      </c>
      <c r="U675" s="15" t="s">
        <v>549</v>
      </c>
      <c r="V675" s="31">
        <v>1</v>
      </c>
      <c r="W675" s="70" t="s">
        <v>1176</v>
      </c>
      <c r="X675" s="70" t="s">
        <v>689</v>
      </c>
      <c r="Y675" s="60">
        <v>1</v>
      </c>
      <c r="Z675" s="70">
        <v>5.5</v>
      </c>
      <c r="AA675" s="15" t="s">
        <v>574</v>
      </c>
      <c r="AB675" s="15">
        <f t="shared" si="564"/>
        <v>5.5</v>
      </c>
      <c r="AC675" s="1">
        <v>3</v>
      </c>
      <c r="AD675" s="70">
        <v>31.3</v>
      </c>
      <c r="AM675" s="60"/>
      <c r="AN675" s="70">
        <v>1.2</v>
      </c>
      <c r="AP675" s="70" t="s">
        <v>1334</v>
      </c>
      <c r="AQ675" s="61">
        <v>3</v>
      </c>
      <c r="AR675" s="1">
        <v>3</v>
      </c>
      <c r="DB675" s="70" t="s">
        <v>1544</v>
      </c>
      <c r="DD675" s="70" t="s">
        <v>1545</v>
      </c>
      <c r="DE675" s="70">
        <f t="shared" si="594"/>
        <v>105200</v>
      </c>
      <c r="DF675" s="15" t="s">
        <v>766</v>
      </c>
      <c r="DS675" s="15">
        <f>DE675</f>
        <v>105200</v>
      </c>
      <c r="DT675" s="15">
        <f t="shared" si="579"/>
        <v>175.33333333333334</v>
      </c>
      <c r="DU675" s="15">
        <f t="shared" si="580"/>
        <v>21040</v>
      </c>
      <c r="EZ675" s="70">
        <f t="shared" si="581"/>
        <v>1.4575</v>
      </c>
      <c r="FA675" s="15">
        <f t="shared" si="582"/>
        <v>7.2875000000000009E-2</v>
      </c>
      <c r="FB675" s="15">
        <f>FA675*SQRT(AR675)</f>
        <v>0.12622320260158193</v>
      </c>
      <c r="FC675" s="70">
        <f t="shared" si="583"/>
        <v>1.3525</v>
      </c>
      <c r="FD675" s="15">
        <f t="shared" si="584"/>
        <v>6.7625000000000005E-2</v>
      </c>
      <c r="FE675" s="15">
        <f>FD675*SQRT(AR675)</f>
        <v>0.11712993586184532</v>
      </c>
      <c r="FF675" s="15">
        <f t="shared" si="585"/>
        <v>0.92795883361921094</v>
      </c>
      <c r="FG675" s="15">
        <f t="shared" si="586"/>
        <v>-0.10499999999999998</v>
      </c>
      <c r="FH675" s="15">
        <f t="shared" si="587"/>
        <v>-7.4767907504010855E-2</v>
      </c>
      <c r="FI675" s="15">
        <f>((FE675*FE675)/(AR675*FC675*FC675)+(FB675*FB675)/(AR675*EZ675*EZ675))</f>
        <v>4.9999999999999992E-3</v>
      </c>
      <c r="FJ675" s="15"/>
      <c r="FK675" s="16"/>
      <c r="FL675" s="16"/>
      <c r="FX675" s="15">
        <f t="shared" si="588"/>
        <v>18.25</v>
      </c>
      <c r="FY675" s="15">
        <f t="shared" si="574"/>
        <v>0.91250000000000009</v>
      </c>
      <c r="FZ675" s="15">
        <f>FY675*SQRT(AR675)</f>
        <v>1.5804963619066006</v>
      </c>
      <c r="GA675" s="15">
        <f t="shared" si="589"/>
        <v>29.5</v>
      </c>
      <c r="GB675" s="15">
        <f t="shared" si="575"/>
        <v>1.4750000000000001</v>
      </c>
      <c r="GC675" s="15">
        <f>GB675*SQRT(AR675)</f>
        <v>2.5547749411640939</v>
      </c>
      <c r="GD675" s="15">
        <f t="shared" si="576"/>
        <v>1.6164383561643836</v>
      </c>
      <c r="GE675" s="15">
        <f t="shared" si="577"/>
        <v>11.25</v>
      </c>
      <c r="GF675" s="15">
        <f t="shared" si="578"/>
        <v>0.48022518331727371</v>
      </c>
      <c r="GG675" s="15">
        <f>((GC675*GC675)/(AR675*GA675*GA675)+(FZ675*FZ675)/(AR675*FX675*FX675))</f>
        <v>4.9999999999999992E-3</v>
      </c>
      <c r="HE675" s="70">
        <v>9526</v>
      </c>
      <c r="HF675" s="70">
        <f t="shared" si="560"/>
        <v>476.3</v>
      </c>
      <c r="HG675" s="15">
        <f>HF675*SQRT(AR365)</f>
        <v>952.6</v>
      </c>
      <c r="HH675" s="70">
        <v>10485</v>
      </c>
      <c r="HI675" s="70">
        <f t="shared" si="561"/>
        <v>524.25</v>
      </c>
      <c r="HJ675" s="15">
        <f>HI675*SQRT(AR365)</f>
        <v>1048.5</v>
      </c>
      <c r="HK675" s="70">
        <f t="shared" si="566"/>
        <v>1.1006718454755406</v>
      </c>
      <c r="HL675" s="15">
        <f t="shared" si="567"/>
        <v>959</v>
      </c>
      <c r="HM675" s="15">
        <f t="shared" si="568"/>
        <v>9.592076197521493E-2</v>
      </c>
      <c r="HN675" s="15">
        <f>((HJ675*HJ675)/(AR365*HH675*HH675)+(HG675*HG675)/(AR365*HE675*HE675))</f>
        <v>5.0000000000000001E-3</v>
      </c>
      <c r="HP675" s="15" t="s">
        <v>766</v>
      </c>
      <c r="HV675" s="15">
        <f t="shared" si="569"/>
        <v>2193.4771541365099</v>
      </c>
      <c r="HW675" s="15">
        <f t="shared" si="570"/>
        <v>9.592076197521493E-2</v>
      </c>
      <c r="HX675" s="15">
        <f t="shared" si="590"/>
        <v>21040</v>
      </c>
      <c r="HY675" s="15">
        <f t="shared" si="591"/>
        <v>105200</v>
      </c>
      <c r="HZ675" s="15">
        <f t="shared" si="592"/>
        <v>175.33333333333334</v>
      </c>
      <c r="IA675" s="15">
        <f t="shared" si="593"/>
        <v>21040</v>
      </c>
    </row>
    <row r="676" spans="1:235" s="70" customFormat="1" x14ac:dyDescent="0.25">
      <c r="A676" s="31">
        <v>674</v>
      </c>
      <c r="B676" s="60">
        <v>97</v>
      </c>
      <c r="C676" s="1">
        <v>115</v>
      </c>
      <c r="D676" s="15" t="s">
        <v>1537</v>
      </c>
      <c r="E676" s="1">
        <v>5</v>
      </c>
      <c r="F676" s="15" t="s">
        <v>798</v>
      </c>
      <c r="G676" s="70" t="s">
        <v>1530</v>
      </c>
      <c r="H676" s="70" t="s">
        <v>839</v>
      </c>
      <c r="I676" s="60">
        <v>2014</v>
      </c>
      <c r="J676" s="70" t="s">
        <v>1527</v>
      </c>
      <c r="K676" s="60" t="s">
        <v>1062</v>
      </c>
      <c r="L676" s="70" t="s">
        <v>1531</v>
      </c>
      <c r="M676" s="15" t="s">
        <v>480</v>
      </c>
      <c r="N676" s="15" t="s">
        <v>520</v>
      </c>
      <c r="O676" s="31">
        <v>2</v>
      </c>
      <c r="P676" s="70">
        <v>31.05</v>
      </c>
      <c r="Q676" s="70">
        <v>104.19</v>
      </c>
      <c r="S676" s="70">
        <v>891</v>
      </c>
      <c r="T676" s="70">
        <v>16.3</v>
      </c>
      <c r="U676" s="15" t="s">
        <v>549</v>
      </c>
      <c r="V676" s="31">
        <v>1</v>
      </c>
      <c r="W676" s="70" t="s">
        <v>1176</v>
      </c>
      <c r="X676" s="70" t="s">
        <v>1195</v>
      </c>
      <c r="Y676" s="60">
        <v>5</v>
      </c>
      <c r="Z676" s="70">
        <v>5.5</v>
      </c>
      <c r="AA676" s="15" t="s">
        <v>574</v>
      </c>
      <c r="AB676" s="15">
        <f t="shared" si="564"/>
        <v>5.5</v>
      </c>
      <c r="AC676" s="1">
        <v>3</v>
      </c>
      <c r="AD676" s="70">
        <v>31.3</v>
      </c>
      <c r="AM676" s="60"/>
      <c r="AN676" s="70">
        <v>1.2</v>
      </c>
      <c r="AP676" s="70" t="s">
        <v>1334</v>
      </c>
      <c r="AQ676" s="61">
        <v>3</v>
      </c>
      <c r="AR676" s="1">
        <v>3</v>
      </c>
      <c r="DB676" s="70" t="s">
        <v>1544</v>
      </c>
      <c r="DD676" s="70" t="s">
        <v>1545</v>
      </c>
      <c r="DE676" s="70">
        <f t="shared" si="594"/>
        <v>105200</v>
      </c>
      <c r="DF676" s="15" t="s">
        <v>766</v>
      </c>
      <c r="DS676" s="15">
        <f>DE676</f>
        <v>105200</v>
      </c>
      <c r="DT676" s="15">
        <f t="shared" si="579"/>
        <v>175.33333333333334</v>
      </c>
      <c r="DU676" s="15">
        <f t="shared" si="580"/>
        <v>21040</v>
      </c>
      <c r="EZ676" s="70">
        <f t="shared" si="581"/>
        <v>1.4575</v>
      </c>
      <c r="FA676" s="15">
        <f t="shared" si="582"/>
        <v>7.2875000000000009E-2</v>
      </c>
      <c r="FB676" s="15">
        <f>FA676*SQRT(AR676)</f>
        <v>0.12622320260158193</v>
      </c>
      <c r="FC676" s="70">
        <f t="shared" si="583"/>
        <v>1.3525</v>
      </c>
      <c r="FD676" s="15">
        <f t="shared" si="584"/>
        <v>6.7625000000000005E-2</v>
      </c>
      <c r="FE676" s="15">
        <f>FD676*SQRT(AR676)</f>
        <v>0.11712993586184532</v>
      </c>
      <c r="FF676" s="15">
        <f t="shared" si="585"/>
        <v>0.92795883361921094</v>
      </c>
      <c r="FG676" s="15">
        <f t="shared" si="586"/>
        <v>-0.10499999999999998</v>
      </c>
      <c r="FH676" s="15">
        <f t="shared" si="587"/>
        <v>-7.4767907504010855E-2</v>
      </c>
      <c r="FI676" s="15">
        <f>((FE676*FE676)/(AR676*FC676*FC676)+(FB676*FB676)/(AR676*EZ676*EZ676))</f>
        <v>4.9999999999999992E-3</v>
      </c>
      <c r="FJ676" s="15"/>
      <c r="FK676" s="16"/>
      <c r="FL676" s="16"/>
      <c r="FX676" s="15">
        <f t="shared" si="588"/>
        <v>18.25</v>
      </c>
      <c r="FY676" s="15">
        <f t="shared" si="574"/>
        <v>0.91250000000000009</v>
      </c>
      <c r="FZ676" s="15">
        <f>FY676*SQRT(AR676)</f>
        <v>1.5804963619066006</v>
      </c>
      <c r="GA676" s="15">
        <f t="shared" si="589"/>
        <v>29.5</v>
      </c>
      <c r="GB676" s="15">
        <f t="shared" si="575"/>
        <v>1.4750000000000001</v>
      </c>
      <c r="GC676" s="15">
        <f>GB676*SQRT(AR676)</f>
        <v>2.5547749411640939</v>
      </c>
      <c r="GD676" s="15">
        <f t="shared" si="576"/>
        <v>1.6164383561643836</v>
      </c>
      <c r="GE676" s="15">
        <f t="shared" si="577"/>
        <v>11.25</v>
      </c>
      <c r="GF676" s="15">
        <f t="shared" si="578"/>
        <v>0.48022518331727371</v>
      </c>
      <c r="GG676" s="15">
        <f>((GC676*GC676)/(AR676*GA676*GA676)+(FZ676*FZ676)/(AR676*FX676*FX676))</f>
        <v>4.9999999999999992E-3</v>
      </c>
      <c r="HE676" s="70">
        <v>4077</v>
      </c>
      <c r="HF676" s="70">
        <f t="shared" si="560"/>
        <v>203.85000000000002</v>
      </c>
      <c r="HG676" s="15">
        <f>HF676*SQRT(AR366)</f>
        <v>407.70000000000005</v>
      </c>
      <c r="HH676" s="70">
        <v>4367</v>
      </c>
      <c r="HI676" s="70">
        <f t="shared" si="561"/>
        <v>218.35000000000002</v>
      </c>
      <c r="HJ676" s="15">
        <f>HI676*SQRT(AR366)</f>
        <v>436.70000000000005</v>
      </c>
      <c r="HK676" s="70">
        <f t="shared" si="566"/>
        <v>1.071130733382389</v>
      </c>
      <c r="HL676" s="15">
        <f t="shared" si="567"/>
        <v>290</v>
      </c>
      <c r="HM676" s="15">
        <f t="shared" si="568"/>
        <v>6.8714850666308891E-2</v>
      </c>
      <c r="HN676" s="15">
        <f>((HJ676*HJ676)/(AR366*HH676*HH676)+(HG676*HG676)/(AR366*HE676*HE676))</f>
        <v>5.000000000000001E-3</v>
      </c>
      <c r="HP676" s="15" t="s">
        <v>766</v>
      </c>
      <c r="HV676" s="15">
        <f t="shared" si="569"/>
        <v>3061.929087523431</v>
      </c>
      <c r="HW676" s="15">
        <f t="shared" si="570"/>
        <v>6.8714850666308891E-2</v>
      </c>
      <c r="HX676" s="15">
        <f t="shared" si="590"/>
        <v>21040</v>
      </c>
      <c r="HY676" s="15">
        <f t="shared" si="591"/>
        <v>105200</v>
      </c>
      <c r="HZ676" s="15">
        <f t="shared" si="592"/>
        <v>175.33333333333334</v>
      </c>
      <c r="IA676" s="15">
        <f t="shared" si="593"/>
        <v>21040</v>
      </c>
    </row>
    <row r="677" spans="1:235" s="70" customFormat="1" x14ac:dyDescent="0.25">
      <c r="A677" s="31">
        <v>675</v>
      </c>
      <c r="B677" s="60">
        <v>97</v>
      </c>
      <c r="C677" s="1">
        <v>115</v>
      </c>
      <c r="D677" s="15" t="s">
        <v>1538</v>
      </c>
      <c r="E677" s="1">
        <v>5</v>
      </c>
      <c r="F677" s="15" t="s">
        <v>798</v>
      </c>
      <c r="G677" s="70" t="s">
        <v>1530</v>
      </c>
      <c r="H677" s="70" t="s">
        <v>839</v>
      </c>
      <c r="I677" s="60">
        <v>2014</v>
      </c>
      <c r="J677" s="70" t="s">
        <v>1527</v>
      </c>
      <c r="K677" s="60" t="s">
        <v>1062</v>
      </c>
      <c r="L677" s="70" t="s">
        <v>1531</v>
      </c>
      <c r="M677" s="15" t="s">
        <v>480</v>
      </c>
      <c r="N677" s="15" t="s">
        <v>520</v>
      </c>
      <c r="O677" s="31">
        <v>2</v>
      </c>
      <c r="P677" s="70">
        <v>31.05</v>
      </c>
      <c r="Q677" s="70">
        <v>104.19</v>
      </c>
      <c r="S677" s="70">
        <v>891</v>
      </c>
      <c r="T677" s="70">
        <v>16.3</v>
      </c>
      <c r="U677" s="15" t="s">
        <v>549</v>
      </c>
      <c r="V677" s="31">
        <v>1</v>
      </c>
      <c r="W677" s="70" t="s">
        <v>1176</v>
      </c>
      <c r="X677" s="70" t="s">
        <v>1195</v>
      </c>
      <c r="Y677" s="60">
        <v>5</v>
      </c>
      <c r="Z677" s="70">
        <v>5.5</v>
      </c>
      <c r="AA677" s="15" t="s">
        <v>574</v>
      </c>
      <c r="AB677" s="15">
        <f t="shared" si="564"/>
        <v>5.5</v>
      </c>
      <c r="AC677" s="1">
        <v>3</v>
      </c>
      <c r="AD677" s="70">
        <v>31.3</v>
      </c>
      <c r="AM677" s="60"/>
      <c r="AN677" s="70">
        <v>1.2</v>
      </c>
      <c r="AP677" s="70" t="s">
        <v>1334</v>
      </c>
      <c r="AQ677" s="61">
        <v>3</v>
      </c>
      <c r="AR677" s="1">
        <v>3</v>
      </c>
      <c r="DB677" s="70" t="s">
        <v>1544</v>
      </c>
      <c r="DD677" s="70" t="s">
        <v>1545</v>
      </c>
      <c r="DE677" s="70">
        <f t="shared" si="594"/>
        <v>105200</v>
      </c>
      <c r="DF677" s="15" t="s">
        <v>766</v>
      </c>
      <c r="DS677" s="15">
        <f>DE677</f>
        <v>105200</v>
      </c>
      <c r="DT677" s="15">
        <f t="shared" si="579"/>
        <v>175.33333333333334</v>
      </c>
      <c r="DU677" s="15">
        <f t="shared" si="580"/>
        <v>21040</v>
      </c>
      <c r="EZ677" s="70">
        <f t="shared" si="581"/>
        <v>1.4575</v>
      </c>
      <c r="FA677" s="15">
        <f t="shared" si="582"/>
        <v>7.2875000000000009E-2</v>
      </c>
      <c r="FB677" s="15">
        <f>FA677*SQRT(AR677)</f>
        <v>0.12622320260158193</v>
      </c>
      <c r="FC677" s="70">
        <f t="shared" si="583"/>
        <v>1.3525</v>
      </c>
      <c r="FD677" s="15">
        <f t="shared" si="584"/>
        <v>6.7625000000000005E-2</v>
      </c>
      <c r="FE677" s="15">
        <f>FD677*SQRT(AR677)</f>
        <v>0.11712993586184532</v>
      </c>
      <c r="FF677" s="15">
        <f t="shared" si="585"/>
        <v>0.92795883361921094</v>
      </c>
      <c r="FG677" s="15">
        <f t="shared" si="586"/>
        <v>-0.10499999999999998</v>
      </c>
      <c r="FH677" s="15">
        <f t="shared" si="587"/>
        <v>-7.4767907504010855E-2</v>
      </c>
      <c r="FI677" s="15">
        <f>((FE677*FE677)/(AR677*FC677*FC677)+(FB677*FB677)/(AR677*EZ677*EZ677))</f>
        <v>4.9999999999999992E-3</v>
      </c>
      <c r="FJ677" s="15"/>
      <c r="FK677" s="16"/>
      <c r="FL677" s="16"/>
      <c r="FX677" s="15">
        <f t="shared" si="588"/>
        <v>18.25</v>
      </c>
      <c r="FY677" s="15">
        <f t="shared" si="574"/>
        <v>0.91250000000000009</v>
      </c>
      <c r="FZ677" s="15">
        <f>FY677*SQRT(AR677)</f>
        <v>1.5804963619066006</v>
      </c>
      <c r="GA677" s="15">
        <f t="shared" si="589"/>
        <v>29.5</v>
      </c>
      <c r="GB677" s="15">
        <f t="shared" si="575"/>
        <v>1.4750000000000001</v>
      </c>
      <c r="GC677" s="15">
        <f>GB677*SQRT(AR677)</f>
        <v>2.5547749411640939</v>
      </c>
      <c r="GD677" s="15">
        <f t="shared" si="576"/>
        <v>1.6164383561643836</v>
      </c>
      <c r="GE677" s="15">
        <f t="shared" si="577"/>
        <v>11.25</v>
      </c>
      <c r="GF677" s="15">
        <f t="shared" si="578"/>
        <v>0.48022518331727371</v>
      </c>
      <c r="GG677" s="15">
        <f>((GC677*GC677)/(AR677*GA677*GA677)+(FZ677*FZ677)/(AR677*FX677*FX677))</f>
        <v>4.9999999999999992E-3</v>
      </c>
      <c r="HE677" s="70">
        <v>3770</v>
      </c>
      <c r="HF677" s="70">
        <f t="shared" si="560"/>
        <v>188.5</v>
      </c>
      <c r="HG677" s="15">
        <f>HF677*SQRT(AR367)</f>
        <v>377</v>
      </c>
      <c r="HH677" s="70">
        <v>4371</v>
      </c>
      <c r="HI677" s="70">
        <f t="shared" si="561"/>
        <v>218.55</v>
      </c>
      <c r="HJ677" s="15">
        <f>HI677*SQRT(AR367)</f>
        <v>437.1</v>
      </c>
      <c r="HK677" s="70">
        <f t="shared" si="566"/>
        <v>1.1594164456233422</v>
      </c>
      <c r="HL677" s="15">
        <f t="shared" si="567"/>
        <v>601</v>
      </c>
      <c r="HM677" s="15">
        <f t="shared" si="568"/>
        <v>0.14791681442125793</v>
      </c>
      <c r="HN677" s="15">
        <f>((HJ677*HJ677)/(AR367*HH677*HH677)+(HG677*HG677)/(AR367*HE677*HE677))</f>
        <v>5.000000000000001E-3</v>
      </c>
      <c r="HP677" s="15" t="s">
        <v>766</v>
      </c>
      <c r="HV677" s="15">
        <f t="shared" si="569"/>
        <v>1422.4211143487298</v>
      </c>
      <c r="HW677" s="15">
        <f t="shared" si="570"/>
        <v>0.14791681442125793</v>
      </c>
      <c r="HX677" s="15">
        <f t="shared" si="590"/>
        <v>21040</v>
      </c>
      <c r="HY677" s="15">
        <f t="shared" si="591"/>
        <v>105200</v>
      </c>
      <c r="HZ677" s="15">
        <f t="shared" si="592"/>
        <v>175.33333333333334</v>
      </c>
      <c r="IA677" s="15">
        <f t="shared" si="593"/>
        <v>21040</v>
      </c>
    </row>
    <row r="678" spans="1:235" s="70" customFormat="1" x14ac:dyDescent="0.25">
      <c r="A678" s="31">
        <v>676</v>
      </c>
      <c r="B678" s="60">
        <v>97</v>
      </c>
      <c r="C678" s="1">
        <v>115</v>
      </c>
      <c r="D678" s="15" t="s">
        <v>1539</v>
      </c>
      <c r="E678" s="1">
        <v>5</v>
      </c>
      <c r="F678" s="15" t="s">
        <v>798</v>
      </c>
      <c r="G678" s="70" t="s">
        <v>1530</v>
      </c>
      <c r="H678" s="70" t="s">
        <v>839</v>
      </c>
      <c r="I678" s="60">
        <v>2014</v>
      </c>
      <c r="J678" s="70" t="s">
        <v>1527</v>
      </c>
      <c r="K678" s="60" t="s">
        <v>1062</v>
      </c>
      <c r="L678" s="70" t="s">
        <v>1531</v>
      </c>
      <c r="M678" s="15" t="s">
        <v>480</v>
      </c>
      <c r="N678" s="15" t="s">
        <v>520</v>
      </c>
      <c r="O678" s="31">
        <v>2</v>
      </c>
      <c r="P678" s="70">
        <v>31.05</v>
      </c>
      <c r="Q678" s="70">
        <v>104.19</v>
      </c>
      <c r="S678" s="70">
        <v>891</v>
      </c>
      <c r="T678" s="70">
        <v>16.3</v>
      </c>
      <c r="U678" s="15" t="s">
        <v>549</v>
      </c>
      <c r="V678" s="31">
        <v>1</v>
      </c>
      <c r="W678" s="70" t="s">
        <v>1176</v>
      </c>
      <c r="X678" s="70" t="s">
        <v>1195</v>
      </c>
      <c r="Y678" s="60">
        <v>5</v>
      </c>
      <c r="Z678" s="70">
        <v>5.5</v>
      </c>
      <c r="AA678" s="15" t="s">
        <v>574</v>
      </c>
      <c r="AB678" s="15">
        <f t="shared" si="564"/>
        <v>5.5</v>
      </c>
      <c r="AC678" s="1">
        <v>3</v>
      </c>
      <c r="AD678" s="70">
        <v>31.3</v>
      </c>
      <c r="AM678" s="60"/>
      <c r="AN678" s="70">
        <v>1.2</v>
      </c>
      <c r="AP678" s="70" t="s">
        <v>1334</v>
      </c>
      <c r="AQ678" s="61">
        <v>3</v>
      </c>
      <c r="AR678" s="1">
        <v>3</v>
      </c>
      <c r="DB678" s="70" t="s">
        <v>1544</v>
      </c>
      <c r="DD678" s="70" t="s">
        <v>1545</v>
      </c>
      <c r="DE678" s="70">
        <f t="shared" si="594"/>
        <v>105200</v>
      </c>
      <c r="DF678" s="15" t="s">
        <v>766</v>
      </c>
      <c r="DS678" s="15">
        <f>DE678</f>
        <v>105200</v>
      </c>
      <c r="DT678" s="15">
        <f t="shared" si="579"/>
        <v>175.33333333333334</v>
      </c>
      <c r="DU678" s="15">
        <f t="shared" si="580"/>
        <v>21040</v>
      </c>
      <c r="EZ678" s="70">
        <f t="shared" si="581"/>
        <v>1.4575</v>
      </c>
      <c r="FA678" s="15">
        <f t="shared" si="582"/>
        <v>7.2875000000000009E-2</v>
      </c>
      <c r="FB678" s="15">
        <f>FA678*SQRT(AR678)</f>
        <v>0.12622320260158193</v>
      </c>
      <c r="FC678" s="70">
        <f t="shared" si="583"/>
        <v>1.3525</v>
      </c>
      <c r="FD678" s="15">
        <f t="shared" si="584"/>
        <v>6.7625000000000005E-2</v>
      </c>
      <c r="FE678" s="15">
        <f>FD678*SQRT(AR678)</f>
        <v>0.11712993586184532</v>
      </c>
      <c r="FF678" s="15">
        <f t="shared" si="585"/>
        <v>0.92795883361921094</v>
      </c>
      <c r="FG678" s="15">
        <f t="shared" si="586"/>
        <v>-0.10499999999999998</v>
      </c>
      <c r="FH678" s="15">
        <f t="shared" si="587"/>
        <v>-7.4767907504010855E-2</v>
      </c>
      <c r="FI678" s="15">
        <f>((FE678*FE678)/(AR678*FC678*FC678)+(FB678*FB678)/(AR678*EZ678*EZ678))</f>
        <v>4.9999999999999992E-3</v>
      </c>
      <c r="FJ678" s="15"/>
      <c r="FK678" s="16"/>
      <c r="FL678" s="16"/>
      <c r="FX678" s="15">
        <f t="shared" si="588"/>
        <v>18.25</v>
      </c>
      <c r="FY678" s="15">
        <f t="shared" si="574"/>
        <v>0.91250000000000009</v>
      </c>
      <c r="FZ678" s="15">
        <f>FY678*SQRT(AR678)</f>
        <v>1.5804963619066006</v>
      </c>
      <c r="GA678" s="15">
        <f t="shared" si="589"/>
        <v>29.5</v>
      </c>
      <c r="GB678" s="15">
        <f t="shared" si="575"/>
        <v>1.4750000000000001</v>
      </c>
      <c r="GC678" s="15">
        <f>GB678*SQRT(AR678)</f>
        <v>2.5547749411640939</v>
      </c>
      <c r="GD678" s="15">
        <f t="shared" si="576"/>
        <v>1.6164383561643836</v>
      </c>
      <c r="GE678" s="15">
        <f t="shared" si="577"/>
        <v>11.25</v>
      </c>
      <c r="GF678" s="15">
        <f t="shared" si="578"/>
        <v>0.48022518331727371</v>
      </c>
      <c r="GG678" s="15">
        <f>((GC678*GC678)/(AR678*GA678*GA678)+(FZ678*FZ678)/(AR678*FX678*FX678))</f>
        <v>4.9999999999999992E-3</v>
      </c>
      <c r="HE678" s="70">
        <v>3791</v>
      </c>
      <c r="HF678" s="70">
        <f t="shared" si="560"/>
        <v>189.55</v>
      </c>
      <c r="HG678" s="15">
        <f>HF678*SQRT(AR368)</f>
        <v>379.1</v>
      </c>
      <c r="HH678" s="70">
        <v>3884</v>
      </c>
      <c r="HI678" s="70">
        <f t="shared" si="561"/>
        <v>194.20000000000002</v>
      </c>
      <c r="HJ678" s="15">
        <f>HI678*SQRT(AR368)</f>
        <v>388.40000000000003</v>
      </c>
      <c r="HK678" s="70">
        <f t="shared" si="566"/>
        <v>1.0245317858084939</v>
      </c>
      <c r="HL678" s="15">
        <f t="shared" si="567"/>
        <v>93</v>
      </c>
      <c r="HM678" s="15">
        <f t="shared" si="568"/>
        <v>2.4235713894881883E-2</v>
      </c>
      <c r="HN678" s="15">
        <f>((HJ678*HJ678)/(AR368*HH678*HH678)+(HG678*HG678)/(AR368*HE678*HE678))</f>
        <v>5.000000000000001E-3</v>
      </c>
      <c r="HP678" s="15" t="s">
        <v>766</v>
      </c>
      <c r="HV678" s="15">
        <f t="shared" si="569"/>
        <v>8681.4030282983513</v>
      </c>
      <c r="HW678" s="15">
        <f t="shared" si="570"/>
        <v>2.4235713894881883E-2</v>
      </c>
      <c r="HX678" s="15">
        <f t="shared" si="590"/>
        <v>21040</v>
      </c>
      <c r="HY678" s="15">
        <f t="shared" si="591"/>
        <v>105200</v>
      </c>
      <c r="HZ678" s="15">
        <f t="shared" si="592"/>
        <v>175.33333333333334</v>
      </c>
      <c r="IA678" s="15">
        <f t="shared" si="593"/>
        <v>21040</v>
      </c>
    </row>
    <row r="679" spans="1:235" s="70" customFormat="1" x14ac:dyDescent="0.25">
      <c r="A679" s="31">
        <v>677</v>
      </c>
      <c r="B679" s="60">
        <v>97</v>
      </c>
      <c r="C679" s="1">
        <v>115</v>
      </c>
      <c r="D679" s="15" t="s">
        <v>1540</v>
      </c>
      <c r="E679" s="1">
        <v>5</v>
      </c>
      <c r="F679" s="15" t="s">
        <v>798</v>
      </c>
      <c r="G679" s="70" t="s">
        <v>1530</v>
      </c>
      <c r="H679" s="70" t="s">
        <v>839</v>
      </c>
      <c r="I679" s="60">
        <v>2014</v>
      </c>
      <c r="J679" s="70" t="s">
        <v>1527</v>
      </c>
      <c r="K679" s="60" t="s">
        <v>1062</v>
      </c>
      <c r="L679" s="70" t="s">
        <v>1531</v>
      </c>
      <c r="M679" s="15" t="s">
        <v>480</v>
      </c>
      <c r="N679" s="15" t="s">
        <v>520</v>
      </c>
      <c r="O679" s="31">
        <v>2</v>
      </c>
      <c r="P679" s="70">
        <v>31.05</v>
      </c>
      <c r="Q679" s="70">
        <v>104.19</v>
      </c>
      <c r="S679" s="70">
        <v>891</v>
      </c>
      <c r="T679" s="70">
        <v>16.3</v>
      </c>
      <c r="U679" s="15" t="s">
        <v>549</v>
      </c>
      <c r="V679" s="31">
        <v>1</v>
      </c>
      <c r="W679" s="70" t="s">
        <v>1176</v>
      </c>
      <c r="X679" s="70" t="s">
        <v>1195</v>
      </c>
      <c r="Y679" s="60">
        <v>5</v>
      </c>
      <c r="Z679" s="70">
        <v>5.5</v>
      </c>
      <c r="AA679" s="15" t="s">
        <v>574</v>
      </c>
      <c r="AB679" s="15">
        <f t="shared" si="564"/>
        <v>5.5</v>
      </c>
      <c r="AC679" s="1">
        <v>3</v>
      </c>
      <c r="AD679" s="70">
        <v>31.3</v>
      </c>
      <c r="AM679" s="60"/>
      <c r="AN679" s="70">
        <v>1.2</v>
      </c>
      <c r="AP679" s="70" t="s">
        <v>1334</v>
      </c>
      <c r="AQ679" s="61">
        <v>3</v>
      </c>
      <c r="AR679" s="1">
        <v>3</v>
      </c>
      <c r="DB679" s="70" t="s">
        <v>1544</v>
      </c>
      <c r="DD679" s="70" t="s">
        <v>1545</v>
      </c>
      <c r="DE679" s="70">
        <f t="shared" si="594"/>
        <v>105200</v>
      </c>
      <c r="DF679" s="15" t="s">
        <v>766</v>
      </c>
      <c r="DS679" s="15">
        <f>DE679</f>
        <v>105200</v>
      </c>
      <c r="DT679" s="15">
        <f t="shared" si="579"/>
        <v>175.33333333333334</v>
      </c>
      <c r="DU679" s="15">
        <f t="shared" si="580"/>
        <v>21040</v>
      </c>
      <c r="EZ679" s="70">
        <f t="shared" si="581"/>
        <v>1.4575</v>
      </c>
      <c r="FA679" s="15">
        <f t="shared" si="582"/>
        <v>7.2875000000000009E-2</v>
      </c>
      <c r="FB679" s="15">
        <f>FA679*SQRT(AR679)</f>
        <v>0.12622320260158193</v>
      </c>
      <c r="FC679" s="70">
        <f t="shared" si="583"/>
        <v>1.3525</v>
      </c>
      <c r="FD679" s="15">
        <f t="shared" si="584"/>
        <v>6.7625000000000005E-2</v>
      </c>
      <c r="FE679" s="15">
        <f>FD679*SQRT(AR679)</f>
        <v>0.11712993586184532</v>
      </c>
      <c r="FF679" s="15">
        <f t="shared" si="585"/>
        <v>0.92795883361921094</v>
      </c>
      <c r="FG679" s="15">
        <f t="shared" si="586"/>
        <v>-0.10499999999999998</v>
      </c>
      <c r="FH679" s="15">
        <f t="shared" si="587"/>
        <v>-7.4767907504010855E-2</v>
      </c>
      <c r="FI679" s="15">
        <f>((FE679*FE679)/(AR679*FC679*FC679)+(FB679*FB679)/(AR679*EZ679*EZ679))</f>
        <v>4.9999999999999992E-3</v>
      </c>
      <c r="FJ679" s="15"/>
      <c r="FK679" s="16"/>
      <c r="FL679" s="16"/>
      <c r="FX679" s="15">
        <f t="shared" si="588"/>
        <v>18.25</v>
      </c>
      <c r="FY679" s="15">
        <f t="shared" si="574"/>
        <v>0.91250000000000009</v>
      </c>
      <c r="FZ679" s="15">
        <f>FY679*SQRT(AR679)</f>
        <v>1.5804963619066006</v>
      </c>
      <c r="GA679" s="15">
        <f t="shared" si="589"/>
        <v>29.5</v>
      </c>
      <c r="GB679" s="15">
        <f t="shared" si="575"/>
        <v>1.4750000000000001</v>
      </c>
      <c r="GC679" s="15">
        <f>GB679*SQRT(AR679)</f>
        <v>2.5547749411640939</v>
      </c>
      <c r="GD679" s="15">
        <f t="shared" si="576"/>
        <v>1.6164383561643836</v>
      </c>
      <c r="GE679" s="15">
        <f t="shared" si="577"/>
        <v>11.25</v>
      </c>
      <c r="GF679" s="15">
        <f t="shared" si="578"/>
        <v>0.48022518331727371</v>
      </c>
      <c r="GG679" s="15">
        <f>((GC679*GC679)/(AR679*GA679*GA679)+(FZ679*FZ679)/(AR679*FX679*FX679))</f>
        <v>4.9999999999999992E-3</v>
      </c>
      <c r="HE679" s="70">
        <v>3941</v>
      </c>
      <c r="HF679" s="70">
        <f t="shared" si="560"/>
        <v>197.05</v>
      </c>
      <c r="HG679" s="15">
        <f>HF679*SQRT(AR369)</f>
        <v>394.1</v>
      </c>
      <c r="HH679" s="70">
        <v>3969</v>
      </c>
      <c r="HI679" s="70">
        <f t="shared" si="561"/>
        <v>198.45000000000002</v>
      </c>
      <c r="HJ679" s="15">
        <f>HI679*SQRT(AR369)</f>
        <v>396.90000000000003</v>
      </c>
      <c r="HK679" s="70">
        <f t="shared" si="566"/>
        <v>1.0071047957371226</v>
      </c>
      <c r="HL679" s="15">
        <f t="shared" si="567"/>
        <v>28</v>
      </c>
      <c r="HM679" s="15">
        <f t="shared" si="568"/>
        <v>7.0796755880611073E-3</v>
      </c>
      <c r="HN679" s="15">
        <f>((HJ679*HJ679)/(AR369*HH679*HH679)+(HG679*HG679)/(AR369*HE679*HE679))</f>
        <v>5.000000000000001E-3</v>
      </c>
      <c r="HP679" s="15" t="s">
        <v>766</v>
      </c>
      <c r="HV679" s="15">
        <f t="shared" si="569"/>
        <v>29718.875869794156</v>
      </c>
      <c r="HW679" s="15">
        <f t="shared" si="570"/>
        <v>7.0796755880611073E-3</v>
      </c>
      <c r="HX679" s="15">
        <f t="shared" si="590"/>
        <v>21040</v>
      </c>
      <c r="HY679" s="15">
        <f t="shared" si="591"/>
        <v>105200</v>
      </c>
      <c r="HZ679" s="15">
        <f t="shared" si="592"/>
        <v>175.33333333333334</v>
      </c>
      <c r="IA679" s="15">
        <f t="shared" si="593"/>
        <v>21040</v>
      </c>
    </row>
    <row r="680" spans="1:235" s="70" customFormat="1" x14ac:dyDescent="0.25">
      <c r="A680" s="31">
        <v>678</v>
      </c>
      <c r="B680" s="60">
        <v>97</v>
      </c>
      <c r="C680" s="1">
        <v>115</v>
      </c>
      <c r="D680" s="15" t="s">
        <v>1541</v>
      </c>
      <c r="E680" s="1">
        <v>5</v>
      </c>
      <c r="F680" s="15" t="s">
        <v>798</v>
      </c>
      <c r="G680" s="70" t="s">
        <v>1530</v>
      </c>
      <c r="H680" s="70" t="s">
        <v>839</v>
      </c>
      <c r="I680" s="60">
        <v>2014</v>
      </c>
      <c r="J680" s="70" t="s">
        <v>1527</v>
      </c>
      <c r="K680" s="60" t="s">
        <v>1062</v>
      </c>
      <c r="L680" s="70" t="s">
        <v>1531</v>
      </c>
      <c r="M680" s="15" t="s">
        <v>480</v>
      </c>
      <c r="N680" s="15" t="s">
        <v>520</v>
      </c>
      <c r="O680" s="31">
        <v>2</v>
      </c>
      <c r="P680" s="70">
        <v>31.05</v>
      </c>
      <c r="Q680" s="70">
        <v>104.19</v>
      </c>
      <c r="S680" s="70">
        <v>891</v>
      </c>
      <c r="T680" s="70">
        <v>16.3</v>
      </c>
      <c r="U680" s="15" t="s">
        <v>549</v>
      </c>
      <c r="V680" s="31">
        <v>1</v>
      </c>
      <c r="W680" s="70" t="s">
        <v>1176</v>
      </c>
      <c r="X680" s="70" t="s">
        <v>1195</v>
      </c>
      <c r="Y680" s="60">
        <v>5</v>
      </c>
      <c r="Z680" s="70">
        <v>5.5</v>
      </c>
      <c r="AA680" s="15" t="s">
        <v>574</v>
      </c>
      <c r="AB680" s="15">
        <f t="shared" si="564"/>
        <v>5.5</v>
      </c>
      <c r="AC680" s="1">
        <v>3</v>
      </c>
      <c r="AD680" s="70">
        <v>31.3</v>
      </c>
      <c r="AM680" s="60"/>
      <c r="AN680" s="70">
        <v>1.2</v>
      </c>
      <c r="AP680" s="70" t="s">
        <v>1334</v>
      </c>
      <c r="AQ680" s="61">
        <v>3</v>
      </c>
      <c r="AR680" s="1">
        <v>3</v>
      </c>
      <c r="DB680" s="70" t="s">
        <v>1544</v>
      </c>
      <c r="DD680" s="70" t="s">
        <v>1545</v>
      </c>
      <c r="DE680" s="70">
        <f t="shared" si="594"/>
        <v>105200</v>
      </c>
      <c r="DF680" s="15" t="s">
        <v>766</v>
      </c>
      <c r="DS680" s="15">
        <f>DE680</f>
        <v>105200</v>
      </c>
      <c r="DT680" s="15">
        <f t="shared" si="579"/>
        <v>175.33333333333334</v>
      </c>
      <c r="DU680" s="15">
        <f t="shared" si="580"/>
        <v>21040</v>
      </c>
      <c r="EZ680" s="70">
        <f t="shared" si="581"/>
        <v>1.4575</v>
      </c>
      <c r="FA680" s="15">
        <f t="shared" si="582"/>
        <v>7.2875000000000009E-2</v>
      </c>
      <c r="FB680" s="15">
        <f>FA680*SQRT(AR680)</f>
        <v>0.12622320260158193</v>
      </c>
      <c r="FC680" s="70">
        <f t="shared" si="583"/>
        <v>1.3525</v>
      </c>
      <c r="FD680" s="15">
        <f t="shared" si="584"/>
        <v>6.7625000000000005E-2</v>
      </c>
      <c r="FE680" s="15">
        <f>FD680*SQRT(AR680)</f>
        <v>0.11712993586184532</v>
      </c>
      <c r="FF680" s="15">
        <f t="shared" si="585"/>
        <v>0.92795883361921094</v>
      </c>
      <c r="FG680" s="15">
        <f t="shared" si="586"/>
        <v>-0.10499999999999998</v>
      </c>
      <c r="FH680" s="15">
        <f t="shared" si="587"/>
        <v>-7.4767907504010855E-2</v>
      </c>
      <c r="FI680" s="15">
        <f>((FE680*FE680)/(AR680*FC680*FC680)+(FB680*FB680)/(AR680*EZ680*EZ680))</f>
        <v>4.9999999999999992E-3</v>
      </c>
      <c r="FJ680" s="15"/>
      <c r="FK680" s="16"/>
      <c r="FL680" s="16"/>
      <c r="FX680" s="15">
        <f t="shared" si="588"/>
        <v>18.25</v>
      </c>
      <c r="FY680" s="15">
        <f t="shared" si="574"/>
        <v>0.91250000000000009</v>
      </c>
      <c r="FZ680" s="15">
        <f>FY680*SQRT(AR680)</f>
        <v>1.5804963619066006</v>
      </c>
      <c r="GA680" s="15">
        <f t="shared" si="589"/>
        <v>29.5</v>
      </c>
      <c r="GB680" s="15">
        <f t="shared" si="575"/>
        <v>1.4750000000000001</v>
      </c>
      <c r="GC680" s="15">
        <f>GB680*SQRT(AR680)</f>
        <v>2.5547749411640939</v>
      </c>
      <c r="GD680" s="15">
        <f t="shared" si="576"/>
        <v>1.6164383561643836</v>
      </c>
      <c r="GE680" s="15">
        <f t="shared" si="577"/>
        <v>11.25</v>
      </c>
      <c r="GF680" s="15">
        <f t="shared" si="578"/>
        <v>0.48022518331727371</v>
      </c>
      <c r="GG680" s="15">
        <f>((GC680*GC680)/(AR680*GA680*GA680)+(FZ680*FZ680)/(AR680*FX680*FX680))</f>
        <v>4.9999999999999992E-3</v>
      </c>
      <c r="HE680" s="70">
        <v>4087</v>
      </c>
      <c r="HF680" s="70">
        <f t="shared" ref="HF680:HF706" si="595">HE680*0.05</f>
        <v>204.35000000000002</v>
      </c>
      <c r="HG680" s="15">
        <f>HF680*SQRT(AR370)</f>
        <v>408.70000000000005</v>
      </c>
      <c r="HH680" s="70">
        <v>4303</v>
      </c>
      <c r="HI680" s="70">
        <f t="shared" ref="HI680:HI706" si="596">HH680*0.05</f>
        <v>215.15</v>
      </c>
      <c r="HJ680" s="15">
        <f>HI680*SQRT(AR370)</f>
        <v>430.3</v>
      </c>
      <c r="HK680" s="70">
        <f t="shared" si="566"/>
        <v>1.0528505015904086</v>
      </c>
      <c r="HL680" s="15">
        <f t="shared" si="567"/>
        <v>216</v>
      </c>
      <c r="HM680" s="15">
        <f t="shared" si="568"/>
        <v>5.1501249274322092E-2</v>
      </c>
      <c r="HN680" s="15">
        <f>((HJ680*HJ680)/(AR370*HH680*HH680)+(HG680*HG680)/(AR370*HE680*HE680))</f>
        <v>5.000000000000001E-3</v>
      </c>
      <c r="HP680" s="15" t="s">
        <v>766</v>
      </c>
      <c r="HV680" s="15">
        <f t="shared" si="569"/>
        <v>4085.3377920854232</v>
      </c>
      <c r="HW680" s="15">
        <f t="shared" si="570"/>
        <v>5.1501249274322092E-2</v>
      </c>
      <c r="HX680" s="15">
        <f t="shared" si="590"/>
        <v>21040</v>
      </c>
      <c r="HY680" s="15">
        <f t="shared" si="591"/>
        <v>105200</v>
      </c>
      <c r="HZ680" s="15">
        <f t="shared" si="592"/>
        <v>175.33333333333334</v>
      </c>
      <c r="IA680" s="15">
        <f t="shared" si="593"/>
        <v>21040</v>
      </c>
    </row>
    <row r="681" spans="1:235" s="70" customFormat="1" x14ac:dyDescent="0.25">
      <c r="A681" s="31">
        <v>679</v>
      </c>
      <c r="B681" s="60">
        <v>97</v>
      </c>
      <c r="C681" s="1">
        <v>115</v>
      </c>
      <c r="D681" s="15" t="s">
        <v>1542</v>
      </c>
      <c r="E681" s="1">
        <v>5</v>
      </c>
      <c r="F681" s="15" t="s">
        <v>798</v>
      </c>
      <c r="G681" s="70" t="s">
        <v>1530</v>
      </c>
      <c r="H681" s="70" t="s">
        <v>839</v>
      </c>
      <c r="I681" s="60">
        <v>2014</v>
      </c>
      <c r="J681" s="70" t="s">
        <v>1527</v>
      </c>
      <c r="K681" s="60" t="s">
        <v>1062</v>
      </c>
      <c r="L681" s="70" t="s">
        <v>1531</v>
      </c>
      <c r="M681" s="15" t="s">
        <v>480</v>
      </c>
      <c r="N681" s="15" t="s">
        <v>520</v>
      </c>
      <c r="O681" s="31">
        <v>2</v>
      </c>
      <c r="P681" s="70">
        <v>31.05</v>
      </c>
      <c r="Q681" s="70">
        <v>104.19</v>
      </c>
      <c r="S681" s="70">
        <v>891</v>
      </c>
      <c r="T681" s="70">
        <v>16.3</v>
      </c>
      <c r="U681" s="15" t="s">
        <v>549</v>
      </c>
      <c r="V681" s="31">
        <v>1</v>
      </c>
      <c r="W681" s="70" t="s">
        <v>1176</v>
      </c>
      <c r="X681" s="70" t="s">
        <v>1195</v>
      </c>
      <c r="Y681" s="60">
        <v>5</v>
      </c>
      <c r="Z681" s="70">
        <v>5.5</v>
      </c>
      <c r="AA681" s="15" t="s">
        <v>574</v>
      </c>
      <c r="AB681" s="15">
        <f t="shared" si="564"/>
        <v>5.5</v>
      </c>
      <c r="AC681" s="1">
        <v>3</v>
      </c>
      <c r="AD681" s="70">
        <v>31.3</v>
      </c>
      <c r="AM681" s="60"/>
      <c r="AN681" s="70">
        <v>1.2</v>
      </c>
      <c r="AP681" s="70" t="s">
        <v>1334</v>
      </c>
      <c r="AQ681" s="61">
        <v>3</v>
      </c>
      <c r="AR681" s="1">
        <v>3</v>
      </c>
      <c r="DB681" s="70" t="s">
        <v>1544</v>
      </c>
      <c r="DD681" s="70" t="s">
        <v>1545</v>
      </c>
      <c r="DE681" s="70">
        <f t="shared" si="594"/>
        <v>105200</v>
      </c>
      <c r="DF681" s="15" t="s">
        <v>766</v>
      </c>
      <c r="DS681" s="15">
        <f>DE681</f>
        <v>105200</v>
      </c>
      <c r="DT681" s="15">
        <f t="shared" si="579"/>
        <v>175.33333333333334</v>
      </c>
      <c r="DU681" s="15">
        <f t="shared" si="580"/>
        <v>21040</v>
      </c>
      <c r="EZ681" s="70">
        <f t="shared" si="581"/>
        <v>1.4575</v>
      </c>
      <c r="FA681" s="15">
        <f t="shared" si="582"/>
        <v>7.2875000000000009E-2</v>
      </c>
      <c r="FB681" s="15">
        <f>FA681*SQRT(AR681)</f>
        <v>0.12622320260158193</v>
      </c>
      <c r="FC681" s="70">
        <f t="shared" si="583"/>
        <v>1.3525</v>
      </c>
      <c r="FD681" s="15">
        <f t="shared" si="584"/>
        <v>6.7625000000000005E-2</v>
      </c>
      <c r="FE681" s="15">
        <f>FD681*SQRT(AR681)</f>
        <v>0.11712993586184532</v>
      </c>
      <c r="FF681" s="15">
        <f t="shared" si="585"/>
        <v>0.92795883361921094</v>
      </c>
      <c r="FG681" s="15">
        <f t="shared" si="586"/>
        <v>-0.10499999999999998</v>
      </c>
      <c r="FH681" s="15">
        <f t="shared" si="587"/>
        <v>-7.4767907504010855E-2</v>
      </c>
      <c r="FI681" s="15">
        <f>((FE681*FE681)/(AR681*FC681*FC681)+(FB681*FB681)/(AR681*EZ681*EZ681))</f>
        <v>4.9999999999999992E-3</v>
      </c>
      <c r="FJ681" s="15"/>
      <c r="FK681" s="16"/>
      <c r="FL681" s="16"/>
      <c r="FX681" s="15">
        <f t="shared" si="588"/>
        <v>18.25</v>
      </c>
      <c r="FY681" s="15">
        <f t="shared" si="574"/>
        <v>0.91250000000000009</v>
      </c>
      <c r="FZ681" s="15">
        <f>FY681*SQRT(AR681)</f>
        <v>1.5804963619066006</v>
      </c>
      <c r="GA681" s="15">
        <f t="shared" si="589"/>
        <v>29.5</v>
      </c>
      <c r="GB681" s="15">
        <f t="shared" si="575"/>
        <v>1.4750000000000001</v>
      </c>
      <c r="GC681" s="15">
        <f>GB681*SQRT(AR681)</f>
        <v>2.5547749411640939</v>
      </c>
      <c r="GD681" s="15">
        <f t="shared" si="576"/>
        <v>1.6164383561643836</v>
      </c>
      <c r="GE681" s="15">
        <f t="shared" si="577"/>
        <v>11.25</v>
      </c>
      <c r="GF681" s="15">
        <f t="shared" si="578"/>
        <v>0.48022518331727371</v>
      </c>
      <c r="GG681" s="15">
        <f>((GC681*GC681)/(AR681*GA681*GA681)+(FZ681*FZ681)/(AR681*FX681*FX681))</f>
        <v>4.9999999999999992E-3</v>
      </c>
      <c r="HE681" s="70">
        <v>4718</v>
      </c>
      <c r="HF681" s="70">
        <f t="shared" si="595"/>
        <v>235.9</v>
      </c>
      <c r="HG681" s="15">
        <f>HF681*SQRT(AR371)</f>
        <v>471.8</v>
      </c>
      <c r="HH681" s="70">
        <v>5021</v>
      </c>
      <c r="HI681" s="70">
        <f t="shared" si="596"/>
        <v>251.05</v>
      </c>
      <c r="HJ681" s="15">
        <f>HI681*SQRT(AR371)</f>
        <v>502.1</v>
      </c>
      <c r="HK681" s="70">
        <f t="shared" si="566"/>
        <v>1.0642221280203477</v>
      </c>
      <c r="HL681" s="15">
        <f t="shared" si="567"/>
        <v>303</v>
      </c>
      <c r="HM681" s="15">
        <f t="shared" si="568"/>
        <v>6.2244136067084455E-2</v>
      </c>
      <c r="HN681" s="15">
        <f>((HJ681*HJ681)/(AR371*HH681*HH681)+(HG681*HG681)/(AR371*HE681*HE681))</f>
        <v>5.000000000000001E-3</v>
      </c>
      <c r="HP681" s="15" t="s">
        <v>766</v>
      </c>
      <c r="HV681" s="15">
        <f t="shared" si="569"/>
        <v>3380.23809621582</v>
      </c>
      <c r="HW681" s="15">
        <f t="shared" si="570"/>
        <v>6.2244136067084455E-2</v>
      </c>
      <c r="HX681" s="15">
        <f t="shared" si="590"/>
        <v>21040</v>
      </c>
      <c r="HY681" s="15">
        <f t="shared" si="591"/>
        <v>105200</v>
      </c>
      <c r="HZ681" s="15">
        <f t="shared" si="592"/>
        <v>175.33333333333334</v>
      </c>
      <c r="IA681" s="15">
        <f t="shared" si="593"/>
        <v>21040</v>
      </c>
    </row>
    <row r="682" spans="1:235" s="70" customFormat="1" x14ac:dyDescent="0.25">
      <c r="A682" s="31">
        <v>680</v>
      </c>
      <c r="B682" s="60">
        <v>97</v>
      </c>
      <c r="C682" s="1">
        <v>115</v>
      </c>
      <c r="D682" s="15" t="s">
        <v>1543</v>
      </c>
      <c r="E682" s="1">
        <v>5</v>
      </c>
      <c r="F682" s="15" t="s">
        <v>798</v>
      </c>
      <c r="G682" s="70" t="s">
        <v>1530</v>
      </c>
      <c r="H682" s="70" t="s">
        <v>839</v>
      </c>
      <c r="I682" s="60">
        <v>2014</v>
      </c>
      <c r="J682" s="70" t="s">
        <v>1527</v>
      </c>
      <c r="K682" s="60" t="s">
        <v>1062</v>
      </c>
      <c r="L682" s="70" t="s">
        <v>1531</v>
      </c>
      <c r="M682" s="15" t="s">
        <v>480</v>
      </c>
      <c r="N682" s="15" t="s">
        <v>520</v>
      </c>
      <c r="O682" s="31">
        <v>2</v>
      </c>
      <c r="P682" s="70">
        <v>31.05</v>
      </c>
      <c r="Q682" s="70">
        <v>104.19</v>
      </c>
      <c r="S682" s="70">
        <v>891</v>
      </c>
      <c r="T682" s="70">
        <v>16.3</v>
      </c>
      <c r="U682" s="15" t="s">
        <v>549</v>
      </c>
      <c r="V682" s="31">
        <v>1</v>
      </c>
      <c r="W682" s="70" t="s">
        <v>1176</v>
      </c>
      <c r="X682" s="70" t="s">
        <v>1195</v>
      </c>
      <c r="Y682" s="60">
        <v>5</v>
      </c>
      <c r="Z682" s="70">
        <v>5.5</v>
      </c>
      <c r="AA682" s="15" t="s">
        <v>574</v>
      </c>
      <c r="AB682" s="15">
        <f t="shared" si="564"/>
        <v>5.5</v>
      </c>
      <c r="AC682" s="1">
        <v>3</v>
      </c>
      <c r="AD682" s="70">
        <v>31.3</v>
      </c>
      <c r="AM682" s="60"/>
      <c r="AN682" s="70">
        <v>1.2</v>
      </c>
      <c r="AP682" s="70" t="s">
        <v>1334</v>
      </c>
      <c r="AQ682" s="61">
        <v>3</v>
      </c>
      <c r="AR682" s="1">
        <v>3</v>
      </c>
      <c r="DB682" s="70" t="s">
        <v>1544</v>
      </c>
      <c r="DD682" s="70" t="s">
        <v>1545</v>
      </c>
      <c r="DE682" s="70">
        <f t="shared" si="594"/>
        <v>105200</v>
      </c>
      <c r="DF682" s="15" t="s">
        <v>766</v>
      </c>
      <c r="DS682" s="15">
        <f>DE682</f>
        <v>105200</v>
      </c>
      <c r="DT682" s="15">
        <f t="shared" si="579"/>
        <v>175.33333333333334</v>
      </c>
      <c r="DU682" s="15">
        <f t="shared" si="580"/>
        <v>21040</v>
      </c>
      <c r="EZ682" s="70">
        <f t="shared" si="581"/>
        <v>1.4575</v>
      </c>
      <c r="FA682" s="15">
        <f t="shared" si="582"/>
        <v>7.2875000000000009E-2</v>
      </c>
      <c r="FB682" s="15">
        <f>FA682*SQRT(AR682)</f>
        <v>0.12622320260158193</v>
      </c>
      <c r="FC682" s="70">
        <f t="shared" si="583"/>
        <v>1.3525</v>
      </c>
      <c r="FD682" s="15">
        <f t="shared" si="584"/>
        <v>6.7625000000000005E-2</v>
      </c>
      <c r="FE682" s="15">
        <f>FD682*SQRT(AR682)</f>
        <v>0.11712993586184532</v>
      </c>
      <c r="FF682" s="15">
        <f t="shared" si="585"/>
        <v>0.92795883361921094</v>
      </c>
      <c r="FG682" s="15">
        <f t="shared" si="586"/>
        <v>-0.10499999999999998</v>
      </c>
      <c r="FH682" s="15">
        <f t="shared" si="587"/>
        <v>-7.4767907504010855E-2</v>
      </c>
      <c r="FI682" s="15">
        <f>((FE682*FE682)/(AR682*FC682*FC682)+(FB682*FB682)/(AR682*EZ682*EZ682))</f>
        <v>4.9999999999999992E-3</v>
      </c>
      <c r="FJ682" s="15"/>
      <c r="FK682" s="16"/>
      <c r="FL682" s="16"/>
      <c r="FX682" s="15">
        <f t="shared" si="588"/>
        <v>18.25</v>
      </c>
      <c r="FY682" s="15">
        <f t="shared" si="574"/>
        <v>0.91250000000000009</v>
      </c>
      <c r="FZ682" s="15">
        <f>FY682*SQRT(AR682)</f>
        <v>1.5804963619066006</v>
      </c>
      <c r="GA682" s="15">
        <f t="shared" si="589"/>
        <v>29.5</v>
      </c>
      <c r="GB682" s="15">
        <f t="shared" si="575"/>
        <v>1.4750000000000001</v>
      </c>
      <c r="GC682" s="15">
        <f>GB682*SQRT(AR682)</f>
        <v>2.5547749411640939</v>
      </c>
      <c r="GD682" s="15">
        <f t="shared" si="576"/>
        <v>1.6164383561643836</v>
      </c>
      <c r="GE682" s="15">
        <f t="shared" si="577"/>
        <v>11.25</v>
      </c>
      <c r="GF682" s="15">
        <f t="shared" si="578"/>
        <v>0.48022518331727371</v>
      </c>
      <c r="GG682" s="15">
        <f>((GC682*GC682)/(AR682*GA682*GA682)+(FZ682*FZ682)/(AR682*FX682*FX682))</f>
        <v>4.9999999999999992E-3</v>
      </c>
      <c r="HE682" s="70">
        <v>3496</v>
      </c>
      <c r="HF682" s="70">
        <f t="shared" si="595"/>
        <v>174.8</v>
      </c>
      <c r="HG682" s="15">
        <f>HF682*SQRT(AR372)</f>
        <v>349.6</v>
      </c>
      <c r="HH682" s="70">
        <v>3592</v>
      </c>
      <c r="HI682" s="70">
        <f t="shared" si="596"/>
        <v>179.60000000000002</v>
      </c>
      <c r="HJ682" s="15">
        <f>HI682*SQRT(AR372)</f>
        <v>359.20000000000005</v>
      </c>
      <c r="HK682" s="70">
        <f t="shared" si="566"/>
        <v>1.0274599542334095</v>
      </c>
      <c r="HL682" s="15">
        <f t="shared" si="567"/>
        <v>96</v>
      </c>
      <c r="HM682" s="15">
        <f t="shared" si="568"/>
        <v>2.7089692646663721E-2</v>
      </c>
      <c r="HN682" s="15">
        <f>((HJ682*HJ682)/(AR372*HH682*HH682)+(HG682*HG682)/(AR372*HE682*HE682))</f>
        <v>5.000000000000001E-3</v>
      </c>
      <c r="HP682" s="15" t="s">
        <v>766</v>
      </c>
      <c r="HV682" s="15">
        <f t="shared" si="569"/>
        <v>7766.7916998649362</v>
      </c>
      <c r="HW682" s="15">
        <f t="shared" si="570"/>
        <v>2.7089692646663721E-2</v>
      </c>
      <c r="HX682" s="15">
        <f t="shared" si="590"/>
        <v>21040</v>
      </c>
      <c r="HY682" s="15">
        <f t="shared" si="591"/>
        <v>105200</v>
      </c>
      <c r="HZ682" s="15">
        <f t="shared" si="592"/>
        <v>175.33333333333334</v>
      </c>
      <c r="IA682" s="15">
        <f t="shared" si="593"/>
        <v>21040</v>
      </c>
    </row>
    <row r="683" spans="1:235" s="70" customFormat="1" ht="14.4" x14ac:dyDescent="0.25">
      <c r="A683" s="31">
        <v>681</v>
      </c>
      <c r="B683" s="60">
        <v>98</v>
      </c>
      <c r="C683" s="1">
        <v>116</v>
      </c>
      <c r="D683" s="15" t="s">
        <v>1546</v>
      </c>
      <c r="E683" s="1">
        <v>5</v>
      </c>
      <c r="F683" s="15" t="s">
        <v>798</v>
      </c>
      <c r="G683" s="70" t="s">
        <v>1548</v>
      </c>
      <c r="H683" s="70" t="s">
        <v>1549</v>
      </c>
      <c r="I683" s="60">
        <v>2014</v>
      </c>
      <c r="J683" s="70" t="s">
        <v>1527</v>
      </c>
      <c r="K683" s="60" t="s">
        <v>1146</v>
      </c>
      <c r="L683" s="70" t="s">
        <v>1550</v>
      </c>
      <c r="M683" s="15" t="s">
        <v>480</v>
      </c>
      <c r="N683" s="15" t="s">
        <v>520</v>
      </c>
      <c r="O683" s="31">
        <v>2</v>
      </c>
      <c r="P683" s="70">
        <v>43.61</v>
      </c>
      <c r="Q683" s="70">
        <v>124.75</v>
      </c>
      <c r="S683" s="70">
        <v>594</v>
      </c>
      <c r="T683" s="70">
        <v>5.6</v>
      </c>
      <c r="U683" s="15" t="s">
        <v>549</v>
      </c>
      <c r="V683" s="31">
        <v>1</v>
      </c>
      <c r="W683" s="70" t="s">
        <v>1153</v>
      </c>
      <c r="X683" s="70" t="s">
        <v>731</v>
      </c>
      <c r="Y683" s="1">
        <v>12</v>
      </c>
      <c r="Z683" s="70">
        <v>6.21</v>
      </c>
      <c r="AA683" s="15" t="s">
        <v>574</v>
      </c>
      <c r="AB683" s="15">
        <f t="shared" si="564"/>
        <v>6.21</v>
      </c>
      <c r="AC683" s="1">
        <v>5</v>
      </c>
      <c r="AD683" s="70">
        <v>22.5</v>
      </c>
      <c r="AM683" s="60"/>
      <c r="AP683" s="70" t="s">
        <v>1551</v>
      </c>
      <c r="AQ683" s="1">
        <v>4</v>
      </c>
      <c r="AR683" s="1">
        <v>3</v>
      </c>
      <c r="DB683" s="70" t="s">
        <v>731</v>
      </c>
      <c r="DD683" s="70">
        <v>7000</v>
      </c>
      <c r="DE683" s="15">
        <f t="shared" ref="DE683:DE711" si="597">DD683</f>
        <v>7000</v>
      </c>
      <c r="DF683" s="15" t="s">
        <v>766</v>
      </c>
      <c r="DS683" s="15">
        <f>DE683</f>
        <v>7000</v>
      </c>
      <c r="DT683" s="15">
        <f t="shared" si="579"/>
        <v>11.666666666666668</v>
      </c>
      <c r="DU683" s="15">
        <f t="shared" si="580"/>
        <v>1400</v>
      </c>
      <c r="FK683" s="16"/>
      <c r="FL683" s="16"/>
      <c r="HE683" s="70">
        <v>9747</v>
      </c>
      <c r="HF683" s="70">
        <f t="shared" si="595"/>
        <v>487.35</v>
      </c>
      <c r="HG683" s="15">
        <f>HF683*SQRT(AR373)</f>
        <v>844.11496106869231</v>
      </c>
      <c r="HH683" s="70">
        <v>9892</v>
      </c>
      <c r="HI683" s="70">
        <f t="shared" si="596"/>
        <v>494.6</v>
      </c>
      <c r="HJ683" s="15">
        <f>HI683*SQRT(AR373)</f>
        <v>856.67232942356668</v>
      </c>
      <c r="HK683" s="70">
        <f t="shared" si="566"/>
        <v>1.0148763722170924</v>
      </c>
      <c r="HL683" s="15">
        <f t="shared" si="567"/>
        <v>145</v>
      </c>
      <c r="HM683" s="15">
        <f t="shared" si="568"/>
        <v>1.4766804304096937E-2</v>
      </c>
      <c r="HN683" s="15">
        <f>((HJ683*HJ683)/(AR373*HH683*HH683)+(HG683*HG683)/(AR373*HE683*HE683))</f>
        <v>4.9999999999999992E-3</v>
      </c>
      <c r="HP683" s="15" t="s">
        <v>766</v>
      </c>
      <c r="HV683" s="15">
        <f t="shared" si="569"/>
        <v>948.07242729666348</v>
      </c>
      <c r="HW683" s="15">
        <f t="shared" si="570"/>
        <v>1.4766804304096937E-2</v>
      </c>
      <c r="HX683" s="15">
        <f t="shared" si="590"/>
        <v>1400</v>
      </c>
      <c r="HY683" s="15">
        <f t="shared" si="591"/>
        <v>7000</v>
      </c>
      <c r="HZ683" s="15">
        <f t="shared" si="592"/>
        <v>11.666666666666668</v>
      </c>
      <c r="IA683" s="15">
        <f t="shared" si="593"/>
        <v>1400</v>
      </c>
    </row>
    <row r="684" spans="1:235" s="70" customFormat="1" ht="14.4" x14ac:dyDescent="0.25">
      <c r="A684" s="31">
        <v>682</v>
      </c>
      <c r="B684" s="60">
        <v>98</v>
      </c>
      <c r="C684" s="1">
        <v>116</v>
      </c>
      <c r="D684" s="15" t="s">
        <v>1547</v>
      </c>
      <c r="E684" s="1">
        <v>5</v>
      </c>
      <c r="F684" s="15" t="s">
        <v>798</v>
      </c>
      <c r="G684" s="70" t="s">
        <v>1548</v>
      </c>
      <c r="H684" s="70" t="s">
        <v>1549</v>
      </c>
      <c r="I684" s="60">
        <v>2014</v>
      </c>
      <c r="J684" s="70" t="s">
        <v>1527</v>
      </c>
      <c r="K684" s="60" t="s">
        <v>1146</v>
      </c>
      <c r="L684" s="70" t="s">
        <v>1550</v>
      </c>
      <c r="M684" s="15" t="s">
        <v>480</v>
      </c>
      <c r="N684" s="15" t="s">
        <v>520</v>
      </c>
      <c r="O684" s="31">
        <v>2</v>
      </c>
      <c r="P684" s="70">
        <v>43.61</v>
      </c>
      <c r="Q684" s="70">
        <v>124.75</v>
      </c>
      <c r="S684" s="70">
        <v>594</v>
      </c>
      <c r="T684" s="70">
        <v>5.6</v>
      </c>
      <c r="U684" s="15" t="s">
        <v>549</v>
      </c>
      <c r="V684" s="31">
        <v>1</v>
      </c>
      <c r="W684" s="70" t="s">
        <v>1153</v>
      </c>
      <c r="X684" s="70" t="s">
        <v>731</v>
      </c>
      <c r="Y684" s="1">
        <v>12</v>
      </c>
      <c r="Z684" s="70">
        <v>6.21</v>
      </c>
      <c r="AA684" s="15" t="s">
        <v>574</v>
      </c>
      <c r="AB684" s="15">
        <f t="shared" si="564"/>
        <v>6.21</v>
      </c>
      <c r="AC684" s="1">
        <v>5</v>
      </c>
      <c r="AD684" s="70">
        <v>22.5</v>
      </c>
      <c r="AM684" s="60"/>
      <c r="AP684" s="70" t="s">
        <v>1551</v>
      </c>
      <c r="AQ684" s="1">
        <v>4</v>
      </c>
      <c r="AR684" s="1">
        <v>3</v>
      </c>
      <c r="DB684" s="70" t="s">
        <v>731</v>
      </c>
      <c r="DD684" s="70">
        <v>7000</v>
      </c>
      <c r="DE684" s="15">
        <f t="shared" si="597"/>
        <v>7000</v>
      </c>
      <c r="DF684" s="15" t="s">
        <v>766</v>
      </c>
      <c r="DS684" s="15">
        <f>DE684</f>
        <v>7000</v>
      </c>
      <c r="DT684" s="15">
        <f t="shared" si="579"/>
        <v>11.666666666666668</v>
      </c>
      <c r="DU684" s="15">
        <f t="shared" si="580"/>
        <v>1400</v>
      </c>
      <c r="FK684" s="16"/>
      <c r="FL684" s="16"/>
      <c r="HE684" s="70">
        <v>9067</v>
      </c>
      <c r="HF684" s="70">
        <f t="shared" si="595"/>
        <v>453.35</v>
      </c>
      <c r="HG684" s="15">
        <f>HF684*SQRT(AR374)</f>
        <v>785.22523361135052</v>
      </c>
      <c r="HH684" s="70">
        <v>9506</v>
      </c>
      <c r="HI684" s="70">
        <f t="shared" si="596"/>
        <v>475.3</v>
      </c>
      <c r="HJ684" s="15">
        <f>HI684*SQRT(AR374)</f>
        <v>823.24374883748737</v>
      </c>
      <c r="HK684" s="70">
        <f t="shared" si="566"/>
        <v>1.0484173375978825</v>
      </c>
      <c r="HL684" s="15">
        <f t="shared" si="567"/>
        <v>439</v>
      </c>
      <c r="HM684" s="15">
        <f t="shared" si="568"/>
        <v>4.728172952789933E-2</v>
      </c>
      <c r="HN684" s="15">
        <f>((HJ684*HJ684)/(AR374*HH684*HH684)+(HG684*HG684)/(AR374*HE684*HE684))</f>
        <v>5.0000000000000001E-3</v>
      </c>
      <c r="HP684" s="15" t="s">
        <v>766</v>
      </c>
      <c r="HV684" s="15">
        <f t="shared" si="569"/>
        <v>296.0974596273827</v>
      </c>
      <c r="HW684" s="15">
        <f t="shared" si="570"/>
        <v>4.728172952789933E-2</v>
      </c>
      <c r="HX684" s="15">
        <f t="shared" si="590"/>
        <v>1400</v>
      </c>
      <c r="HY684" s="15">
        <f t="shared" si="591"/>
        <v>7000</v>
      </c>
      <c r="HZ684" s="15">
        <f t="shared" si="592"/>
        <v>11.666666666666668</v>
      </c>
      <c r="IA684" s="15">
        <f t="shared" si="593"/>
        <v>1400</v>
      </c>
    </row>
    <row r="685" spans="1:235" s="70" customFormat="1" ht="14.4" x14ac:dyDescent="0.25">
      <c r="A685" s="31">
        <v>683</v>
      </c>
      <c r="B685" s="60">
        <v>98</v>
      </c>
      <c r="C685" s="1">
        <v>116</v>
      </c>
      <c r="D685" s="15" t="s">
        <v>1552</v>
      </c>
      <c r="E685" s="1">
        <v>5</v>
      </c>
      <c r="F685" s="15" t="s">
        <v>798</v>
      </c>
      <c r="G685" s="70" t="s">
        <v>1548</v>
      </c>
      <c r="H685" s="70" t="s">
        <v>1549</v>
      </c>
      <c r="I685" s="60">
        <v>2014</v>
      </c>
      <c r="J685" s="70" t="s">
        <v>1527</v>
      </c>
      <c r="K685" s="60" t="s">
        <v>1146</v>
      </c>
      <c r="L685" s="70" t="s">
        <v>1550</v>
      </c>
      <c r="M685" s="15" t="s">
        <v>480</v>
      </c>
      <c r="N685" s="15" t="s">
        <v>520</v>
      </c>
      <c r="O685" s="31">
        <v>2</v>
      </c>
      <c r="P685" s="70">
        <v>43.61</v>
      </c>
      <c r="Q685" s="70">
        <v>124.75</v>
      </c>
      <c r="S685" s="70">
        <v>594</v>
      </c>
      <c r="T685" s="70">
        <v>5.6</v>
      </c>
      <c r="U685" s="15" t="s">
        <v>549</v>
      </c>
      <c r="V685" s="31">
        <v>1</v>
      </c>
      <c r="W685" s="70" t="s">
        <v>1153</v>
      </c>
      <c r="X685" s="70" t="s">
        <v>731</v>
      </c>
      <c r="Y685" s="1">
        <v>12</v>
      </c>
      <c r="Z685" s="70">
        <v>6.21</v>
      </c>
      <c r="AA685" s="15" t="s">
        <v>574</v>
      </c>
      <c r="AB685" s="15">
        <f t="shared" si="564"/>
        <v>6.21</v>
      </c>
      <c r="AC685" s="1">
        <v>5</v>
      </c>
      <c r="AD685" s="70">
        <v>22.5</v>
      </c>
      <c r="AM685" s="60"/>
      <c r="AP685" s="70" t="s">
        <v>1551</v>
      </c>
      <c r="AQ685" s="1">
        <v>4</v>
      </c>
      <c r="AR685" s="1">
        <v>3</v>
      </c>
      <c r="DB685" s="70" t="s">
        <v>731</v>
      </c>
      <c r="DD685" s="70">
        <v>7000</v>
      </c>
      <c r="DE685" s="15">
        <f t="shared" si="597"/>
        <v>7000</v>
      </c>
      <c r="DF685" s="15" t="s">
        <v>766</v>
      </c>
      <c r="DS685" s="15">
        <f>DE685</f>
        <v>7000</v>
      </c>
      <c r="DT685" s="15">
        <f t="shared" si="579"/>
        <v>11.666666666666668</v>
      </c>
      <c r="DU685" s="15">
        <f t="shared" si="580"/>
        <v>1400</v>
      </c>
      <c r="FK685" s="16"/>
      <c r="FL685" s="16"/>
      <c r="HE685" s="70">
        <v>9380</v>
      </c>
      <c r="HF685" s="70">
        <f t="shared" si="595"/>
        <v>469</v>
      </c>
      <c r="HG685" s="15">
        <f>HF685*SQRT(AR375)</f>
        <v>812.33182874980344</v>
      </c>
      <c r="HH685" s="70">
        <v>9867</v>
      </c>
      <c r="HI685" s="70">
        <f t="shared" si="596"/>
        <v>493.35</v>
      </c>
      <c r="HJ685" s="15">
        <f>HI685*SQRT(AR375)</f>
        <v>854.50726591410557</v>
      </c>
      <c r="HK685" s="70">
        <f t="shared" si="566"/>
        <v>1.0519189765458423</v>
      </c>
      <c r="HL685" s="15">
        <f t="shared" si="567"/>
        <v>487</v>
      </c>
      <c r="HM685" s="15">
        <f t="shared" si="568"/>
        <v>5.0616092856897055E-2</v>
      </c>
      <c r="HN685" s="15">
        <f>((HJ685*HJ685)/(AR375*HH685*HH685)+(HG685*HG685)/(AR375*HE685*HE685))</f>
        <v>5.0000000000000001E-3</v>
      </c>
      <c r="HP685" s="15" t="s">
        <v>766</v>
      </c>
      <c r="HV685" s="15">
        <f t="shared" si="569"/>
        <v>276.59187443766376</v>
      </c>
      <c r="HW685" s="15">
        <f t="shared" ref="HW685:HW710" si="598">HM685</f>
        <v>5.0616092856897055E-2</v>
      </c>
      <c r="HX685" s="15">
        <f t="shared" si="590"/>
        <v>1400</v>
      </c>
      <c r="HY685" s="15">
        <f t="shared" si="591"/>
        <v>7000</v>
      </c>
      <c r="HZ685" s="15">
        <f t="shared" si="592"/>
        <v>11.666666666666668</v>
      </c>
      <c r="IA685" s="15">
        <f t="shared" si="593"/>
        <v>1400</v>
      </c>
    </row>
    <row r="686" spans="1:235" s="70" customFormat="1" ht="14.4" x14ac:dyDescent="0.25">
      <c r="A686" s="31">
        <v>684</v>
      </c>
      <c r="B686" s="60">
        <v>98</v>
      </c>
      <c r="C686" s="1">
        <v>116</v>
      </c>
      <c r="D686" s="15" t="s">
        <v>1553</v>
      </c>
      <c r="E686" s="1">
        <v>5</v>
      </c>
      <c r="F686" s="15" t="s">
        <v>798</v>
      </c>
      <c r="G686" s="70" t="s">
        <v>1548</v>
      </c>
      <c r="H686" s="70" t="s">
        <v>1549</v>
      </c>
      <c r="I686" s="60">
        <v>2014</v>
      </c>
      <c r="J686" s="70" t="s">
        <v>1527</v>
      </c>
      <c r="K686" s="60" t="s">
        <v>1146</v>
      </c>
      <c r="L686" s="70" t="s">
        <v>1550</v>
      </c>
      <c r="M686" s="15" t="s">
        <v>480</v>
      </c>
      <c r="N686" s="15" t="s">
        <v>520</v>
      </c>
      <c r="O686" s="31">
        <v>2</v>
      </c>
      <c r="P686" s="70">
        <v>43.61</v>
      </c>
      <c r="Q686" s="70">
        <v>124.75</v>
      </c>
      <c r="S686" s="70">
        <v>594</v>
      </c>
      <c r="T686" s="70">
        <v>5.6</v>
      </c>
      <c r="U686" s="15" t="s">
        <v>549</v>
      </c>
      <c r="V686" s="31">
        <v>1</v>
      </c>
      <c r="W686" s="70" t="s">
        <v>1153</v>
      </c>
      <c r="X686" s="70" t="s">
        <v>731</v>
      </c>
      <c r="Y686" s="1">
        <v>12</v>
      </c>
      <c r="Z686" s="70">
        <v>6.21</v>
      </c>
      <c r="AA686" s="15" t="s">
        <v>574</v>
      </c>
      <c r="AB686" s="15">
        <f t="shared" si="564"/>
        <v>6.21</v>
      </c>
      <c r="AC686" s="1">
        <v>5</v>
      </c>
      <c r="AD686" s="70">
        <v>22.5</v>
      </c>
      <c r="AM686" s="60"/>
      <c r="AP686" s="70" t="s">
        <v>1551</v>
      </c>
      <c r="AQ686" s="1">
        <v>4</v>
      </c>
      <c r="AR686" s="1">
        <v>3</v>
      </c>
      <c r="DB686" s="70" t="s">
        <v>731</v>
      </c>
      <c r="DD686" s="70">
        <v>7000</v>
      </c>
      <c r="DE686" s="15">
        <f t="shared" si="597"/>
        <v>7000</v>
      </c>
      <c r="DF686" s="15" t="s">
        <v>766</v>
      </c>
      <c r="DS686" s="15">
        <f>DE686</f>
        <v>7000</v>
      </c>
      <c r="DT686" s="15">
        <f t="shared" si="579"/>
        <v>11.666666666666668</v>
      </c>
      <c r="DU686" s="15">
        <f t="shared" si="580"/>
        <v>1400</v>
      </c>
      <c r="FK686" s="16"/>
      <c r="FL686" s="16"/>
      <c r="HE686" s="70">
        <v>10353</v>
      </c>
      <c r="HF686" s="70">
        <f t="shared" si="595"/>
        <v>517.65</v>
      </c>
      <c r="HG686" s="15">
        <f>HF686*SQRT(AR376)</f>
        <v>896.59610053802919</v>
      </c>
      <c r="HH686" s="70">
        <v>10620</v>
      </c>
      <c r="HI686" s="70">
        <f t="shared" si="596"/>
        <v>531</v>
      </c>
      <c r="HJ686" s="15">
        <f>HI686*SQRT(AR376)</f>
        <v>919.71897881907375</v>
      </c>
      <c r="HK686" s="70">
        <f t="shared" si="566"/>
        <v>1.0257896261953057</v>
      </c>
      <c r="HL686" s="15">
        <f t="shared" si="567"/>
        <v>267</v>
      </c>
      <c r="HM686" s="15">
        <f t="shared" si="568"/>
        <v>2.5462683029816802E-2</v>
      </c>
      <c r="HN686" s="15">
        <f>((HJ686*HJ686)/(AR376*HH686*HH686)+(HG686*HG686)/(AR376*HE686*HE686))</f>
        <v>4.9999999999999992E-3</v>
      </c>
      <c r="HP686" s="15" t="s">
        <v>766</v>
      </c>
      <c r="HV686" s="15">
        <f t="shared" si="569"/>
        <v>549.82422644173039</v>
      </c>
      <c r="HW686" s="15">
        <f t="shared" si="598"/>
        <v>2.5462683029816802E-2</v>
      </c>
      <c r="HX686" s="15">
        <f t="shared" si="590"/>
        <v>1400</v>
      </c>
      <c r="HY686" s="15">
        <f t="shared" si="591"/>
        <v>7000</v>
      </c>
      <c r="HZ686" s="15">
        <f t="shared" si="592"/>
        <v>11.666666666666668</v>
      </c>
      <c r="IA686" s="15">
        <f t="shared" si="593"/>
        <v>1400</v>
      </c>
    </row>
    <row r="687" spans="1:235" s="70" customFormat="1" ht="14.4" x14ac:dyDescent="0.25">
      <c r="A687" s="31">
        <v>685</v>
      </c>
      <c r="B687" s="60">
        <v>98</v>
      </c>
      <c r="C687" s="1">
        <v>116</v>
      </c>
      <c r="D687" s="15" t="s">
        <v>1554</v>
      </c>
      <c r="E687" s="1">
        <v>5</v>
      </c>
      <c r="F687" s="15" t="s">
        <v>798</v>
      </c>
      <c r="G687" s="70" t="s">
        <v>1548</v>
      </c>
      <c r="H687" s="70" t="s">
        <v>1549</v>
      </c>
      <c r="I687" s="60">
        <v>2014</v>
      </c>
      <c r="J687" s="70" t="s">
        <v>1527</v>
      </c>
      <c r="K687" s="60" t="s">
        <v>1146</v>
      </c>
      <c r="L687" s="70" t="s">
        <v>1550</v>
      </c>
      <c r="M687" s="15" t="s">
        <v>480</v>
      </c>
      <c r="N687" s="15" t="s">
        <v>520</v>
      </c>
      <c r="O687" s="31">
        <v>2</v>
      </c>
      <c r="P687" s="70">
        <v>43.61</v>
      </c>
      <c r="Q687" s="70">
        <v>124.75</v>
      </c>
      <c r="S687" s="70">
        <v>594</v>
      </c>
      <c r="T687" s="70">
        <v>5.6</v>
      </c>
      <c r="U687" s="15" t="s">
        <v>549</v>
      </c>
      <c r="V687" s="31">
        <v>1</v>
      </c>
      <c r="W687" s="70" t="s">
        <v>1153</v>
      </c>
      <c r="X687" s="70" t="s">
        <v>731</v>
      </c>
      <c r="Y687" s="1">
        <v>12</v>
      </c>
      <c r="Z687" s="70">
        <v>6.21</v>
      </c>
      <c r="AA687" s="15" t="s">
        <v>574</v>
      </c>
      <c r="AB687" s="15">
        <f t="shared" si="564"/>
        <v>6.21</v>
      </c>
      <c r="AC687" s="1">
        <v>5</v>
      </c>
      <c r="AD687" s="70">
        <v>22.5</v>
      </c>
      <c r="AM687" s="60"/>
      <c r="AP687" s="70" t="s">
        <v>1551</v>
      </c>
      <c r="AQ687" s="1">
        <v>4</v>
      </c>
      <c r="AR687" s="1">
        <v>3</v>
      </c>
      <c r="DB687" s="70" t="s">
        <v>731</v>
      </c>
      <c r="DD687" s="70">
        <v>7000</v>
      </c>
      <c r="DE687" s="15">
        <f t="shared" si="597"/>
        <v>7000</v>
      </c>
      <c r="DF687" s="15" t="s">
        <v>766</v>
      </c>
      <c r="DS687" s="15">
        <f>DE687</f>
        <v>7000</v>
      </c>
      <c r="DT687" s="15">
        <f t="shared" si="579"/>
        <v>11.666666666666668</v>
      </c>
      <c r="DU687" s="15">
        <f t="shared" si="580"/>
        <v>1400</v>
      </c>
      <c r="FK687" s="16"/>
      <c r="FL687" s="16"/>
      <c r="HE687" s="70">
        <v>10026</v>
      </c>
      <c r="HF687" s="70">
        <f t="shared" si="595"/>
        <v>501.3</v>
      </c>
      <c r="HG687" s="15">
        <f>HF687*SQRT(AR377)</f>
        <v>868.27706983427811</v>
      </c>
      <c r="HH687" s="70">
        <v>10534</v>
      </c>
      <c r="HI687" s="70">
        <f t="shared" si="596"/>
        <v>526.70000000000005</v>
      </c>
      <c r="HJ687" s="15">
        <f>HI687*SQRT(AR377)</f>
        <v>912.27116034652772</v>
      </c>
      <c r="HK687" s="70">
        <f t="shared" si="566"/>
        <v>1.0506682625174546</v>
      </c>
      <c r="HL687" s="15">
        <f t="shared" si="567"/>
        <v>508</v>
      </c>
      <c r="HM687" s="15">
        <f t="shared" si="568"/>
        <v>4.9426402219886256E-2</v>
      </c>
      <c r="HN687" s="15">
        <f>((HJ687*HJ687)/(AR377*HH687*HH687)+(HG687*HG687)/(AR377*HE687*HE687))</f>
        <v>4.9999999999999992E-3</v>
      </c>
      <c r="HP687" s="15" t="s">
        <v>766</v>
      </c>
      <c r="HV687" s="15">
        <f t="shared" si="569"/>
        <v>283.24942482597345</v>
      </c>
      <c r="HW687" s="15">
        <f t="shared" si="598"/>
        <v>4.9426402219886256E-2</v>
      </c>
      <c r="HX687" s="15">
        <f t="shared" si="590"/>
        <v>1400</v>
      </c>
      <c r="HY687" s="15">
        <f t="shared" si="591"/>
        <v>7000</v>
      </c>
      <c r="HZ687" s="15">
        <f t="shared" si="592"/>
        <v>11.666666666666668</v>
      </c>
      <c r="IA687" s="15">
        <f t="shared" si="593"/>
        <v>1400</v>
      </c>
    </row>
    <row r="688" spans="1:235" s="70" customFormat="1" ht="14.4" x14ac:dyDescent="0.25">
      <c r="A688" s="31">
        <v>686</v>
      </c>
      <c r="B688" s="60">
        <v>98</v>
      </c>
      <c r="C688" s="1">
        <v>116</v>
      </c>
      <c r="D688" s="15" t="s">
        <v>1555</v>
      </c>
      <c r="E688" s="1">
        <v>5</v>
      </c>
      <c r="F688" s="15" t="s">
        <v>798</v>
      </c>
      <c r="G688" s="70" t="s">
        <v>1548</v>
      </c>
      <c r="H688" s="70" t="s">
        <v>1549</v>
      </c>
      <c r="I688" s="60">
        <v>2014</v>
      </c>
      <c r="J688" s="70" t="s">
        <v>1527</v>
      </c>
      <c r="K688" s="60" t="s">
        <v>1146</v>
      </c>
      <c r="L688" s="70" t="s">
        <v>1550</v>
      </c>
      <c r="M688" s="15" t="s">
        <v>480</v>
      </c>
      <c r="N688" s="15" t="s">
        <v>520</v>
      </c>
      <c r="O688" s="31">
        <v>2</v>
      </c>
      <c r="P688" s="70">
        <v>43.61</v>
      </c>
      <c r="Q688" s="70">
        <v>124.75</v>
      </c>
      <c r="S688" s="70">
        <v>594</v>
      </c>
      <c r="T688" s="70">
        <v>5.6</v>
      </c>
      <c r="U688" s="15" t="s">
        <v>549</v>
      </c>
      <c r="V688" s="31">
        <v>1</v>
      </c>
      <c r="W688" s="70" t="s">
        <v>1153</v>
      </c>
      <c r="X688" s="70" t="s">
        <v>731</v>
      </c>
      <c r="Y688" s="1">
        <v>12</v>
      </c>
      <c r="Z688" s="70">
        <v>6.21</v>
      </c>
      <c r="AA688" s="15" t="s">
        <v>574</v>
      </c>
      <c r="AB688" s="15">
        <f t="shared" si="564"/>
        <v>6.21</v>
      </c>
      <c r="AC688" s="1">
        <v>5</v>
      </c>
      <c r="AD688" s="70">
        <v>22.5</v>
      </c>
      <c r="AM688" s="60"/>
      <c r="AP688" s="70" t="s">
        <v>1551</v>
      </c>
      <c r="AQ688" s="1">
        <v>4</v>
      </c>
      <c r="AR688" s="1">
        <v>3</v>
      </c>
      <c r="DB688" s="70" t="s">
        <v>731</v>
      </c>
      <c r="DD688" s="70">
        <v>7000</v>
      </c>
      <c r="DE688" s="15">
        <f t="shared" si="597"/>
        <v>7000</v>
      </c>
      <c r="DF688" s="15" t="s">
        <v>766</v>
      </c>
      <c r="DS688" s="15">
        <f>DE688</f>
        <v>7000</v>
      </c>
      <c r="DT688" s="15">
        <f t="shared" si="579"/>
        <v>11.666666666666668</v>
      </c>
      <c r="DU688" s="15">
        <f t="shared" si="580"/>
        <v>1400</v>
      </c>
      <c r="FK688" s="16"/>
      <c r="FL688" s="16"/>
      <c r="HE688" s="70">
        <v>10527</v>
      </c>
      <c r="HF688" s="70">
        <f t="shared" si="595"/>
        <v>526.35</v>
      </c>
      <c r="HG688" s="15">
        <f>HF688*SQRT(AR378)</f>
        <v>911.66494256387853</v>
      </c>
      <c r="HH688" s="70">
        <v>10926</v>
      </c>
      <c r="HI688" s="70">
        <f t="shared" si="596"/>
        <v>546.30000000000007</v>
      </c>
      <c r="HJ688" s="15">
        <f>HI688*SQRT(AR378)</f>
        <v>946.2193561748777</v>
      </c>
      <c r="HK688" s="70">
        <f t="shared" si="566"/>
        <v>1.0379025363351382</v>
      </c>
      <c r="HL688" s="15">
        <f t="shared" si="567"/>
        <v>399</v>
      </c>
      <c r="HM688" s="15">
        <f t="shared" si="568"/>
        <v>3.7201884704337829E-2</v>
      </c>
      <c r="HN688" s="15">
        <f>((HJ688*HJ688)/(AR378*HH688*HH688)+(HG688*HG688)/(AR378*HE688*HE688))</f>
        <v>4.9999999999999992E-3</v>
      </c>
      <c r="HP688" s="15" t="s">
        <v>766</v>
      </c>
      <c r="HV688" s="15">
        <f t="shared" si="569"/>
        <v>376.32501985490984</v>
      </c>
      <c r="HW688" s="15">
        <f t="shared" si="598"/>
        <v>3.7201884704337829E-2</v>
      </c>
      <c r="HX688" s="15">
        <f t="shared" si="590"/>
        <v>1400</v>
      </c>
      <c r="HY688" s="15">
        <f t="shared" si="591"/>
        <v>7000</v>
      </c>
      <c r="HZ688" s="15">
        <f t="shared" si="592"/>
        <v>11.666666666666668</v>
      </c>
      <c r="IA688" s="15">
        <f t="shared" si="593"/>
        <v>1400</v>
      </c>
    </row>
    <row r="689" spans="1:235" s="70" customFormat="1" x14ac:dyDescent="0.25">
      <c r="A689" s="31">
        <v>687</v>
      </c>
      <c r="B689" s="60">
        <v>99</v>
      </c>
      <c r="C689" s="60">
        <v>117</v>
      </c>
      <c r="D689" s="15" t="s">
        <v>1558</v>
      </c>
      <c r="E689" s="1">
        <v>5</v>
      </c>
      <c r="F689" s="15" t="s">
        <v>798</v>
      </c>
      <c r="G689" s="70" t="s">
        <v>1556</v>
      </c>
      <c r="H689" s="70" t="s">
        <v>1557</v>
      </c>
      <c r="I689" s="60">
        <v>2021</v>
      </c>
      <c r="J689" s="70" t="s">
        <v>1576</v>
      </c>
      <c r="K689" s="60" t="s">
        <v>1577</v>
      </c>
      <c r="L689" s="70" t="s">
        <v>1578</v>
      </c>
      <c r="M689" s="15" t="s">
        <v>480</v>
      </c>
      <c r="N689" s="15" t="s">
        <v>520</v>
      </c>
      <c r="O689" s="31">
        <v>2</v>
      </c>
      <c r="P689" s="70">
        <v>35.090000000000003</v>
      </c>
      <c r="Q689" s="70">
        <v>118.4</v>
      </c>
      <c r="S689" s="70">
        <v>800</v>
      </c>
      <c r="T689" s="70">
        <v>13.1</v>
      </c>
      <c r="U689" s="15" t="s">
        <v>549</v>
      </c>
      <c r="V689" s="31">
        <v>1</v>
      </c>
      <c r="W689" s="70" t="s">
        <v>1179</v>
      </c>
      <c r="X689" s="70" t="s">
        <v>729</v>
      </c>
      <c r="Y689" s="61">
        <v>11</v>
      </c>
      <c r="Z689" s="70">
        <v>6.36</v>
      </c>
      <c r="AA689" s="15" t="s">
        <v>574</v>
      </c>
      <c r="AB689" s="15">
        <f t="shared" si="564"/>
        <v>6.36</v>
      </c>
      <c r="AC689" s="1">
        <v>5</v>
      </c>
      <c r="AD689" s="70">
        <v>19.8</v>
      </c>
      <c r="AM689" s="60"/>
      <c r="AN689" s="70">
        <v>1.28</v>
      </c>
      <c r="AP689" s="70" t="s">
        <v>1579</v>
      </c>
      <c r="AQ689" s="1">
        <v>5</v>
      </c>
      <c r="AR689" s="1">
        <v>3</v>
      </c>
      <c r="DB689" s="70" t="s">
        <v>731</v>
      </c>
      <c r="DD689" s="70">
        <v>9471</v>
      </c>
      <c r="DE689" s="15">
        <f t="shared" si="597"/>
        <v>9471</v>
      </c>
      <c r="DF689" s="15" t="s">
        <v>766</v>
      </c>
      <c r="DS689" s="15">
        <f>DE689</f>
        <v>9471</v>
      </c>
      <c r="DT689" s="15">
        <f t="shared" si="579"/>
        <v>15.785</v>
      </c>
      <c r="DU689" s="15">
        <f t="shared" si="580"/>
        <v>1894.2</v>
      </c>
      <c r="EZ689" s="70">
        <v>1.26</v>
      </c>
      <c r="FA689" s="15">
        <f t="shared" ref="FA689:FA706" si="599">EZ689*0.05</f>
        <v>6.3E-2</v>
      </c>
      <c r="FB689" s="15">
        <f>FA689*SQRT(AR689)</f>
        <v>0.10911920087683927</v>
      </c>
      <c r="FC689" s="70">
        <v>1.25</v>
      </c>
      <c r="FD689" s="15">
        <f t="shared" ref="FD689:FD706" si="600">FC689*0.05</f>
        <v>6.25E-2</v>
      </c>
      <c r="FE689" s="15">
        <f>FD689*SQRT(AR689)</f>
        <v>0.10825317547305482</v>
      </c>
      <c r="FF689" s="15">
        <f t="shared" ref="FF689:FF710" si="601">FC689/EZ689</f>
        <v>0.99206349206349209</v>
      </c>
      <c r="FG689" s="15">
        <f t="shared" ref="FG689:FG710" si="602">FC689-EZ689</f>
        <v>-1.0000000000000009E-2</v>
      </c>
      <c r="FH689" s="15">
        <f t="shared" ref="FH689:FH710" si="603">LN(FC689)-LN(EZ689)</f>
        <v>-7.9681696491768761E-3</v>
      </c>
      <c r="FI689" s="15">
        <f>((FE689*FE689)/(AR689*FC689*FC689)+(FB689*FB689)/(AR689*EZ689*EZ689))</f>
        <v>4.9999999999999992E-3</v>
      </c>
      <c r="FJ689" s="15"/>
      <c r="FK689" s="16">
        <f t="shared" ref="FK689:FK706" si="604">FM689</f>
        <v>6.33</v>
      </c>
      <c r="FL689" s="16">
        <f t="shared" ref="FL689:FL706" si="605">FP689</f>
        <v>6.34</v>
      </c>
      <c r="FM689" s="15">
        <v>6.33</v>
      </c>
      <c r="FN689" s="15">
        <f t="shared" ref="FN689:FN706" si="606">FM689*0.05</f>
        <v>0.3165</v>
      </c>
      <c r="FO689" s="15">
        <f>FN689*SQRT(AR689)</f>
        <v>0.54819408059554964</v>
      </c>
      <c r="FP689" s="15">
        <v>6.34</v>
      </c>
      <c r="FQ689" s="15">
        <f t="shared" ref="FQ689:FQ706" si="607">FP689*0.05</f>
        <v>0.317</v>
      </c>
      <c r="FR689" s="15">
        <f>FQ689*SQRT(AR689)</f>
        <v>0.54906010599933408</v>
      </c>
      <c r="FS689" s="15">
        <f t="shared" ref="FS689:FS706" si="608">FP689/FM689</f>
        <v>1.0015797788309637</v>
      </c>
      <c r="FT689" s="15">
        <f t="shared" ref="FT689:FT706" si="609">FP689-FM689</f>
        <v>9.9999999999997868E-3</v>
      </c>
      <c r="FU689" s="15">
        <f t="shared" ref="FU689:FU706" si="610">LN(FP689)-LN(FM689)</f>
        <v>1.578532293049717E-3</v>
      </c>
      <c r="FV689" s="15">
        <f>((FR689*FR689)/(AR689*FP689*FP689)+(FO689*FO689)/(AR689*FM689*FM689))</f>
        <v>4.9999999999999992E-3</v>
      </c>
      <c r="FX689" s="15">
        <v>20.399999999999999</v>
      </c>
      <c r="FY689" s="15">
        <f t="shared" ref="FY689:FY706" si="611">FX689*0.05</f>
        <v>1.02</v>
      </c>
      <c r="FZ689" s="15">
        <f>FY689*SQRT(AR689)</f>
        <v>1.7666918237202547</v>
      </c>
      <c r="GA689" s="15">
        <v>21.5</v>
      </c>
      <c r="GB689" s="15">
        <f t="shared" ref="GB689:GB706" si="612">GA689*0.05</f>
        <v>1.075</v>
      </c>
      <c r="GC689" s="15">
        <f>GB689*SQRT(AR689)</f>
        <v>1.8619546181365429</v>
      </c>
      <c r="GD689" s="15">
        <f t="shared" ref="GD689:GD706" si="613">GA689/FX689</f>
        <v>1.053921568627451</v>
      </c>
      <c r="GE689" s="15">
        <f t="shared" ref="GE689:GE706" si="614">GA689-FX689</f>
        <v>1.1000000000000014</v>
      </c>
      <c r="GF689" s="15">
        <f t="shared" ref="GF689:GF706" si="615">LN(GA689)-LN(FX689)</f>
        <v>5.2518034283446369E-2</v>
      </c>
      <c r="GG689" s="15">
        <f>((GC689*GC689)/(AR689*GA689*GA689)+(FZ689*FZ689)/(AR689*FX689*FX689))</f>
        <v>4.9999999999999992E-3</v>
      </c>
      <c r="HE689" s="70">
        <v>6900</v>
      </c>
      <c r="HF689" s="70">
        <f t="shared" si="595"/>
        <v>345</v>
      </c>
      <c r="HG689" s="15">
        <f>HF689*SQRT(AR379)</f>
        <v>690</v>
      </c>
      <c r="HH689" s="70">
        <v>7080</v>
      </c>
      <c r="HI689" s="70">
        <f t="shared" si="596"/>
        <v>354</v>
      </c>
      <c r="HJ689" s="15">
        <f>HI689*SQRT(AR379)</f>
        <v>708</v>
      </c>
      <c r="HK689" s="70">
        <f t="shared" si="566"/>
        <v>1.0260869565217392</v>
      </c>
      <c r="HL689" s="15">
        <f t="shared" si="567"/>
        <v>180</v>
      </c>
      <c r="HM689" s="15">
        <f t="shared" si="568"/>
        <v>2.5752496102414923E-2</v>
      </c>
      <c r="HN689" s="15">
        <f>((HJ689*HJ689)/(AR379*HH689*HH689)+(HG689*HG689)/(AR379*HE689*HE689))</f>
        <v>5.0000000000000001E-3</v>
      </c>
      <c r="HP689" s="15" t="s">
        <v>766</v>
      </c>
      <c r="HV689" s="15">
        <f t="shared" si="569"/>
        <v>735.54035013420423</v>
      </c>
      <c r="HW689" s="15">
        <f t="shared" si="598"/>
        <v>2.5752496102414923E-2</v>
      </c>
      <c r="HX689" s="15">
        <f t="shared" si="590"/>
        <v>1894.2</v>
      </c>
      <c r="HY689" s="15">
        <f t="shared" si="591"/>
        <v>9471</v>
      </c>
      <c r="HZ689" s="15">
        <f t="shared" si="592"/>
        <v>15.785</v>
      </c>
      <c r="IA689" s="15">
        <f t="shared" si="593"/>
        <v>1894.2</v>
      </c>
    </row>
    <row r="690" spans="1:235" s="70" customFormat="1" x14ac:dyDescent="0.25">
      <c r="A690" s="31">
        <v>688</v>
      </c>
      <c r="B690" s="60">
        <v>99</v>
      </c>
      <c r="C690" s="60">
        <v>117</v>
      </c>
      <c r="D690" s="15" t="s">
        <v>1559</v>
      </c>
      <c r="E690" s="1">
        <v>5</v>
      </c>
      <c r="F690" s="15" t="s">
        <v>798</v>
      </c>
      <c r="G690" s="70" t="s">
        <v>1556</v>
      </c>
      <c r="H690" s="70" t="s">
        <v>1557</v>
      </c>
      <c r="I690" s="60">
        <v>2021</v>
      </c>
      <c r="J690" s="70" t="s">
        <v>1576</v>
      </c>
      <c r="K690" s="60" t="s">
        <v>1577</v>
      </c>
      <c r="L690" s="70" t="s">
        <v>1578</v>
      </c>
      <c r="M690" s="15" t="s">
        <v>480</v>
      </c>
      <c r="N690" s="15" t="s">
        <v>520</v>
      </c>
      <c r="O690" s="31">
        <v>2</v>
      </c>
      <c r="P690" s="70">
        <v>35.090000000000003</v>
      </c>
      <c r="Q690" s="70">
        <v>118.4</v>
      </c>
      <c r="S690" s="70">
        <v>800</v>
      </c>
      <c r="T690" s="70">
        <v>13.1</v>
      </c>
      <c r="U690" s="15" t="s">
        <v>549</v>
      </c>
      <c r="V690" s="31">
        <v>1</v>
      </c>
      <c r="W690" s="70" t="s">
        <v>1179</v>
      </c>
      <c r="X690" s="70" t="s">
        <v>729</v>
      </c>
      <c r="Y690" s="61">
        <v>11</v>
      </c>
      <c r="Z690" s="70">
        <v>6.36</v>
      </c>
      <c r="AA690" s="15" t="s">
        <v>574</v>
      </c>
      <c r="AB690" s="15">
        <f t="shared" si="564"/>
        <v>6.36</v>
      </c>
      <c r="AC690" s="1">
        <v>5</v>
      </c>
      <c r="AD690" s="70">
        <v>19.8</v>
      </c>
      <c r="AM690" s="60"/>
      <c r="AN690" s="70">
        <v>1.28</v>
      </c>
      <c r="AP690" s="70" t="s">
        <v>1579</v>
      </c>
      <c r="AQ690" s="1">
        <v>5</v>
      </c>
      <c r="AR690" s="1">
        <v>3</v>
      </c>
      <c r="DB690" s="70" t="s">
        <v>731</v>
      </c>
      <c r="DD690" s="70">
        <v>9471</v>
      </c>
      <c r="DE690" s="15">
        <f t="shared" si="597"/>
        <v>9471</v>
      </c>
      <c r="DF690" s="15" t="s">
        <v>766</v>
      </c>
      <c r="DS690" s="15">
        <f>DE690</f>
        <v>9471</v>
      </c>
      <c r="DT690" s="15">
        <f t="shared" si="579"/>
        <v>15.785</v>
      </c>
      <c r="DU690" s="15">
        <f t="shared" si="580"/>
        <v>1894.2</v>
      </c>
      <c r="EZ690" s="70">
        <v>1.28</v>
      </c>
      <c r="FA690" s="15">
        <f t="shared" si="599"/>
        <v>6.4000000000000001E-2</v>
      </c>
      <c r="FB690" s="15">
        <f>FA690*SQRT(AR690)</f>
        <v>0.11085125168440814</v>
      </c>
      <c r="FC690" s="70">
        <v>1.22</v>
      </c>
      <c r="FD690" s="15">
        <f t="shared" si="600"/>
        <v>6.0999999999999999E-2</v>
      </c>
      <c r="FE690" s="15">
        <f>FD690*SQRT(AR690)</f>
        <v>0.10565509926170151</v>
      </c>
      <c r="FF690" s="15">
        <f t="shared" si="601"/>
        <v>0.953125</v>
      </c>
      <c r="FG690" s="15">
        <f t="shared" si="602"/>
        <v>-6.0000000000000053E-2</v>
      </c>
      <c r="FH690" s="15">
        <f t="shared" si="603"/>
        <v>-4.8009219186360641E-2</v>
      </c>
      <c r="FI690" s="15">
        <f>((FE690*FE690)/(AR690*FC690*FC690)+(FB690*FB690)/(AR690*EZ690*EZ690))</f>
        <v>4.9999999999999992E-3</v>
      </c>
      <c r="FJ690" s="15"/>
      <c r="FK690" s="16">
        <f t="shared" si="604"/>
        <v>6.23</v>
      </c>
      <c r="FL690" s="16">
        <f t="shared" si="605"/>
        <v>6.32</v>
      </c>
      <c r="FM690" s="15">
        <v>6.23</v>
      </c>
      <c r="FN690" s="15">
        <f t="shared" si="606"/>
        <v>0.31150000000000005</v>
      </c>
      <c r="FO690" s="15">
        <f>FN690*SQRT(AR690)</f>
        <v>0.53953382655770532</v>
      </c>
      <c r="FP690" s="15">
        <v>6.32</v>
      </c>
      <c r="FQ690" s="15">
        <f t="shared" si="607"/>
        <v>0.31600000000000006</v>
      </c>
      <c r="FR690" s="15">
        <f>FQ690*SQRT(AR690)</f>
        <v>0.54732805519176531</v>
      </c>
      <c r="FS690" s="15">
        <f t="shared" si="608"/>
        <v>1.014446227929374</v>
      </c>
      <c r="FT690" s="15">
        <f t="shared" si="609"/>
        <v>8.9999999999999858E-2</v>
      </c>
      <c r="FU690" s="15">
        <f t="shared" si="610"/>
        <v>1.4342875359404372E-2</v>
      </c>
      <c r="FV690" s="15">
        <f>((FR690*FR690)/(AR690*FP690*FP690)+(FO690*FO690)/(AR690*FM690*FM690))</f>
        <v>5.000000000000001E-3</v>
      </c>
      <c r="FX690" s="15">
        <v>20.9</v>
      </c>
      <c r="FY690" s="15">
        <f t="shared" si="611"/>
        <v>1.0449999999999999</v>
      </c>
      <c r="FZ690" s="15">
        <f>FY690*SQRT(AR690)</f>
        <v>1.8099930939094766</v>
      </c>
      <c r="GA690" s="15">
        <v>22.1</v>
      </c>
      <c r="GB690" s="15">
        <f t="shared" si="612"/>
        <v>1.1050000000000002</v>
      </c>
      <c r="GC690" s="15">
        <f>GB690*SQRT(AR690)</f>
        <v>1.9139161423636097</v>
      </c>
      <c r="GD690" s="15">
        <f t="shared" si="613"/>
        <v>1.0574162679425838</v>
      </c>
      <c r="GE690" s="15">
        <f t="shared" si="614"/>
        <v>1.2000000000000028</v>
      </c>
      <c r="GF690" s="15">
        <f t="shared" si="615"/>
        <v>5.5828449552941972E-2</v>
      </c>
      <c r="GG690" s="15">
        <f>((GC690*GC690)/(AR690*GA690*GA690)+(FZ690*FZ690)/(AR690*FX690*FX690))</f>
        <v>5.0000000000000001E-3</v>
      </c>
      <c r="HE690" s="70">
        <v>6855</v>
      </c>
      <c r="HF690" s="70">
        <f t="shared" si="595"/>
        <v>342.75</v>
      </c>
      <c r="HG690" s="15">
        <f>HF690*SQRT(AR380)</f>
        <v>685.5</v>
      </c>
      <c r="HH690" s="70">
        <v>7185</v>
      </c>
      <c r="HI690" s="70">
        <f t="shared" si="596"/>
        <v>359.25</v>
      </c>
      <c r="HJ690" s="15">
        <f>HI690*SQRT(AR380)</f>
        <v>718.5</v>
      </c>
      <c r="HK690" s="70">
        <f t="shared" si="566"/>
        <v>1.0481400437636761</v>
      </c>
      <c r="HL690" s="15">
        <f t="shared" si="567"/>
        <v>330</v>
      </c>
      <c r="HM690" s="15">
        <f t="shared" si="568"/>
        <v>4.701720651670982E-2</v>
      </c>
      <c r="HN690" s="15">
        <f>((HJ690*HJ690)/(AR380*HH690*HH690)+(HG690*HG690)/(AR380*HE690*HE690))</f>
        <v>5.0000000000000001E-3</v>
      </c>
      <c r="HP690" s="15" t="s">
        <v>766</v>
      </c>
      <c r="HV690" s="15">
        <f t="shared" si="569"/>
        <v>402.87378607378668</v>
      </c>
      <c r="HW690" s="15">
        <f t="shared" si="598"/>
        <v>4.701720651670982E-2</v>
      </c>
      <c r="HX690" s="15">
        <f t="shared" si="590"/>
        <v>1894.2</v>
      </c>
      <c r="HY690" s="15">
        <f t="shared" si="591"/>
        <v>9471</v>
      </c>
      <c r="HZ690" s="15">
        <f t="shared" si="592"/>
        <v>15.785</v>
      </c>
      <c r="IA690" s="15">
        <f t="shared" si="593"/>
        <v>1894.2</v>
      </c>
    </row>
    <row r="691" spans="1:235" s="70" customFormat="1" x14ac:dyDescent="0.25">
      <c r="A691" s="31">
        <v>689</v>
      </c>
      <c r="B691" s="60">
        <v>99</v>
      </c>
      <c r="C691" s="60">
        <v>117</v>
      </c>
      <c r="D691" s="15" t="s">
        <v>1560</v>
      </c>
      <c r="E691" s="1">
        <v>5</v>
      </c>
      <c r="F691" s="15" t="s">
        <v>798</v>
      </c>
      <c r="G691" s="70" t="s">
        <v>1556</v>
      </c>
      <c r="H691" s="70" t="s">
        <v>1557</v>
      </c>
      <c r="I691" s="60">
        <v>2021</v>
      </c>
      <c r="J691" s="70" t="s">
        <v>1576</v>
      </c>
      <c r="K691" s="60" t="s">
        <v>1577</v>
      </c>
      <c r="L691" s="70" t="s">
        <v>1578</v>
      </c>
      <c r="M691" s="15" t="s">
        <v>480</v>
      </c>
      <c r="N691" s="15" t="s">
        <v>520</v>
      </c>
      <c r="O691" s="31">
        <v>2</v>
      </c>
      <c r="P691" s="70">
        <v>35.090000000000003</v>
      </c>
      <c r="Q691" s="70">
        <v>118.4</v>
      </c>
      <c r="S691" s="70">
        <v>800</v>
      </c>
      <c r="T691" s="70">
        <v>13.1</v>
      </c>
      <c r="U691" s="15" t="s">
        <v>549</v>
      </c>
      <c r="V691" s="31">
        <v>1</v>
      </c>
      <c r="W691" s="70" t="s">
        <v>1179</v>
      </c>
      <c r="X691" s="70" t="s">
        <v>729</v>
      </c>
      <c r="Y691" s="61">
        <v>11</v>
      </c>
      <c r="Z691" s="70">
        <v>6.36</v>
      </c>
      <c r="AA691" s="15" t="s">
        <v>574</v>
      </c>
      <c r="AB691" s="15">
        <f t="shared" si="564"/>
        <v>6.36</v>
      </c>
      <c r="AC691" s="1">
        <v>5</v>
      </c>
      <c r="AD691" s="70">
        <v>19.8</v>
      </c>
      <c r="AM691" s="60"/>
      <c r="AN691" s="70">
        <v>1.28</v>
      </c>
      <c r="AP691" s="70" t="s">
        <v>1579</v>
      </c>
      <c r="AQ691" s="1">
        <v>5</v>
      </c>
      <c r="AR691" s="1">
        <v>3</v>
      </c>
      <c r="DB691" s="70" t="s">
        <v>731</v>
      </c>
      <c r="DD691" s="70">
        <v>9471</v>
      </c>
      <c r="DE691" s="15">
        <f t="shared" si="597"/>
        <v>9471</v>
      </c>
      <c r="DF691" s="15" t="s">
        <v>766</v>
      </c>
      <c r="DS691" s="15">
        <f>DE691</f>
        <v>9471</v>
      </c>
      <c r="DT691" s="15">
        <f t="shared" si="579"/>
        <v>15.785</v>
      </c>
      <c r="DU691" s="15">
        <f t="shared" si="580"/>
        <v>1894.2</v>
      </c>
      <c r="EZ691" s="70">
        <v>1.25</v>
      </c>
      <c r="FA691" s="15">
        <f t="shared" si="599"/>
        <v>6.25E-2</v>
      </c>
      <c r="FB691" s="15">
        <f>FA691*SQRT(AR691)</f>
        <v>0.10825317547305482</v>
      </c>
      <c r="FC691" s="70">
        <v>1.19</v>
      </c>
      <c r="FD691" s="15">
        <f t="shared" si="600"/>
        <v>5.9499999999999997E-2</v>
      </c>
      <c r="FE691" s="15">
        <f>FD691*SQRT(AR691)</f>
        <v>0.10305702305034818</v>
      </c>
      <c r="FF691" s="15">
        <f t="shared" si="601"/>
        <v>0.95199999999999996</v>
      </c>
      <c r="FG691" s="15">
        <f t="shared" si="602"/>
        <v>-6.0000000000000053E-2</v>
      </c>
      <c r="FH691" s="15">
        <f t="shared" si="603"/>
        <v>-4.9190244190771781E-2</v>
      </c>
      <c r="FI691" s="15">
        <f>((FE691*FE691)/(AR691*FC691*FC691)+(FB691*FB691)/(AR691*EZ691*EZ691))</f>
        <v>4.9999999999999992E-3</v>
      </c>
      <c r="FJ691" s="15"/>
      <c r="FK691" s="16">
        <f t="shared" si="604"/>
        <v>6.26</v>
      </c>
      <c r="FL691" s="16">
        <f t="shared" si="605"/>
        <v>6.35</v>
      </c>
      <c r="FM691" s="15">
        <v>6.26</v>
      </c>
      <c r="FN691" s="15">
        <f t="shared" si="606"/>
        <v>0.313</v>
      </c>
      <c r="FO691" s="15">
        <f>FN691*SQRT(AR691)</f>
        <v>0.54213190276905854</v>
      </c>
      <c r="FP691" s="15">
        <v>6.35</v>
      </c>
      <c r="FQ691" s="15">
        <f t="shared" si="607"/>
        <v>0.3175</v>
      </c>
      <c r="FR691" s="15">
        <f>FQ691*SQRT(AR691)</f>
        <v>0.54992613140311852</v>
      </c>
      <c r="FS691" s="15">
        <f t="shared" si="608"/>
        <v>1.0143769968051117</v>
      </c>
      <c r="FT691" s="15">
        <f t="shared" si="609"/>
        <v>8.9999999999999858E-2</v>
      </c>
      <c r="FU691" s="15">
        <f t="shared" si="610"/>
        <v>1.427462779259292E-2</v>
      </c>
      <c r="FV691" s="15">
        <f>((FR691*FR691)/(AR691*FP691*FP691)+(FO691*FO691)/(AR691*FM691*FM691))</f>
        <v>4.9999999999999992E-3</v>
      </c>
      <c r="FX691" s="15">
        <v>20.2</v>
      </c>
      <c r="FY691" s="15">
        <f t="shared" si="611"/>
        <v>1.01</v>
      </c>
      <c r="FZ691" s="15">
        <f>FY691*SQRT(AR691)</f>
        <v>1.749371315644566</v>
      </c>
      <c r="GA691" s="15">
        <v>22.9</v>
      </c>
      <c r="GB691" s="15">
        <f t="shared" si="612"/>
        <v>1.145</v>
      </c>
      <c r="GC691" s="15">
        <f>GB691*SQRT(AR691)</f>
        <v>1.9831981746663645</v>
      </c>
      <c r="GD691" s="15">
        <f t="shared" si="613"/>
        <v>1.1336633663366336</v>
      </c>
      <c r="GE691" s="15">
        <f t="shared" si="614"/>
        <v>2.6999999999999993</v>
      </c>
      <c r="GF691" s="15">
        <f t="shared" si="615"/>
        <v>0.12545430615303488</v>
      </c>
      <c r="GG691" s="15">
        <f>((GC691*GC691)/(AR691*GA691*GA691)+(FZ691*FZ691)/(AR691*FX691*FX691))</f>
        <v>5.000000000000001E-3</v>
      </c>
      <c r="HE691" s="70">
        <v>6765</v>
      </c>
      <c r="HF691" s="70">
        <f t="shared" si="595"/>
        <v>338.25</v>
      </c>
      <c r="HG691" s="15">
        <f>HF691*SQRT(AR381)</f>
        <v>676.5</v>
      </c>
      <c r="HH691" s="70">
        <v>7245</v>
      </c>
      <c r="HI691" s="70">
        <f t="shared" si="596"/>
        <v>362.25</v>
      </c>
      <c r="HJ691" s="15">
        <f>HI691*SQRT(AR381)</f>
        <v>724.5</v>
      </c>
      <c r="HK691" s="70">
        <f t="shared" si="566"/>
        <v>1.0709534368070954</v>
      </c>
      <c r="HL691" s="15">
        <f t="shared" si="567"/>
        <v>480</v>
      </c>
      <c r="HM691" s="15">
        <f t="shared" si="568"/>
        <v>6.8549314149894514E-2</v>
      </c>
      <c r="HN691" s="15">
        <f>((HJ691*HJ691)/(AR381*HH691*HH691)+(HG691*HG691)/(AR381*HE691*HE691))</f>
        <v>5.0000000000000001E-3</v>
      </c>
      <c r="HP691" s="15" t="s">
        <v>766</v>
      </c>
      <c r="HV691" s="15">
        <f t="shared" si="569"/>
        <v>276.32661588094311</v>
      </c>
      <c r="HW691" s="15">
        <f t="shared" si="598"/>
        <v>6.8549314149894514E-2</v>
      </c>
      <c r="HX691" s="15">
        <f t="shared" si="590"/>
        <v>1894.2</v>
      </c>
      <c r="HY691" s="15">
        <f t="shared" si="591"/>
        <v>9471</v>
      </c>
      <c r="HZ691" s="15">
        <f t="shared" si="592"/>
        <v>15.785</v>
      </c>
      <c r="IA691" s="15">
        <f t="shared" si="593"/>
        <v>1894.2</v>
      </c>
    </row>
    <row r="692" spans="1:235" s="70" customFormat="1" x14ac:dyDescent="0.25">
      <c r="A692" s="31">
        <v>690</v>
      </c>
      <c r="B692" s="60">
        <v>99</v>
      </c>
      <c r="C692" s="60">
        <v>117</v>
      </c>
      <c r="D692" s="15" t="s">
        <v>1561</v>
      </c>
      <c r="E692" s="1">
        <v>5</v>
      </c>
      <c r="F692" s="15" t="s">
        <v>798</v>
      </c>
      <c r="G692" s="70" t="s">
        <v>1556</v>
      </c>
      <c r="H692" s="70" t="s">
        <v>1557</v>
      </c>
      <c r="I692" s="60">
        <v>2021</v>
      </c>
      <c r="J692" s="70" t="s">
        <v>1576</v>
      </c>
      <c r="K692" s="60" t="s">
        <v>1577</v>
      </c>
      <c r="L692" s="70" t="s">
        <v>1578</v>
      </c>
      <c r="M692" s="15" t="s">
        <v>480</v>
      </c>
      <c r="N692" s="15" t="s">
        <v>520</v>
      </c>
      <c r="O692" s="31">
        <v>2</v>
      </c>
      <c r="P692" s="70">
        <v>35.090000000000003</v>
      </c>
      <c r="Q692" s="70">
        <v>118.4</v>
      </c>
      <c r="S692" s="70">
        <v>800</v>
      </c>
      <c r="T692" s="70">
        <v>13.1</v>
      </c>
      <c r="U692" s="15" t="s">
        <v>549</v>
      </c>
      <c r="V692" s="31">
        <v>1</v>
      </c>
      <c r="W692" s="70" t="s">
        <v>1179</v>
      </c>
      <c r="X692" s="70" t="s">
        <v>731</v>
      </c>
      <c r="Y692" s="1">
        <v>12</v>
      </c>
      <c r="Z692" s="70">
        <v>6.36</v>
      </c>
      <c r="AA692" s="15" t="s">
        <v>574</v>
      </c>
      <c r="AB692" s="15">
        <f t="shared" si="564"/>
        <v>6.36</v>
      </c>
      <c r="AC692" s="1">
        <v>5</v>
      </c>
      <c r="AD692" s="70">
        <v>19.8</v>
      </c>
      <c r="AM692" s="60"/>
      <c r="AN692" s="70">
        <v>1.28</v>
      </c>
      <c r="AP692" s="70" t="s">
        <v>1579</v>
      </c>
      <c r="AQ692" s="1">
        <v>5</v>
      </c>
      <c r="AR692" s="1">
        <v>3</v>
      </c>
      <c r="DB692" s="70" t="s">
        <v>731</v>
      </c>
      <c r="DD692" s="70">
        <v>9471</v>
      </c>
      <c r="DE692" s="15">
        <f t="shared" si="597"/>
        <v>9471</v>
      </c>
      <c r="DF692" s="15" t="s">
        <v>766</v>
      </c>
      <c r="DS692" s="15">
        <f>DE692</f>
        <v>9471</v>
      </c>
      <c r="DT692" s="15">
        <f t="shared" si="579"/>
        <v>15.785</v>
      </c>
      <c r="DU692" s="15">
        <f t="shared" si="580"/>
        <v>1894.2</v>
      </c>
      <c r="EZ692" s="70">
        <v>1.26</v>
      </c>
      <c r="FA692" s="15">
        <f t="shared" si="599"/>
        <v>6.3E-2</v>
      </c>
      <c r="FB692" s="15">
        <f>FA692*SQRT(AR692)</f>
        <v>0.10911920087683927</v>
      </c>
      <c r="FC692" s="70">
        <v>1.25</v>
      </c>
      <c r="FD692" s="15">
        <f t="shared" si="600"/>
        <v>6.25E-2</v>
      </c>
      <c r="FE692" s="15">
        <f>FD692*SQRT(AR692)</f>
        <v>0.10825317547305482</v>
      </c>
      <c r="FF692" s="15">
        <f t="shared" si="601"/>
        <v>0.99206349206349209</v>
      </c>
      <c r="FG692" s="15">
        <f t="shared" si="602"/>
        <v>-1.0000000000000009E-2</v>
      </c>
      <c r="FH692" s="15">
        <f t="shared" si="603"/>
        <v>-7.9681696491768761E-3</v>
      </c>
      <c r="FI692" s="15">
        <f>((FE692*FE692)/(AR692*FC692*FC692)+(FB692*FB692)/(AR692*EZ692*EZ692))</f>
        <v>4.9999999999999992E-3</v>
      </c>
      <c r="FJ692" s="15"/>
      <c r="FK692" s="16">
        <f t="shared" si="604"/>
        <v>6.33</v>
      </c>
      <c r="FL692" s="16">
        <f t="shared" si="605"/>
        <v>6.34</v>
      </c>
      <c r="FM692" s="15">
        <v>6.33</v>
      </c>
      <c r="FN692" s="15">
        <f t="shared" si="606"/>
        <v>0.3165</v>
      </c>
      <c r="FO692" s="15">
        <f>FN692*SQRT(AR692)</f>
        <v>0.54819408059554964</v>
      </c>
      <c r="FP692" s="15">
        <v>6.34</v>
      </c>
      <c r="FQ692" s="15">
        <f t="shared" si="607"/>
        <v>0.317</v>
      </c>
      <c r="FR692" s="15">
        <f>FQ692*SQRT(AR692)</f>
        <v>0.54906010599933408</v>
      </c>
      <c r="FS692" s="15">
        <f t="shared" si="608"/>
        <v>1.0015797788309637</v>
      </c>
      <c r="FT692" s="15">
        <f t="shared" si="609"/>
        <v>9.9999999999997868E-3</v>
      </c>
      <c r="FU692" s="15">
        <f t="shared" si="610"/>
        <v>1.578532293049717E-3</v>
      </c>
      <c r="FV692" s="15">
        <f>((FR692*FR692)/(AR692*FP692*FP692)+(FO692*FO692)/(AR692*FM692*FM692))</f>
        <v>4.9999999999999992E-3</v>
      </c>
      <c r="FX692" s="15">
        <v>20.399999999999999</v>
      </c>
      <c r="FY692" s="15">
        <f t="shared" si="611"/>
        <v>1.02</v>
      </c>
      <c r="FZ692" s="15">
        <f>FY692*SQRT(AR692)</f>
        <v>1.7666918237202547</v>
      </c>
      <c r="GA692" s="15">
        <v>21.5</v>
      </c>
      <c r="GB692" s="15">
        <f t="shared" si="612"/>
        <v>1.075</v>
      </c>
      <c r="GC692" s="15">
        <f>GB692*SQRT(AR692)</f>
        <v>1.8619546181365429</v>
      </c>
      <c r="GD692" s="15">
        <f t="shared" si="613"/>
        <v>1.053921568627451</v>
      </c>
      <c r="GE692" s="15">
        <f t="shared" si="614"/>
        <v>1.1000000000000014</v>
      </c>
      <c r="GF692" s="15">
        <f t="shared" si="615"/>
        <v>5.2518034283446369E-2</v>
      </c>
      <c r="GG692" s="15">
        <f>((GC692*GC692)/(AR692*GA692*GA692)+(FZ692*FZ692)/(AR692*FX692*FX692))</f>
        <v>4.9999999999999992E-3</v>
      </c>
      <c r="HE692" s="70">
        <v>7650</v>
      </c>
      <c r="HF692" s="70">
        <f t="shared" si="595"/>
        <v>382.5</v>
      </c>
      <c r="HG692" s="15">
        <f>HF692*SQRT(AR382)</f>
        <v>765</v>
      </c>
      <c r="HH692" s="70">
        <v>7950</v>
      </c>
      <c r="HI692" s="70">
        <f t="shared" si="596"/>
        <v>397.5</v>
      </c>
      <c r="HJ692" s="15">
        <f>HI692*SQRT(AR382)</f>
        <v>795</v>
      </c>
      <c r="HK692" s="70">
        <f t="shared" si="566"/>
        <v>1.0392156862745099</v>
      </c>
      <c r="HL692" s="15">
        <f t="shared" si="567"/>
        <v>300</v>
      </c>
      <c r="HM692" s="15">
        <f t="shared" si="568"/>
        <v>3.846628082779624E-2</v>
      </c>
      <c r="HN692" s="15">
        <f>((HJ692*HJ692)/(AR382*HH692*HH692)+(HG692*HG692)/(AR382*HE692*HE692))</f>
        <v>5.0000000000000001E-3</v>
      </c>
      <c r="HP692" s="15" t="s">
        <v>766</v>
      </c>
      <c r="HV692" s="15">
        <f t="shared" si="569"/>
        <v>492.43128247304486</v>
      </c>
      <c r="HW692" s="15">
        <f t="shared" si="598"/>
        <v>3.846628082779624E-2</v>
      </c>
      <c r="HX692" s="15">
        <f t="shared" si="590"/>
        <v>1894.2</v>
      </c>
      <c r="HY692" s="15">
        <f t="shared" si="591"/>
        <v>9471</v>
      </c>
      <c r="HZ692" s="15">
        <f t="shared" si="592"/>
        <v>15.785</v>
      </c>
      <c r="IA692" s="15">
        <f t="shared" si="593"/>
        <v>1894.2</v>
      </c>
    </row>
    <row r="693" spans="1:235" s="70" customFormat="1" x14ac:dyDescent="0.25">
      <c r="A693" s="31">
        <v>691</v>
      </c>
      <c r="B693" s="60">
        <v>99</v>
      </c>
      <c r="C693" s="60">
        <v>117</v>
      </c>
      <c r="D693" s="15" t="s">
        <v>1562</v>
      </c>
      <c r="E693" s="1">
        <v>5</v>
      </c>
      <c r="F693" s="15" t="s">
        <v>798</v>
      </c>
      <c r="G693" s="70" t="s">
        <v>1556</v>
      </c>
      <c r="H693" s="70" t="s">
        <v>1557</v>
      </c>
      <c r="I693" s="60">
        <v>2021</v>
      </c>
      <c r="J693" s="70" t="s">
        <v>1576</v>
      </c>
      <c r="K693" s="60" t="s">
        <v>1577</v>
      </c>
      <c r="L693" s="70" t="s">
        <v>1578</v>
      </c>
      <c r="M693" s="15" t="s">
        <v>480</v>
      </c>
      <c r="N693" s="15" t="s">
        <v>520</v>
      </c>
      <c r="O693" s="31">
        <v>2</v>
      </c>
      <c r="P693" s="70">
        <v>35.090000000000003</v>
      </c>
      <c r="Q693" s="70">
        <v>118.4</v>
      </c>
      <c r="S693" s="70">
        <v>800</v>
      </c>
      <c r="T693" s="70">
        <v>13.1</v>
      </c>
      <c r="U693" s="15" t="s">
        <v>549</v>
      </c>
      <c r="V693" s="31">
        <v>1</v>
      </c>
      <c r="W693" s="70" t="s">
        <v>1179</v>
      </c>
      <c r="X693" s="70" t="s">
        <v>731</v>
      </c>
      <c r="Y693" s="1">
        <v>12</v>
      </c>
      <c r="Z693" s="70">
        <v>6.36</v>
      </c>
      <c r="AA693" s="15" t="s">
        <v>574</v>
      </c>
      <c r="AB693" s="15">
        <f t="shared" si="564"/>
        <v>6.36</v>
      </c>
      <c r="AC693" s="1">
        <v>5</v>
      </c>
      <c r="AD693" s="70">
        <v>19.8</v>
      </c>
      <c r="AM693" s="60"/>
      <c r="AN693" s="70">
        <v>1.28</v>
      </c>
      <c r="AP693" s="70" t="s">
        <v>1579</v>
      </c>
      <c r="AQ693" s="1">
        <v>5</v>
      </c>
      <c r="AR693" s="1">
        <v>3</v>
      </c>
      <c r="DB693" s="70" t="s">
        <v>731</v>
      </c>
      <c r="DD693" s="70">
        <v>9471</v>
      </c>
      <c r="DE693" s="15">
        <f t="shared" si="597"/>
        <v>9471</v>
      </c>
      <c r="DF693" s="15" t="s">
        <v>766</v>
      </c>
      <c r="DS693" s="15">
        <f>DE693</f>
        <v>9471</v>
      </c>
      <c r="DT693" s="15">
        <f t="shared" si="579"/>
        <v>15.785</v>
      </c>
      <c r="DU693" s="15">
        <f t="shared" si="580"/>
        <v>1894.2</v>
      </c>
      <c r="EZ693" s="70">
        <v>1.28</v>
      </c>
      <c r="FA693" s="15">
        <f t="shared" si="599"/>
        <v>6.4000000000000001E-2</v>
      </c>
      <c r="FB693" s="15">
        <f>FA693*SQRT(AR693)</f>
        <v>0.11085125168440814</v>
      </c>
      <c r="FC693" s="70">
        <v>1.22</v>
      </c>
      <c r="FD693" s="15">
        <f t="shared" si="600"/>
        <v>6.0999999999999999E-2</v>
      </c>
      <c r="FE693" s="15">
        <f>FD693*SQRT(AR693)</f>
        <v>0.10565509926170151</v>
      </c>
      <c r="FF693" s="15">
        <f t="shared" si="601"/>
        <v>0.953125</v>
      </c>
      <c r="FG693" s="15">
        <f t="shared" si="602"/>
        <v>-6.0000000000000053E-2</v>
      </c>
      <c r="FH693" s="15">
        <f t="shared" si="603"/>
        <v>-4.8009219186360641E-2</v>
      </c>
      <c r="FI693" s="15">
        <f>((FE693*FE693)/(AR693*FC693*FC693)+(FB693*FB693)/(AR693*EZ693*EZ693))</f>
        <v>4.9999999999999992E-3</v>
      </c>
      <c r="FJ693" s="15"/>
      <c r="FK693" s="16">
        <f t="shared" si="604"/>
        <v>6.23</v>
      </c>
      <c r="FL693" s="16">
        <f t="shared" si="605"/>
        <v>6.32</v>
      </c>
      <c r="FM693" s="15">
        <v>6.23</v>
      </c>
      <c r="FN693" s="15">
        <f t="shared" si="606"/>
        <v>0.31150000000000005</v>
      </c>
      <c r="FO693" s="15">
        <f>FN693*SQRT(AR693)</f>
        <v>0.53953382655770532</v>
      </c>
      <c r="FP693" s="15">
        <v>6.32</v>
      </c>
      <c r="FQ693" s="15">
        <f t="shared" si="607"/>
        <v>0.31600000000000006</v>
      </c>
      <c r="FR693" s="15">
        <f>FQ693*SQRT(AR693)</f>
        <v>0.54732805519176531</v>
      </c>
      <c r="FS693" s="15">
        <f t="shared" si="608"/>
        <v>1.014446227929374</v>
      </c>
      <c r="FT693" s="15">
        <f t="shared" si="609"/>
        <v>8.9999999999999858E-2</v>
      </c>
      <c r="FU693" s="15">
        <f t="shared" si="610"/>
        <v>1.4342875359404372E-2</v>
      </c>
      <c r="FV693" s="15">
        <f>((FR693*FR693)/(AR693*FP693*FP693)+(FO693*FO693)/(AR693*FM693*FM693))</f>
        <v>5.000000000000001E-3</v>
      </c>
      <c r="FX693" s="15">
        <v>20.9</v>
      </c>
      <c r="FY693" s="15">
        <f t="shared" si="611"/>
        <v>1.0449999999999999</v>
      </c>
      <c r="FZ693" s="15">
        <f>FY693*SQRT(AR693)</f>
        <v>1.8099930939094766</v>
      </c>
      <c r="GA693" s="15">
        <v>22.1</v>
      </c>
      <c r="GB693" s="15">
        <f t="shared" si="612"/>
        <v>1.1050000000000002</v>
      </c>
      <c r="GC693" s="15">
        <f>GB693*SQRT(AR693)</f>
        <v>1.9139161423636097</v>
      </c>
      <c r="GD693" s="15">
        <f t="shared" si="613"/>
        <v>1.0574162679425838</v>
      </c>
      <c r="GE693" s="15">
        <f t="shared" si="614"/>
        <v>1.2000000000000028</v>
      </c>
      <c r="GF693" s="15">
        <f t="shared" si="615"/>
        <v>5.5828449552941972E-2</v>
      </c>
      <c r="GG693" s="15">
        <f>((GC693*GC693)/(AR693*GA693*GA693)+(FZ693*FZ693)/(AR693*FX693*FX693))</f>
        <v>5.0000000000000001E-3</v>
      </c>
      <c r="HE693" s="70">
        <v>7470</v>
      </c>
      <c r="HF693" s="70">
        <f t="shared" si="595"/>
        <v>373.5</v>
      </c>
      <c r="HG693" s="15">
        <f>HF693*SQRT(AR383)</f>
        <v>747</v>
      </c>
      <c r="HH693" s="70">
        <v>7890</v>
      </c>
      <c r="HI693" s="70">
        <f t="shared" si="596"/>
        <v>394.5</v>
      </c>
      <c r="HJ693" s="15">
        <f>HI693*SQRT(AR383)</f>
        <v>789</v>
      </c>
      <c r="HK693" s="70">
        <f t="shared" si="566"/>
        <v>1.0562248995983936</v>
      </c>
      <c r="HL693" s="15">
        <f t="shared" si="567"/>
        <v>420</v>
      </c>
      <c r="HM693" s="15">
        <f t="shared" si="568"/>
        <v>5.4701135713056459E-2</v>
      </c>
      <c r="HN693" s="15">
        <f>((HJ693*HJ693)/(AR383*HH693*HH693)+(HG693*HG693)/(AR383*HE693*HE693))</f>
        <v>5.0000000000000001E-3</v>
      </c>
      <c r="HP693" s="15" t="s">
        <v>766</v>
      </c>
      <c r="HV693" s="15">
        <f t="shared" si="569"/>
        <v>346.28165856305588</v>
      </c>
      <c r="HW693" s="15">
        <f t="shared" si="598"/>
        <v>5.4701135713056459E-2</v>
      </c>
      <c r="HX693" s="15">
        <f t="shared" si="590"/>
        <v>1894.2</v>
      </c>
      <c r="HY693" s="15">
        <f t="shared" si="591"/>
        <v>9471</v>
      </c>
      <c r="HZ693" s="15">
        <f t="shared" si="592"/>
        <v>15.785</v>
      </c>
      <c r="IA693" s="15">
        <f t="shared" si="593"/>
        <v>1894.2</v>
      </c>
    </row>
    <row r="694" spans="1:235" s="70" customFormat="1" x14ac:dyDescent="0.25">
      <c r="A694" s="31">
        <v>692</v>
      </c>
      <c r="B694" s="60">
        <v>99</v>
      </c>
      <c r="C694" s="60">
        <v>117</v>
      </c>
      <c r="D694" s="15" t="s">
        <v>1563</v>
      </c>
      <c r="E694" s="1">
        <v>5</v>
      </c>
      <c r="F694" s="15" t="s">
        <v>798</v>
      </c>
      <c r="G694" s="70" t="s">
        <v>1556</v>
      </c>
      <c r="H694" s="70" t="s">
        <v>1557</v>
      </c>
      <c r="I694" s="60">
        <v>2021</v>
      </c>
      <c r="J694" s="70" t="s">
        <v>1576</v>
      </c>
      <c r="K694" s="60" t="s">
        <v>1577</v>
      </c>
      <c r="L694" s="70" t="s">
        <v>1578</v>
      </c>
      <c r="M694" s="15" t="s">
        <v>480</v>
      </c>
      <c r="N694" s="15" t="s">
        <v>520</v>
      </c>
      <c r="O694" s="31">
        <v>2</v>
      </c>
      <c r="P694" s="70">
        <v>35.090000000000003</v>
      </c>
      <c r="Q694" s="70">
        <v>118.4</v>
      </c>
      <c r="S694" s="70">
        <v>800</v>
      </c>
      <c r="T694" s="70">
        <v>13.1</v>
      </c>
      <c r="U694" s="15" t="s">
        <v>549</v>
      </c>
      <c r="V694" s="31">
        <v>1</v>
      </c>
      <c r="W694" s="70" t="s">
        <v>1179</v>
      </c>
      <c r="X694" s="70" t="s">
        <v>731</v>
      </c>
      <c r="Y694" s="1">
        <v>12</v>
      </c>
      <c r="Z694" s="70">
        <v>6.36</v>
      </c>
      <c r="AA694" s="15" t="s">
        <v>574</v>
      </c>
      <c r="AB694" s="15">
        <f t="shared" si="564"/>
        <v>6.36</v>
      </c>
      <c r="AC694" s="1">
        <v>5</v>
      </c>
      <c r="AD694" s="70">
        <v>19.8</v>
      </c>
      <c r="AM694" s="60"/>
      <c r="AN694" s="70">
        <v>1.28</v>
      </c>
      <c r="AP694" s="70" t="s">
        <v>1579</v>
      </c>
      <c r="AQ694" s="1">
        <v>5</v>
      </c>
      <c r="AR694" s="1">
        <v>3</v>
      </c>
      <c r="DB694" s="70" t="s">
        <v>731</v>
      </c>
      <c r="DD694" s="70">
        <v>9471</v>
      </c>
      <c r="DE694" s="15">
        <f t="shared" si="597"/>
        <v>9471</v>
      </c>
      <c r="DF694" s="15" t="s">
        <v>766</v>
      </c>
      <c r="DS694" s="15">
        <f>DE694</f>
        <v>9471</v>
      </c>
      <c r="DT694" s="15">
        <f t="shared" si="579"/>
        <v>15.785</v>
      </c>
      <c r="DU694" s="15">
        <f t="shared" si="580"/>
        <v>1894.2</v>
      </c>
      <c r="EZ694" s="70">
        <v>1.25</v>
      </c>
      <c r="FA694" s="15">
        <f t="shared" si="599"/>
        <v>6.25E-2</v>
      </c>
      <c r="FB694" s="15">
        <f>FA694*SQRT(AR694)</f>
        <v>0.10825317547305482</v>
      </c>
      <c r="FC694" s="70">
        <v>1.19</v>
      </c>
      <c r="FD694" s="15">
        <f t="shared" si="600"/>
        <v>5.9499999999999997E-2</v>
      </c>
      <c r="FE694" s="15">
        <f>FD694*SQRT(AR694)</f>
        <v>0.10305702305034818</v>
      </c>
      <c r="FF694" s="15">
        <f t="shared" si="601"/>
        <v>0.95199999999999996</v>
      </c>
      <c r="FG694" s="15">
        <f t="shared" si="602"/>
        <v>-6.0000000000000053E-2</v>
      </c>
      <c r="FH694" s="15">
        <f t="shared" si="603"/>
        <v>-4.9190244190771781E-2</v>
      </c>
      <c r="FI694" s="15">
        <f>((FE694*FE694)/(AR694*FC694*FC694)+(FB694*FB694)/(AR694*EZ694*EZ694))</f>
        <v>4.9999999999999992E-3</v>
      </c>
      <c r="FJ694" s="15"/>
      <c r="FK694" s="16">
        <f t="shared" si="604"/>
        <v>6.26</v>
      </c>
      <c r="FL694" s="16">
        <f t="shared" si="605"/>
        <v>6.35</v>
      </c>
      <c r="FM694" s="15">
        <v>6.26</v>
      </c>
      <c r="FN694" s="15">
        <f t="shared" si="606"/>
        <v>0.313</v>
      </c>
      <c r="FO694" s="15">
        <f>FN694*SQRT(AR694)</f>
        <v>0.54213190276905854</v>
      </c>
      <c r="FP694" s="15">
        <v>6.35</v>
      </c>
      <c r="FQ694" s="15">
        <f t="shared" si="607"/>
        <v>0.3175</v>
      </c>
      <c r="FR694" s="15">
        <f>FQ694*SQRT(AR694)</f>
        <v>0.54992613140311852</v>
      </c>
      <c r="FS694" s="15">
        <f t="shared" si="608"/>
        <v>1.0143769968051117</v>
      </c>
      <c r="FT694" s="15">
        <f t="shared" si="609"/>
        <v>8.9999999999999858E-2</v>
      </c>
      <c r="FU694" s="15">
        <f t="shared" si="610"/>
        <v>1.427462779259292E-2</v>
      </c>
      <c r="FV694" s="15">
        <f>((FR694*FR694)/(AR694*FP694*FP694)+(FO694*FO694)/(AR694*FM694*FM694))</f>
        <v>4.9999999999999992E-3</v>
      </c>
      <c r="FX694" s="15">
        <v>20.2</v>
      </c>
      <c r="FY694" s="15">
        <f t="shared" si="611"/>
        <v>1.01</v>
      </c>
      <c r="FZ694" s="15">
        <f>FY694*SQRT(AR694)</f>
        <v>1.749371315644566</v>
      </c>
      <c r="GA694" s="15">
        <v>22.9</v>
      </c>
      <c r="GB694" s="15">
        <f t="shared" si="612"/>
        <v>1.145</v>
      </c>
      <c r="GC694" s="15">
        <f>GB694*SQRT(AR694)</f>
        <v>1.9831981746663645</v>
      </c>
      <c r="GD694" s="15">
        <f t="shared" si="613"/>
        <v>1.1336633663366336</v>
      </c>
      <c r="GE694" s="15">
        <f t="shared" si="614"/>
        <v>2.6999999999999993</v>
      </c>
      <c r="GF694" s="15">
        <f t="shared" si="615"/>
        <v>0.12545430615303488</v>
      </c>
      <c r="GG694" s="15">
        <f>((GC694*GC694)/(AR694*GA694*GA694)+(FZ694*FZ694)/(AR694*FX694*FX694))</f>
        <v>5.000000000000001E-3</v>
      </c>
      <c r="HE694" s="70">
        <v>7530</v>
      </c>
      <c r="HF694" s="70">
        <f t="shared" si="595"/>
        <v>376.5</v>
      </c>
      <c r="HG694" s="15">
        <f>HF694*SQRT(AR384)</f>
        <v>753</v>
      </c>
      <c r="HH694" s="70">
        <v>8040</v>
      </c>
      <c r="HI694" s="70">
        <f t="shared" si="596"/>
        <v>402</v>
      </c>
      <c r="HJ694" s="15">
        <f>HI694*SQRT(AR384)</f>
        <v>804</v>
      </c>
      <c r="HK694" s="70">
        <f t="shared" si="566"/>
        <v>1.0677290836653386</v>
      </c>
      <c r="HL694" s="15">
        <f t="shared" si="567"/>
        <v>510</v>
      </c>
      <c r="HM694" s="15">
        <f t="shared" si="568"/>
        <v>6.553404137907215E-2</v>
      </c>
      <c r="HN694" s="15">
        <f>((HJ694*HJ694)/(AR384*HH694*HH694)+(HG694*HG694)/(AR384*HE694*HE694))</f>
        <v>5.0000000000000001E-3</v>
      </c>
      <c r="HP694" s="15" t="s">
        <v>766</v>
      </c>
      <c r="HV694" s="15">
        <f t="shared" si="569"/>
        <v>289.04062074293194</v>
      </c>
      <c r="HW694" s="15">
        <f t="shared" si="598"/>
        <v>6.553404137907215E-2</v>
      </c>
      <c r="HX694" s="15">
        <f t="shared" si="590"/>
        <v>1894.2</v>
      </c>
      <c r="HY694" s="15">
        <f t="shared" si="591"/>
        <v>9471</v>
      </c>
      <c r="HZ694" s="15">
        <f t="shared" si="592"/>
        <v>15.785</v>
      </c>
      <c r="IA694" s="15">
        <f t="shared" si="593"/>
        <v>1894.2</v>
      </c>
    </row>
    <row r="695" spans="1:235" s="70" customFormat="1" x14ac:dyDescent="0.25">
      <c r="A695" s="31">
        <v>693</v>
      </c>
      <c r="B695" s="60">
        <v>99</v>
      </c>
      <c r="C695" s="60">
        <v>118</v>
      </c>
      <c r="D695" s="15" t="s">
        <v>1564</v>
      </c>
      <c r="E695" s="1">
        <v>5</v>
      </c>
      <c r="F695" s="15" t="s">
        <v>798</v>
      </c>
      <c r="G695" s="70" t="s">
        <v>1556</v>
      </c>
      <c r="H695" s="70" t="s">
        <v>1557</v>
      </c>
      <c r="I695" s="60">
        <v>2021</v>
      </c>
      <c r="J695" s="70" t="s">
        <v>1576</v>
      </c>
      <c r="K695" s="60" t="s">
        <v>1577</v>
      </c>
      <c r="L695" s="70" t="s">
        <v>1578</v>
      </c>
      <c r="M695" s="15" t="s">
        <v>480</v>
      </c>
      <c r="N695" s="15" t="s">
        <v>520</v>
      </c>
      <c r="O695" s="31">
        <v>2</v>
      </c>
      <c r="P695" s="70">
        <v>35.090000000000003</v>
      </c>
      <c r="Q695" s="70">
        <v>118.4</v>
      </c>
      <c r="S695" s="70">
        <v>800</v>
      </c>
      <c r="T695" s="70">
        <v>13.1</v>
      </c>
      <c r="U695" s="15" t="s">
        <v>549</v>
      </c>
      <c r="V695" s="31">
        <v>1</v>
      </c>
      <c r="W695" s="70" t="s">
        <v>1179</v>
      </c>
      <c r="X695" s="70" t="s">
        <v>729</v>
      </c>
      <c r="Y695" s="61">
        <v>11</v>
      </c>
      <c r="Z695" s="70">
        <v>6.53</v>
      </c>
      <c r="AA695" s="15" t="s">
        <v>574</v>
      </c>
      <c r="AB695" s="15">
        <f t="shared" si="564"/>
        <v>6.53</v>
      </c>
      <c r="AC695" s="60">
        <v>6</v>
      </c>
      <c r="AD695" s="70">
        <v>17.8</v>
      </c>
      <c r="AM695" s="60"/>
      <c r="AN695" s="70">
        <v>1.38</v>
      </c>
      <c r="AP695" s="70" t="s">
        <v>2382</v>
      </c>
      <c r="AQ695" s="1">
        <v>4</v>
      </c>
      <c r="AR695" s="1">
        <v>3</v>
      </c>
      <c r="DB695" s="70" t="s">
        <v>731</v>
      </c>
      <c r="DD695" s="70">
        <v>7995</v>
      </c>
      <c r="DE695" s="15">
        <f t="shared" si="597"/>
        <v>7995</v>
      </c>
      <c r="DF695" s="15" t="s">
        <v>766</v>
      </c>
      <c r="DS695" s="15">
        <f>DE695</f>
        <v>7995</v>
      </c>
      <c r="DT695" s="15">
        <f t="shared" si="579"/>
        <v>13.324999999999999</v>
      </c>
      <c r="DU695" s="15">
        <f t="shared" si="580"/>
        <v>1599</v>
      </c>
      <c r="EZ695" s="70">
        <v>1.37</v>
      </c>
      <c r="FA695" s="15">
        <f t="shared" si="599"/>
        <v>6.8500000000000005E-2</v>
      </c>
      <c r="FB695" s="15">
        <f>FA695*SQRT(AR695)</f>
        <v>0.1186454803184681</v>
      </c>
      <c r="FC695" s="70">
        <v>1.33</v>
      </c>
      <c r="FD695" s="15">
        <f t="shared" si="600"/>
        <v>6.6500000000000004E-2</v>
      </c>
      <c r="FE695" s="15">
        <f>FD695*SQRT(AR695)</f>
        <v>0.11518137870333034</v>
      </c>
      <c r="FF695" s="15">
        <f t="shared" si="601"/>
        <v>0.97080291970802912</v>
      </c>
      <c r="FG695" s="15">
        <f t="shared" si="602"/>
        <v>-4.0000000000000036E-2</v>
      </c>
      <c r="FH695" s="15">
        <f t="shared" si="603"/>
        <v>-2.9631797606371135E-2</v>
      </c>
      <c r="FI695" s="15">
        <f>((FE695*FE695)/(AR695*FC695*FC695)+(FB695*FB695)/(AR695*EZ695*EZ695))</f>
        <v>4.9999999999999992E-3</v>
      </c>
      <c r="FJ695" s="15"/>
      <c r="FK695" s="16">
        <f t="shared" si="604"/>
        <v>6.48</v>
      </c>
      <c r="FL695" s="16">
        <f t="shared" si="605"/>
        <v>6.51</v>
      </c>
      <c r="FM695" s="70">
        <v>6.48</v>
      </c>
      <c r="FN695" s="70">
        <f t="shared" si="606"/>
        <v>0.32400000000000007</v>
      </c>
      <c r="FO695" s="15">
        <f>FN695*SQRT(AR695)</f>
        <v>0.56118446165231628</v>
      </c>
      <c r="FP695" s="70">
        <v>6.51</v>
      </c>
      <c r="FQ695" s="70">
        <f t="shared" si="607"/>
        <v>0.32550000000000001</v>
      </c>
      <c r="FR695" s="15">
        <f>FQ695*SQRT(AR695)</f>
        <v>0.5637825378636695</v>
      </c>
      <c r="FS695" s="70">
        <f t="shared" si="608"/>
        <v>1.0046296296296295</v>
      </c>
      <c r="FT695" s="70">
        <f t="shared" si="609"/>
        <v>2.9999999999999361E-2</v>
      </c>
      <c r="FU695" s="15">
        <f t="shared" si="610"/>
        <v>4.6189458562946317E-3</v>
      </c>
      <c r="FV695" s="15">
        <f>((FR695*FR695)/(AR695*FP695*FP695)+(FO695*FO695)/(AR695*FM695*FM695))</f>
        <v>4.9999999999999992E-3</v>
      </c>
      <c r="FX695" s="70">
        <v>18.3</v>
      </c>
      <c r="FY695" s="70">
        <f t="shared" si="611"/>
        <v>0.91500000000000004</v>
      </c>
      <c r="FZ695" s="15">
        <f>FY695*SQRT(AR695)</f>
        <v>1.5848264889255228</v>
      </c>
      <c r="GA695" s="70">
        <v>18.899999999999999</v>
      </c>
      <c r="GB695" s="70">
        <f t="shared" si="612"/>
        <v>0.94499999999999995</v>
      </c>
      <c r="GC695" s="15">
        <f>GB695*SQRT(AR695)</f>
        <v>1.6367880131525889</v>
      </c>
      <c r="GD695" s="70">
        <f t="shared" si="613"/>
        <v>1.0327868852459015</v>
      </c>
      <c r="GE695" s="70">
        <f t="shared" si="614"/>
        <v>0.59999999999999787</v>
      </c>
      <c r="GF695" s="15">
        <f t="shared" si="615"/>
        <v>3.226086221822122E-2</v>
      </c>
      <c r="GG695" s="15">
        <f>((GC695*GC695)/(AR695*GA695*GA695)+(FZ695*FZ695)/(AR695*FX695*FX695))</f>
        <v>5.0000000000000001E-3</v>
      </c>
      <c r="HE695" s="70">
        <v>6645</v>
      </c>
      <c r="HF695" s="70">
        <f t="shared" si="595"/>
        <v>332.25</v>
      </c>
      <c r="HG695" s="15">
        <f>HF695*SQRT(AR385)</f>
        <v>664.5</v>
      </c>
      <c r="HH695" s="70">
        <v>6915</v>
      </c>
      <c r="HI695" s="70">
        <f t="shared" si="596"/>
        <v>345.75</v>
      </c>
      <c r="HJ695" s="15">
        <f>HI695*SQRT(AR385)</f>
        <v>691.5</v>
      </c>
      <c r="HK695" s="70">
        <f t="shared" si="566"/>
        <v>1.0406320541760723</v>
      </c>
      <c r="HL695" s="15">
        <f t="shared" si="567"/>
        <v>270</v>
      </c>
      <c r="HM695" s="15">
        <f t="shared" si="568"/>
        <v>3.9828272951512034E-2</v>
      </c>
      <c r="HN695" s="15">
        <f>((HJ695*HJ695)/(AR385*HH695*HH695)+(HG695*HG695)/(AR385*HE695*HE695))</f>
        <v>5.0000000000000001E-3</v>
      </c>
      <c r="HP695" s="15" t="s">
        <v>766</v>
      </c>
      <c r="HV695" s="15">
        <f t="shared" si="569"/>
        <v>401.47359689602001</v>
      </c>
      <c r="HW695" s="15">
        <f t="shared" si="598"/>
        <v>3.9828272951512034E-2</v>
      </c>
      <c r="HX695" s="15">
        <f t="shared" si="590"/>
        <v>1599</v>
      </c>
      <c r="HY695" s="15">
        <f t="shared" si="591"/>
        <v>7995</v>
      </c>
      <c r="HZ695" s="15">
        <f t="shared" si="592"/>
        <v>13.324999999999999</v>
      </c>
      <c r="IA695" s="15">
        <f t="shared" si="593"/>
        <v>1599</v>
      </c>
    </row>
    <row r="696" spans="1:235" s="70" customFormat="1" x14ac:dyDescent="0.25">
      <c r="A696" s="31">
        <v>694</v>
      </c>
      <c r="B696" s="60">
        <v>99</v>
      </c>
      <c r="C696" s="60">
        <v>118</v>
      </c>
      <c r="D696" s="15" t="s">
        <v>1565</v>
      </c>
      <c r="E696" s="1">
        <v>5</v>
      </c>
      <c r="F696" s="15" t="s">
        <v>798</v>
      </c>
      <c r="G696" s="70" t="s">
        <v>1556</v>
      </c>
      <c r="H696" s="70" t="s">
        <v>1557</v>
      </c>
      <c r="I696" s="60">
        <v>2021</v>
      </c>
      <c r="J696" s="70" t="s">
        <v>1576</v>
      </c>
      <c r="K696" s="60" t="s">
        <v>1577</v>
      </c>
      <c r="L696" s="70" t="s">
        <v>1578</v>
      </c>
      <c r="M696" s="15" t="s">
        <v>480</v>
      </c>
      <c r="N696" s="15" t="s">
        <v>520</v>
      </c>
      <c r="O696" s="31">
        <v>2</v>
      </c>
      <c r="P696" s="70">
        <v>35.090000000000003</v>
      </c>
      <c r="Q696" s="70">
        <v>118.4</v>
      </c>
      <c r="S696" s="70">
        <v>800</v>
      </c>
      <c r="T696" s="70">
        <v>13.1</v>
      </c>
      <c r="U696" s="15" t="s">
        <v>549</v>
      </c>
      <c r="V696" s="31">
        <v>1</v>
      </c>
      <c r="W696" s="70" t="s">
        <v>1179</v>
      </c>
      <c r="X696" s="70" t="s">
        <v>729</v>
      </c>
      <c r="Y696" s="61">
        <v>11</v>
      </c>
      <c r="Z696" s="70">
        <v>6.53</v>
      </c>
      <c r="AA696" s="15" t="s">
        <v>574</v>
      </c>
      <c r="AB696" s="15">
        <f t="shared" si="564"/>
        <v>6.53</v>
      </c>
      <c r="AC696" s="60">
        <v>6</v>
      </c>
      <c r="AD696" s="70">
        <v>17.8</v>
      </c>
      <c r="AM696" s="60"/>
      <c r="AN696" s="70">
        <v>1.38</v>
      </c>
      <c r="AP696" s="70" t="s">
        <v>2382</v>
      </c>
      <c r="AQ696" s="1">
        <v>4</v>
      </c>
      <c r="AR696" s="1">
        <v>3</v>
      </c>
      <c r="DB696" s="70" t="s">
        <v>731</v>
      </c>
      <c r="DD696" s="70">
        <v>7995</v>
      </c>
      <c r="DE696" s="15">
        <f t="shared" si="597"/>
        <v>7995</v>
      </c>
      <c r="DF696" s="15" t="s">
        <v>766</v>
      </c>
      <c r="DS696" s="15">
        <f>DE696</f>
        <v>7995</v>
      </c>
      <c r="DT696" s="15">
        <f t="shared" si="579"/>
        <v>13.324999999999999</v>
      </c>
      <c r="DU696" s="15">
        <f t="shared" si="580"/>
        <v>1599</v>
      </c>
      <c r="EZ696" s="70">
        <v>1.29</v>
      </c>
      <c r="FA696" s="70">
        <f t="shared" si="599"/>
        <v>6.4500000000000002E-2</v>
      </c>
      <c r="FB696" s="15">
        <f>FA696*SQRT(AR696)</f>
        <v>0.11171727708819258</v>
      </c>
      <c r="FC696" s="70">
        <v>1.27</v>
      </c>
      <c r="FD696" s="70">
        <f t="shared" si="600"/>
        <v>6.3500000000000001E-2</v>
      </c>
      <c r="FE696" s="15">
        <f>FD696*SQRT(AR696)</f>
        <v>0.10998522628062371</v>
      </c>
      <c r="FF696" s="70">
        <f t="shared" si="601"/>
        <v>0.98449612403100772</v>
      </c>
      <c r="FG696" s="70">
        <f t="shared" si="602"/>
        <v>-2.0000000000000018E-2</v>
      </c>
      <c r="FH696" s="15">
        <f t="shared" si="603"/>
        <v>-1.5625317903080832E-2</v>
      </c>
      <c r="FI696" s="15">
        <f>((FE696*FE696)/(AR696*FC696*FC696)+(FB696*FB696)/(AR696*EZ696*EZ696))</f>
        <v>4.9999999999999992E-3</v>
      </c>
      <c r="FJ696" s="15"/>
      <c r="FK696" s="16">
        <f t="shared" si="604"/>
        <v>6.52</v>
      </c>
      <c r="FL696" s="16">
        <f t="shared" si="605"/>
        <v>6.58</v>
      </c>
      <c r="FM696" s="70">
        <v>6.52</v>
      </c>
      <c r="FN696" s="70">
        <f t="shared" si="606"/>
        <v>0.32600000000000001</v>
      </c>
      <c r="FO696" s="15">
        <f>FN696*SQRT(AR696)</f>
        <v>0.56464856326745394</v>
      </c>
      <c r="FP696" s="70">
        <v>6.58</v>
      </c>
      <c r="FQ696" s="70">
        <f t="shared" si="607"/>
        <v>0.32900000000000001</v>
      </c>
      <c r="FR696" s="15">
        <f>FQ696*SQRT(AR696)</f>
        <v>0.5698447156901606</v>
      </c>
      <c r="FS696" s="70">
        <f t="shared" si="608"/>
        <v>1.0092024539877302</v>
      </c>
      <c r="FT696" s="70">
        <f t="shared" si="609"/>
        <v>6.0000000000000497E-2</v>
      </c>
      <c r="FU696" s="15">
        <f t="shared" si="610"/>
        <v>9.1603693986643808E-3</v>
      </c>
      <c r="FV696" s="15">
        <f>((FR696*FR696)/(AR696*FP696*FP696)+(FO696*FO696)/(AR696*FM696*FM696))</f>
        <v>4.9999999999999992E-3</v>
      </c>
      <c r="FX696" s="70">
        <v>17.5</v>
      </c>
      <c r="FY696" s="70">
        <f t="shared" si="611"/>
        <v>0.875</v>
      </c>
      <c r="FZ696" s="15">
        <f>FY696*SQRT(AR696)</f>
        <v>1.5155444566227676</v>
      </c>
      <c r="GA696" s="70">
        <v>20.6</v>
      </c>
      <c r="GB696" s="70">
        <f t="shared" si="612"/>
        <v>1.03</v>
      </c>
      <c r="GC696" s="15">
        <f>GB696*SQRT(AR696)</f>
        <v>1.7840123317959435</v>
      </c>
      <c r="GD696" s="70">
        <f t="shared" si="613"/>
        <v>1.1771428571428573</v>
      </c>
      <c r="GE696" s="70">
        <f t="shared" si="614"/>
        <v>3.1000000000000014</v>
      </c>
      <c r="GF696" s="15">
        <f t="shared" si="615"/>
        <v>0.1630901948660668</v>
      </c>
      <c r="GG696" s="15">
        <f>((GC696*GC696)/(AR696*GA696*GA696)+(FZ696*FZ696)/(AR696*FX696*FX696))</f>
        <v>4.9999999999999992E-3</v>
      </c>
      <c r="HE696" s="70">
        <v>6570</v>
      </c>
      <c r="HF696" s="70">
        <f t="shared" si="595"/>
        <v>328.5</v>
      </c>
      <c r="HG696" s="15">
        <f>HF696*SQRT(AR386)</f>
        <v>657</v>
      </c>
      <c r="HH696" s="70">
        <v>7125</v>
      </c>
      <c r="HI696" s="70">
        <f t="shared" si="596"/>
        <v>356.25</v>
      </c>
      <c r="HJ696" s="15">
        <f>HI696*SQRT(AR386)</f>
        <v>712.5</v>
      </c>
      <c r="HK696" s="70">
        <f t="shared" si="566"/>
        <v>1.0844748858447488</v>
      </c>
      <c r="HL696" s="15">
        <f t="shared" si="567"/>
        <v>555</v>
      </c>
      <c r="HM696" s="15">
        <f t="shared" si="568"/>
        <v>8.1095893658195806E-2</v>
      </c>
      <c r="HN696" s="15">
        <f>((HJ696*HJ696)/(AR386*HH696*HH696)+(HG696*HG696)/(AR386*HE696*HE696))</f>
        <v>5.0000000000000001E-3</v>
      </c>
      <c r="HP696" s="15" t="s">
        <v>766</v>
      </c>
      <c r="HV696" s="15">
        <f t="shared" si="569"/>
        <v>197.17397859125759</v>
      </c>
      <c r="HW696" s="15">
        <f t="shared" si="598"/>
        <v>8.1095893658195806E-2</v>
      </c>
      <c r="HX696" s="15">
        <f t="shared" si="590"/>
        <v>1599</v>
      </c>
      <c r="HY696" s="15">
        <f t="shared" si="591"/>
        <v>7995</v>
      </c>
      <c r="HZ696" s="15">
        <f t="shared" si="592"/>
        <v>13.324999999999999</v>
      </c>
      <c r="IA696" s="15">
        <f t="shared" si="593"/>
        <v>1599</v>
      </c>
    </row>
    <row r="697" spans="1:235" s="70" customFormat="1" x14ac:dyDescent="0.25">
      <c r="A697" s="31">
        <v>695</v>
      </c>
      <c r="B697" s="60">
        <v>99</v>
      </c>
      <c r="C697" s="60">
        <v>118</v>
      </c>
      <c r="D697" s="15" t="s">
        <v>1566</v>
      </c>
      <c r="E697" s="1">
        <v>5</v>
      </c>
      <c r="F697" s="15" t="s">
        <v>798</v>
      </c>
      <c r="G697" s="70" t="s">
        <v>1556</v>
      </c>
      <c r="H697" s="70" t="s">
        <v>1557</v>
      </c>
      <c r="I697" s="60">
        <v>2021</v>
      </c>
      <c r="J697" s="70" t="s">
        <v>1576</v>
      </c>
      <c r="K697" s="60" t="s">
        <v>1577</v>
      </c>
      <c r="L697" s="70" t="s">
        <v>1578</v>
      </c>
      <c r="M697" s="15" t="s">
        <v>480</v>
      </c>
      <c r="N697" s="15" t="s">
        <v>520</v>
      </c>
      <c r="O697" s="31">
        <v>2</v>
      </c>
      <c r="P697" s="70">
        <v>35.090000000000003</v>
      </c>
      <c r="Q697" s="70">
        <v>118.4</v>
      </c>
      <c r="S697" s="70">
        <v>800</v>
      </c>
      <c r="T697" s="70">
        <v>13.1</v>
      </c>
      <c r="U697" s="15" t="s">
        <v>549</v>
      </c>
      <c r="V697" s="31">
        <v>1</v>
      </c>
      <c r="W697" s="70" t="s">
        <v>1179</v>
      </c>
      <c r="X697" s="70" t="s">
        <v>729</v>
      </c>
      <c r="Y697" s="61">
        <v>11</v>
      </c>
      <c r="Z697" s="70">
        <v>6.53</v>
      </c>
      <c r="AA697" s="15" t="s">
        <v>574</v>
      </c>
      <c r="AB697" s="15">
        <f t="shared" si="564"/>
        <v>6.53</v>
      </c>
      <c r="AC697" s="60">
        <v>6</v>
      </c>
      <c r="AD697" s="70">
        <v>17.8</v>
      </c>
      <c r="AM697" s="60"/>
      <c r="AN697" s="70">
        <v>1.38</v>
      </c>
      <c r="AP697" s="70" t="s">
        <v>2382</v>
      </c>
      <c r="AQ697" s="1">
        <v>4</v>
      </c>
      <c r="AR697" s="1">
        <v>3</v>
      </c>
      <c r="DB697" s="70" t="s">
        <v>731</v>
      </c>
      <c r="DD697" s="70">
        <v>7995</v>
      </c>
      <c r="DE697" s="15">
        <f t="shared" si="597"/>
        <v>7995</v>
      </c>
      <c r="DF697" s="15" t="s">
        <v>766</v>
      </c>
      <c r="DS697" s="15">
        <f>DE697</f>
        <v>7995</v>
      </c>
      <c r="DT697" s="15">
        <f t="shared" si="579"/>
        <v>13.324999999999999</v>
      </c>
      <c r="DU697" s="15">
        <f t="shared" si="580"/>
        <v>1599</v>
      </c>
      <c r="EZ697" s="70">
        <v>1.35</v>
      </c>
      <c r="FA697" s="70">
        <f t="shared" si="599"/>
        <v>6.7500000000000004E-2</v>
      </c>
      <c r="FB697" s="15">
        <f>FA697*SQRT(AR697)</f>
        <v>0.11691342951089922</v>
      </c>
      <c r="FC697" s="70">
        <v>1.23</v>
      </c>
      <c r="FD697" s="70">
        <f t="shared" si="600"/>
        <v>6.1499999999999999E-2</v>
      </c>
      <c r="FE697" s="15">
        <f>FD697*SQRT(AR697)</f>
        <v>0.10652112466548594</v>
      </c>
      <c r="FF697" s="70">
        <f t="shared" si="601"/>
        <v>0.91111111111111098</v>
      </c>
      <c r="FG697" s="70">
        <f t="shared" si="602"/>
        <v>-0.12000000000000011</v>
      </c>
      <c r="FH697" s="15">
        <f t="shared" si="603"/>
        <v>-9.3090423066012035E-2</v>
      </c>
      <c r="FI697" s="15">
        <f>((FE697*FE697)/(AR697*FC697*FC697)+(FB697*FB697)/(AR697*EZ697*EZ697))</f>
        <v>4.9999999999999992E-3</v>
      </c>
      <c r="FJ697" s="15"/>
      <c r="FK697" s="16">
        <f t="shared" si="604"/>
        <v>6.49</v>
      </c>
      <c r="FL697" s="16">
        <f t="shared" si="605"/>
        <v>6.53</v>
      </c>
      <c r="FM697" s="70">
        <v>6.49</v>
      </c>
      <c r="FN697" s="70">
        <f t="shared" si="606"/>
        <v>0.32450000000000001</v>
      </c>
      <c r="FO697" s="15">
        <f>FN697*SQRT(AR697)</f>
        <v>0.56205048705610072</v>
      </c>
      <c r="FP697" s="70">
        <v>6.53</v>
      </c>
      <c r="FQ697" s="70">
        <f t="shared" si="607"/>
        <v>0.32650000000000001</v>
      </c>
      <c r="FR697" s="15">
        <f>FQ697*SQRT(AR697)</f>
        <v>0.56551458867123838</v>
      </c>
      <c r="FS697" s="70">
        <f t="shared" si="608"/>
        <v>1.0061633281972264</v>
      </c>
      <c r="FT697" s="70">
        <f t="shared" si="609"/>
        <v>4.0000000000000036E-2</v>
      </c>
      <c r="FU697" s="15">
        <f t="shared" si="610"/>
        <v>6.1444125723411069E-3</v>
      </c>
      <c r="FV697" s="15">
        <f>((FR697*FR697)/(AR697*FP697*FP697)+(FO697*FO697)/(AR697*FM697*FM697))</f>
        <v>4.9999999999999992E-3</v>
      </c>
      <c r="FX697" s="70">
        <v>18.600000000000001</v>
      </c>
      <c r="FY697" s="70">
        <f t="shared" si="611"/>
        <v>0.93000000000000016</v>
      </c>
      <c r="FZ697" s="15">
        <f>FY697*SQRT(AR697)</f>
        <v>1.6108072510390561</v>
      </c>
      <c r="GA697" s="70">
        <v>21.1</v>
      </c>
      <c r="GB697" s="70">
        <f t="shared" si="612"/>
        <v>1.0550000000000002</v>
      </c>
      <c r="GC697" s="15">
        <f>GB697*SQRT(AR697)</f>
        <v>1.8273136019851657</v>
      </c>
      <c r="GD697" s="70">
        <f t="shared" si="613"/>
        <v>1.1344086021505375</v>
      </c>
      <c r="GE697" s="70">
        <f t="shared" si="614"/>
        <v>2.5</v>
      </c>
      <c r="GF697" s="15">
        <f t="shared" si="615"/>
        <v>0.12611145976286497</v>
      </c>
      <c r="GG697" s="15">
        <f>((GC697*GC697)/(AR697*GA697*GA697)+(FZ697*FZ697)/(AR697*FX697*FX697))</f>
        <v>5.000000000000001E-3</v>
      </c>
      <c r="HE697" s="70">
        <v>6690</v>
      </c>
      <c r="HF697" s="70">
        <f t="shared" si="595"/>
        <v>334.5</v>
      </c>
      <c r="HG697" s="15">
        <f>HF697*SQRT(AR387)</f>
        <v>669</v>
      </c>
      <c r="HH697" s="70">
        <v>7230</v>
      </c>
      <c r="HI697" s="70">
        <f t="shared" si="596"/>
        <v>361.5</v>
      </c>
      <c r="HJ697" s="15">
        <f>HI697*SQRT(AR387)</f>
        <v>723</v>
      </c>
      <c r="HK697" s="70">
        <f t="shared" si="566"/>
        <v>1.0807174887892377</v>
      </c>
      <c r="HL697" s="15">
        <f t="shared" si="567"/>
        <v>540</v>
      </c>
      <c r="HM697" s="15">
        <f t="shared" si="568"/>
        <v>7.7625162030535932E-2</v>
      </c>
      <c r="HN697" s="15">
        <f>((HJ697*HJ697)/(AR387*HH697*HH697)+(HG697*HG697)/(AR387*HE697*HE697))</f>
        <v>5.0000000000000001E-3</v>
      </c>
      <c r="HP697" s="15" t="s">
        <v>766</v>
      </c>
      <c r="HV697" s="15">
        <f t="shared" si="569"/>
        <v>205.98990819123708</v>
      </c>
      <c r="HW697" s="15">
        <f t="shared" si="598"/>
        <v>7.7625162030535932E-2</v>
      </c>
      <c r="HX697" s="15">
        <f t="shared" si="590"/>
        <v>1599</v>
      </c>
      <c r="HY697" s="15">
        <f t="shared" si="591"/>
        <v>7995</v>
      </c>
      <c r="HZ697" s="15">
        <f t="shared" si="592"/>
        <v>13.324999999999999</v>
      </c>
      <c r="IA697" s="15">
        <f t="shared" si="593"/>
        <v>1599</v>
      </c>
    </row>
    <row r="698" spans="1:235" s="70" customFormat="1" x14ac:dyDescent="0.25">
      <c r="A698" s="31">
        <v>696</v>
      </c>
      <c r="B698" s="60">
        <v>99</v>
      </c>
      <c r="C698" s="60">
        <v>118</v>
      </c>
      <c r="D698" s="15" t="s">
        <v>1567</v>
      </c>
      <c r="E698" s="1">
        <v>5</v>
      </c>
      <c r="F698" s="15" t="s">
        <v>798</v>
      </c>
      <c r="G698" s="70" t="s">
        <v>1556</v>
      </c>
      <c r="H698" s="70" t="s">
        <v>1557</v>
      </c>
      <c r="I698" s="60">
        <v>2021</v>
      </c>
      <c r="J698" s="70" t="s">
        <v>1576</v>
      </c>
      <c r="K698" s="60" t="s">
        <v>1577</v>
      </c>
      <c r="L698" s="70" t="s">
        <v>1578</v>
      </c>
      <c r="M698" s="15" t="s">
        <v>480</v>
      </c>
      <c r="N698" s="15" t="s">
        <v>520</v>
      </c>
      <c r="O698" s="31">
        <v>2</v>
      </c>
      <c r="P698" s="70">
        <v>35.090000000000003</v>
      </c>
      <c r="Q698" s="70">
        <v>118.4</v>
      </c>
      <c r="S698" s="70">
        <v>800</v>
      </c>
      <c r="T698" s="70">
        <v>13.1</v>
      </c>
      <c r="U698" s="15" t="s">
        <v>549</v>
      </c>
      <c r="V698" s="31">
        <v>1</v>
      </c>
      <c r="W698" s="70" t="s">
        <v>1179</v>
      </c>
      <c r="X698" s="70" t="s">
        <v>731</v>
      </c>
      <c r="Y698" s="1">
        <v>12</v>
      </c>
      <c r="Z698" s="70">
        <v>6.53</v>
      </c>
      <c r="AA698" s="15" t="s">
        <v>574</v>
      </c>
      <c r="AB698" s="15">
        <f t="shared" si="564"/>
        <v>6.53</v>
      </c>
      <c r="AC698" s="60">
        <v>6</v>
      </c>
      <c r="AD698" s="70">
        <v>17.8</v>
      </c>
      <c r="AM698" s="60"/>
      <c r="AN698" s="70">
        <v>1.38</v>
      </c>
      <c r="AP698" s="70" t="s">
        <v>2382</v>
      </c>
      <c r="AQ698" s="1">
        <v>4</v>
      </c>
      <c r="AR698" s="1">
        <v>3</v>
      </c>
      <c r="DB698" s="70" t="s">
        <v>731</v>
      </c>
      <c r="DD698" s="70">
        <v>7995</v>
      </c>
      <c r="DE698" s="15">
        <f t="shared" si="597"/>
        <v>7995</v>
      </c>
      <c r="DF698" s="15" t="s">
        <v>766</v>
      </c>
      <c r="DS698" s="15">
        <f>DE698</f>
        <v>7995</v>
      </c>
      <c r="DT698" s="15">
        <f t="shared" si="579"/>
        <v>13.324999999999999</v>
      </c>
      <c r="DU698" s="15">
        <f t="shared" si="580"/>
        <v>1599</v>
      </c>
      <c r="EZ698" s="70">
        <v>1.37</v>
      </c>
      <c r="FA698" s="15">
        <f t="shared" si="599"/>
        <v>6.8500000000000005E-2</v>
      </c>
      <c r="FB698" s="15">
        <f>FA698*SQRT(AR698)</f>
        <v>0.1186454803184681</v>
      </c>
      <c r="FC698" s="70">
        <v>1.33</v>
      </c>
      <c r="FD698" s="15">
        <f t="shared" si="600"/>
        <v>6.6500000000000004E-2</v>
      </c>
      <c r="FE698" s="15">
        <f>FD698*SQRT(AR698)</f>
        <v>0.11518137870333034</v>
      </c>
      <c r="FF698" s="15">
        <f t="shared" si="601"/>
        <v>0.97080291970802912</v>
      </c>
      <c r="FG698" s="15">
        <f t="shared" si="602"/>
        <v>-4.0000000000000036E-2</v>
      </c>
      <c r="FH698" s="15">
        <f t="shared" si="603"/>
        <v>-2.9631797606371135E-2</v>
      </c>
      <c r="FI698" s="15">
        <f>((FE698*FE698)/(AR698*FC698*FC698)+(FB698*FB698)/(AR698*EZ698*EZ698))</f>
        <v>4.9999999999999992E-3</v>
      </c>
      <c r="FJ698" s="15"/>
      <c r="FK698" s="16">
        <f t="shared" si="604"/>
        <v>6.48</v>
      </c>
      <c r="FL698" s="16">
        <f t="shared" si="605"/>
        <v>6.51</v>
      </c>
      <c r="FM698" s="70">
        <v>6.48</v>
      </c>
      <c r="FN698" s="70">
        <f t="shared" si="606"/>
        <v>0.32400000000000007</v>
      </c>
      <c r="FO698" s="15">
        <f>FN698*SQRT(AR698)</f>
        <v>0.56118446165231628</v>
      </c>
      <c r="FP698" s="70">
        <v>6.51</v>
      </c>
      <c r="FQ698" s="70">
        <f t="shared" si="607"/>
        <v>0.32550000000000001</v>
      </c>
      <c r="FR698" s="15">
        <f>FQ698*SQRT(AR698)</f>
        <v>0.5637825378636695</v>
      </c>
      <c r="FS698" s="70">
        <f t="shared" si="608"/>
        <v>1.0046296296296295</v>
      </c>
      <c r="FT698" s="70">
        <f t="shared" si="609"/>
        <v>2.9999999999999361E-2</v>
      </c>
      <c r="FU698" s="15">
        <f t="shared" si="610"/>
        <v>4.6189458562946317E-3</v>
      </c>
      <c r="FV698" s="15">
        <f>((FR698*FR698)/(AR698*FP698*FP698)+(FO698*FO698)/(AR698*FM698*FM698))</f>
        <v>4.9999999999999992E-3</v>
      </c>
      <c r="FX698" s="70">
        <v>18.3</v>
      </c>
      <c r="FY698" s="70">
        <f t="shared" si="611"/>
        <v>0.91500000000000004</v>
      </c>
      <c r="FZ698" s="15">
        <f>FY698*SQRT(AR698)</f>
        <v>1.5848264889255228</v>
      </c>
      <c r="GA698" s="70">
        <v>18.899999999999999</v>
      </c>
      <c r="GB698" s="70">
        <f t="shared" si="612"/>
        <v>0.94499999999999995</v>
      </c>
      <c r="GC698" s="15">
        <f>GB698*SQRT(AR698)</f>
        <v>1.6367880131525889</v>
      </c>
      <c r="GD698" s="70">
        <f t="shared" si="613"/>
        <v>1.0327868852459015</v>
      </c>
      <c r="GE698" s="70">
        <f t="shared" si="614"/>
        <v>0.59999999999999787</v>
      </c>
      <c r="GF698" s="15">
        <f t="shared" si="615"/>
        <v>3.226086221822122E-2</v>
      </c>
      <c r="GG698" s="15">
        <f>((GC698*GC698)/(AR698*GA698*GA698)+(FZ698*FZ698)/(AR698*FX698*FX698))</f>
        <v>5.0000000000000001E-3</v>
      </c>
      <c r="HE698" s="70">
        <v>6585</v>
      </c>
      <c r="HF698" s="70">
        <f t="shared" si="595"/>
        <v>329.25</v>
      </c>
      <c r="HG698" s="15">
        <f>HF698*SQRT(AR388)</f>
        <v>658.5</v>
      </c>
      <c r="HH698" s="70">
        <v>6855</v>
      </c>
      <c r="HI698" s="70">
        <f t="shared" si="596"/>
        <v>342.75</v>
      </c>
      <c r="HJ698" s="15">
        <f>HI698*SQRT(AR388)</f>
        <v>685.5</v>
      </c>
      <c r="HK698" s="70">
        <f t="shared" si="566"/>
        <v>1.041002277904328</v>
      </c>
      <c r="HL698" s="15">
        <f t="shared" si="567"/>
        <v>270</v>
      </c>
      <c r="HM698" s="15">
        <f t="shared" si="568"/>
        <v>4.0183977819033601E-2</v>
      </c>
      <c r="HN698" s="15">
        <f>((HJ698*HJ698)/(AR388*HH698*HH698)+(HG698*HG698)/(AR388*HE698*HE698))</f>
        <v>5.0000000000000001E-3</v>
      </c>
      <c r="HP698" s="15" t="s">
        <v>766</v>
      </c>
      <c r="HV698" s="15">
        <f t="shared" si="569"/>
        <v>397.9197896238673</v>
      </c>
      <c r="HW698" s="15">
        <f t="shared" si="598"/>
        <v>4.0183977819033601E-2</v>
      </c>
      <c r="HX698" s="15">
        <f t="shared" si="590"/>
        <v>1599</v>
      </c>
      <c r="HY698" s="15">
        <f t="shared" si="591"/>
        <v>7995</v>
      </c>
      <c r="HZ698" s="15">
        <f t="shared" si="592"/>
        <v>13.324999999999999</v>
      </c>
      <c r="IA698" s="15">
        <f t="shared" si="593"/>
        <v>1599</v>
      </c>
    </row>
    <row r="699" spans="1:235" s="70" customFormat="1" x14ac:dyDescent="0.25">
      <c r="A699" s="31">
        <v>697</v>
      </c>
      <c r="B699" s="60">
        <v>99</v>
      </c>
      <c r="C699" s="60">
        <v>118</v>
      </c>
      <c r="D699" s="15" t="s">
        <v>1568</v>
      </c>
      <c r="E699" s="1">
        <v>5</v>
      </c>
      <c r="F699" s="15" t="s">
        <v>798</v>
      </c>
      <c r="G699" s="70" t="s">
        <v>1556</v>
      </c>
      <c r="H699" s="70" t="s">
        <v>1557</v>
      </c>
      <c r="I699" s="60">
        <v>2021</v>
      </c>
      <c r="J699" s="70" t="s">
        <v>1576</v>
      </c>
      <c r="K699" s="60" t="s">
        <v>1577</v>
      </c>
      <c r="L699" s="70" t="s">
        <v>1578</v>
      </c>
      <c r="M699" s="15" t="s">
        <v>480</v>
      </c>
      <c r="N699" s="15" t="s">
        <v>520</v>
      </c>
      <c r="O699" s="31">
        <v>2</v>
      </c>
      <c r="P699" s="70">
        <v>35.090000000000003</v>
      </c>
      <c r="Q699" s="70">
        <v>118.4</v>
      </c>
      <c r="S699" s="70">
        <v>800</v>
      </c>
      <c r="T699" s="70">
        <v>13.1</v>
      </c>
      <c r="U699" s="15" t="s">
        <v>549</v>
      </c>
      <c r="V699" s="31">
        <v>1</v>
      </c>
      <c r="W699" s="70" t="s">
        <v>1179</v>
      </c>
      <c r="X699" s="70" t="s">
        <v>731</v>
      </c>
      <c r="Y699" s="1">
        <v>12</v>
      </c>
      <c r="Z699" s="70">
        <v>6.53</v>
      </c>
      <c r="AA699" s="15" t="s">
        <v>574</v>
      </c>
      <c r="AB699" s="15">
        <f t="shared" si="564"/>
        <v>6.53</v>
      </c>
      <c r="AC699" s="60">
        <v>6</v>
      </c>
      <c r="AD699" s="70">
        <v>17.8</v>
      </c>
      <c r="AM699" s="60"/>
      <c r="AN699" s="70">
        <v>1.38</v>
      </c>
      <c r="AP699" s="70" t="s">
        <v>2382</v>
      </c>
      <c r="AQ699" s="1">
        <v>4</v>
      </c>
      <c r="AR699" s="1">
        <v>3</v>
      </c>
      <c r="DB699" s="70" t="s">
        <v>731</v>
      </c>
      <c r="DD699" s="70">
        <v>7995</v>
      </c>
      <c r="DE699" s="15">
        <f t="shared" si="597"/>
        <v>7995</v>
      </c>
      <c r="DF699" s="15" t="s">
        <v>766</v>
      </c>
      <c r="DS699" s="15">
        <f>DE699</f>
        <v>7995</v>
      </c>
      <c r="DT699" s="15">
        <f t="shared" si="579"/>
        <v>13.324999999999999</v>
      </c>
      <c r="DU699" s="15">
        <f t="shared" si="580"/>
        <v>1599</v>
      </c>
      <c r="EZ699" s="70">
        <v>1.29</v>
      </c>
      <c r="FA699" s="70">
        <f t="shared" si="599"/>
        <v>6.4500000000000002E-2</v>
      </c>
      <c r="FB699" s="15">
        <f>FA699*SQRT(AR699)</f>
        <v>0.11171727708819258</v>
      </c>
      <c r="FC699" s="70">
        <v>1.27</v>
      </c>
      <c r="FD699" s="70">
        <f t="shared" si="600"/>
        <v>6.3500000000000001E-2</v>
      </c>
      <c r="FE699" s="15">
        <f>FD699*SQRT(AR699)</f>
        <v>0.10998522628062371</v>
      </c>
      <c r="FF699" s="70">
        <f t="shared" si="601"/>
        <v>0.98449612403100772</v>
      </c>
      <c r="FG699" s="70">
        <f t="shared" si="602"/>
        <v>-2.0000000000000018E-2</v>
      </c>
      <c r="FH699" s="15">
        <f t="shared" si="603"/>
        <v>-1.5625317903080832E-2</v>
      </c>
      <c r="FI699" s="15">
        <f>((FE699*FE699)/(AR699*FC699*FC699)+(FB699*FB699)/(AR699*EZ699*EZ699))</f>
        <v>4.9999999999999992E-3</v>
      </c>
      <c r="FJ699" s="15"/>
      <c r="FK699" s="16">
        <f t="shared" si="604"/>
        <v>6.52</v>
      </c>
      <c r="FL699" s="16">
        <f t="shared" si="605"/>
        <v>6.58</v>
      </c>
      <c r="FM699" s="70">
        <v>6.52</v>
      </c>
      <c r="FN699" s="70">
        <f t="shared" si="606"/>
        <v>0.32600000000000001</v>
      </c>
      <c r="FO699" s="15">
        <f>FN699*SQRT(AR699)</f>
        <v>0.56464856326745394</v>
      </c>
      <c r="FP699" s="70">
        <v>6.58</v>
      </c>
      <c r="FQ699" s="70">
        <f t="shared" si="607"/>
        <v>0.32900000000000001</v>
      </c>
      <c r="FR699" s="15">
        <f>FQ699*SQRT(AR699)</f>
        <v>0.5698447156901606</v>
      </c>
      <c r="FS699" s="70">
        <f t="shared" si="608"/>
        <v>1.0092024539877302</v>
      </c>
      <c r="FT699" s="70">
        <f t="shared" si="609"/>
        <v>6.0000000000000497E-2</v>
      </c>
      <c r="FU699" s="15">
        <f t="shared" si="610"/>
        <v>9.1603693986643808E-3</v>
      </c>
      <c r="FV699" s="15">
        <f>((FR699*FR699)/(AR699*FP699*FP699)+(FO699*FO699)/(AR699*FM699*FM699))</f>
        <v>4.9999999999999992E-3</v>
      </c>
      <c r="FX699" s="70">
        <v>17.5</v>
      </c>
      <c r="FY699" s="70">
        <f t="shared" si="611"/>
        <v>0.875</v>
      </c>
      <c r="FZ699" s="15">
        <f>FY699*SQRT(AR699)</f>
        <v>1.5155444566227676</v>
      </c>
      <c r="GA699" s="70">
        <v>20.6</v>
      </c>
      <c r="GB699" s="70">
        <f t="shared" si="612"/>
        <v>1.03</v>
      </c>
      <c r="GC699" s="15">
        <f>GB699*SQRT(AR699)</f>
        <v>1.7840123317959435</v>
      </c>
      <c r="GD699" s="70">
        <f t="shared" si="613"/>
        <v>1.1771428571428573</v>
      </c>
      <c r="GE699" s="70">
        <f t="shared" si="614"/>
        <v>3.1000000000000014</v>
      </c>
      <c r="GF699" s="15">
        <f t="shared" si="615"/>
        <v>0.1630901948660668</v>
      </c>
      <c r="GG699" s="15">
        <f>((GC699*GC699)/(AR699*GA699*GA699)+(FZ699*FZ699)/(AR699*FX699*FX699))</f>
        <v>4.9999999999999992E-3</v>
      </c>
      <c r="HE699" s="70">
        <v>6390</v>
      </c>
      <c r="HF699" s="70">
        <f t="shared" si="595"/>
        <v>319.5</v>
      </c>
      <c r="HG699" s="15">
        <f>HF699*SQRT(AR389)</f>
        <v>553.39023301825625</v>
      </c>
      <c r="HH699" s="70">
        <v>6765</v>
      </c>
      <c r="HI699" s="70">
        <f t="shared" si="596"/>
        <v>338.25</v>
      </c>
      <c r="HJ699" s="15">
        <f>HI699*SQRT(AR389)</f>
        <v>585.86618566017273</v>
      </c>
      <c r="HK699" s="70">
        <f t="shared" si="566"/>
        <v>1.0586854460093897</v>
      </c>
      <c r="HL699" s="15">
        <f t="shared" si="567"/>
        <v>375</v>
      </c>
      <c r="HM699" s="15">
        <f t="shared" si="568"/>
        <v>5.7027993233306873E-2</v>
      </c>
      <c r="HN699" s="15">
        <f>((HJ699*HJ699)/(AR389*HH699*HH699)+(HG699*HG699)/(AR389*HE699*HE699))</f>
        <v>4.9999999999999992E-3</v>
      </c>
      <c r="HP699" s="15" t="s">
        <v>766</v>
      </c>
      <c r="HV699" s="15">
        <f t="shared" si="569"/>
        <v>280.38861431759329</v>
      </c>
      <c r="HW699" s="15">
        <f t="shared" si="598"/>
        <v>5.7027993233306873E-2</v>
      </c>
      <c r="HX699" s="15">
        <f t="shared" si="590"/>
        <v>1599</v>
      </c>
      <c r="HY699" s="15">
        <f t="shared" si="591"/>
        <v>7995</v>
      </c>
      <c r="HZ699" s="15">
        <f t="shared" si="592"/>
        <v>13.324999999999999</v>
      </c>
      <c r="IA699" s="15">
        <f t="shared" si="593"/>
        <v>1599</v>
      </c>
    </row>
    <row r="700" spans="1:235" s="70" customFormat="1" x14ac:dyDescent="0.25">
      <c r="A700" s="31">
        <v>698</v>
      </c>
      <c r="B700" s="60">
        <v>99</v>
      </c>
      <c r="C700" s="60">
        <v>118</v>
      </c>
      <c r="D700" s="15" t="s">
        <v>1569</v>
      </c>
      <c r="E700" s="1">
        <v>5</v>
      </c>
      <c r="F700" s="15" t="s">
        <v>798</v>
      </c>
      <c r="G700" s="70" t="s">
        <v>1556</v>
      </c>
      <c r="H700" s="70" t="s">
        <v>1557</v>
      </c>
      <c r="I700" s="60">
        <v>2021</v>
      </c>
      <c r="J700" s="70" t="s">
        <v>1576</v>
      </c>
      <c r="K700" s="60" t="s">
        <v>1577</v>
      </c>
      <c r="L700" s="70" t="s">
        <v>1578</v>
      </c>
      <c r="M700" s="15" t="s">
        <v>480</v>
      </c>
      <c r="N700" s="15" t="s">
        <v>520</v>
      </c>
      <c r="O700" s="31">
        <v>2</v>
      </c>
      <c r="P700" s="70">
        <v>35.090000000000003</v>
      </c>
      <c r="Q700" s="70">
        <v>118.4</v>
      </c>
      <c r="S700" s="70">
        <v>800</v>
      </c>
      <c r="T700" s="70">
        <v>13.1</v>
      </c>
      <c r="U700" s="15" t="s">
        <v>549</v>
      </c>
      <c r="V700" s="31">
        <v>1</v>
      </c>
      <c r="W700" s="70" t="s">
        <v>1179</v>
      </c>
      <c r="X700" s="70" t="s">
        <v>731</v>
      </c>
      <c r="Y700" s="1">
        <v>12</v>
      </c>
      <c r="Z700" s="70">
        <v>6.53</v>
      </c>
      <c r="AA700" s="15" t="s">
        <v>574</v>
      </c>
      <c r="AB700" s="15">
        <f t="shared" si="564"/>
        <v>6.53</v>
      </c>
      <c r="AC700" s="60">
        <v>6</v>
      </c>
      <c r="AD700" s="70">
        <v>17.8</v>
      </c>
      <c r="AM700" s="60"/>
      <c r="AN700" s="70">
        <v>1.38</v>
      </c>
      <c r="AP700" s="70" t="s">
        <v>2382</v>
      </c>
      <c r="AQ700" s="1">
        <v>4</v>
      </c>
      <c r="AR700" s="1">
        <v>3</v>
      </c>
      <c r="DB700" s="70" t="s">
        <v>731</v>
      </c>
      <c r="DD700" s="70">
        <v>7995</v>
      </c>
      <c r="DE700" s="15">
        <f t="shared" si="597"/>
        <v>7995</v>
      </c>
      <c r="DF700" s="15" t="s">
        <v>766</v>
      </c>
      <c r="DS700" s="15">
        <f>DE700</f>
        <v>7995</v>
      </c>
      <c r="DT700" s="15">
        <f t="shared" si="579"/>
        <v>13.324999999999999</v>
      </c>
      <c r="DU700" s="15">
        <f t="shared" si="580"/>
        <v>1599</v>
      </c>
      <c r="EZ700" s="70">
        <v>1.35</v>
      </c>
      <c r="FA700" s="70">
        <f t="shared" si="599"/>
        <v>6.7500000000000004E-2</v>
      </c>
      <c r="FB700" s="15">
        <f>FA700*SQRT(AR700)</f>
        <v>0.11691342951089922</v>
      </c>
      <c r="FC700" s="70">
        <v>1.23</v>
      </c>
      <c r="FD700" s="70">
        <f t="shared" si="600"/>
        <v>6.1499999999999999E-2</v>
      </c>
      <c r="FE700" s="15">
        <f>FD700*SQRT(AR700)</f>
        <v>0.10652112466548594</v>
      </c>
      <c r="FF700" s="70">
        <f t="shared" si="601"/>
        <v>0.91111111111111098</v>
      </c>
      <c r="FG700" s="70">
        <f t="shared" si="602"/>
        <v>-0.12000000000000011</v>
      </c>
      <c r="FH700" s="15">
        <f t="shared" si="603"/>
        <v>-9.3090423066012035E-2</v>
      </c>
      <c r="FI700" s="15">
        <f>((FE700*FE700)/(AR700*FC700*FC700)+(FB700*FB700)/(AR700*EZ700*EZ700))</f>
        <v>4.9999999999999992E-3</v>
      </c>
      <c r="FJ700" s="15"/>
      <c r="FK700" s="16">
        <f t="shared" si="604"/>
        <v>6.49</v>
      </c>
      <c r="FL700" s="16">
        <f t="shared" si="605"/>
        <v>6.53</v>
      </c>
      <c r="FM700" s="70">
        <v>6.49</v>
      </c>
      <c r="FN700" s="70">
        <f t="shared" si="606"/>
        <v>0.32450000000000001</v>
      </c>
      <c r="FO700" s="15">
        <f>FN700*SQRT(AR700)</f>
        <v>0.56205048705610072</v>
      </c>
      <c r="FP700" s="70">
        <v>6.53</v>
      </c>
      <c r="FQ700" s="70">
        <f t="shared" si="607"/>
        <v>0.32650000000000001</v>
      </c>
      <c r="FR700" s="15">
        <f>FQ700*SQRT(AR700)</f>
        <v>0.56551458867123838</v>
      </c>
      <c r="FS700" s="70">
        <f t="shared" si="608"/>
        <v>1.0061633281972264</v>
      </c>
      <c r="FT700" s="70">
        <f t="shared" si="609"/>
        <v>4.0000000000000036E-2</v>
      </c>
      <c r="FU700" s="15">
        <f t="shared" si="610"/>
        <v>6.1444125723411069E-3</v>
      </c>
      <c r="FV700" s="15">
        <f>((FR700*FR700)/(AR700*FP700*FP700)+(FO700*FO700)/(AR700*FM700*FM700))</f>
        <v>4.9999999999999992E-3</v>
      </c>
      <c r="FX700" s="70">
        <v>18.600000000000001</v>
      </c>
      <c r="FY700" s="70">
        <f t="shared" si="611"/>
        <v>0.93000000000000016</v>
      </c>
      <c r="FZ700" s="15">
        <f>FY700*SQRT(AR700)</f>
        <v>1.6108072510390561</v>
      </c>
      <c r="GA700" s="70">
        <v>21.1</v>
      </c>
      <c r="GB700" s="70">
        <f t="shared" si="612"/>
        <v>1.0550000000000002</v>
      </c>
      <c r="GC700" s="15">
        <f>GB700*SQRT(AR700)</f>
        <v>1.8273136019851657</v>
      </c>
      <c r="GD700" s="70">
        <f t="shared" si="613"/>
        <v>1.1344086021505375</v>
      </c>
      <c r="GE700" s="70">
        <f t="shared" si="614"/>
        <v>2.5</v>
      </c>
      <c r="GF700" s="15">
        <f t="shared" si="615"/>
        <v>0.12611145976286497</v>
      </c>
      <c r="GG700" s="15">
        <f>((GC700*GC700)/(AR700*GA700*GA700)+(FZ700*FZ700)/(AR700*FX700*FX700))</f>
        <v>5.000000000000001E-3</v>
      </c>
      <c r="HE700" s="70">
        <v>6615</v>
      </c>
      <c r="HF700" s="70">
        <f t="shared" si="595"/>
        <v>330.75</v>
      </c>
      <c r="HG700" s="15">
        <f>HF700*SQRT(AR390)</f>
        <v>572.8758046034061</v>
      </c>
      <c r="HH700" s="70">
        <v>7305</v>
      </c>
      <c r="HI700" s="70">
        <f t="shared" si="596"/>
        <v>365.25</v>
      </c>
      <c r="HJ700" s="15">
        <f>HI700*SQRT(AR390)</f>
        <v>632.63155746453242</v>
      </c>
      <c r="HK700" s="70">
        <f t="shared" si="566"/>
        <v>1.1043083900226758</v>
      </c>
      <c r="HL700" s="15">
        <f t="shared" si="567"/>
        <v>690</v>
      </c>
      <c r="HM700" s="15">
        <f t="shared" si="568"/>
        <v>9.9219247635744523E-2</v>
      </c>
      <c r="HN700" s="15">
        <f>((HJ700*HJ700)/(AR390*HH700*HH700)+(HG700*HG700)/(AR390*HE700*HE700))</f>
        <v>4.9999999999999992E-3</v>
      </c>
      <c r="HP700" s="15" t="s">
        <v>766</v>
      </c>
      <c r="HV700" s="15">
        <f t="shared" si="569"/>
        <v>161.15824682225747</v>
      </c>
      <c r="HW700" s="15">
        <f t="shared" si="598"/>
        <v>9.9219247635744523E-2</v>
      </c>
      <c r="HX700" s="15">
        <f t="shared" si="590"/>
        <v>1599</v>
      </c>
      <c r="HY700" s="15">
        <f t="shared" si="591"/>
        <v>7995</v>
      </c>
      <c r="HZ700" s="15">
        <f t="shared" si="592"/>
        <v>13.324999999999999</v>
      </c>
      <c r="IA700" s="15">
        <f t="shared" si="593"/>
        <v>1599</v>
      </c>
    </row>
    <row r="701" spans="1:235" s="15" customFormat="1" x14ac:dyDescent="0.25">
      <c r="A701" s="31">
        <v>699</v>
      </c>
      <c r="B701" s="60">
        <v>99</v>
      </c>
      <c r="C701" s="1">
        <v>119</v>
      </c>
      <c r="D701" s="15" t="s">
        <v>1570</v>
      </c>
      <c r="E701" s="1">
        <v>5</v>
      </c>
      <c r="F701" s="15" t="s">
        <v>798</v>
      </c>
      <c r="G701" s="70" t="s">
        <v>1556</v>
      </c>
      <c r="H701" s="70" t="s">
        <v>1557</v>
      </c>
      <c r="I701" s="60">
        <v>2021</v>
      </c>
      <c r="J701" s="70" t="s">
        <v>1576</v>
      </c>
      <c r="K701" s="60" t="s">
        <v>1577</v>
      </c>
      <c r="L701" s="70" t="s">
        <v>1578</v>
      </c>
      <c r="M701" s="15" t="s">
        <v>480</v>
      </c>
      <c r="N701" s="15" t="s">
        <v>520</v>
      </c>
      <c r="O701" s="31">
        <v>2</v>
      </c>
      <c r="P701" s="70">
        <v>35.090000000000003</v>
      </c>
      <c r="Q701" s="70">
        <v>118.4</v>
      </c>
      <c r="S701" s="70">
        <v>800</v>
      </c>
      <c r="T701" s="70">
        <v>13.1</v>
      </c>
      <c r="U701" s="15" t="s">
        <v>549</v>
      </c>
      <c r="V701" s="31">
        <v>1</v>
      </c>
      <c r="W701" s="70" t="s">
        <v>1179</v>
      </c>
      <c r="X701" s="70" t="s">
        <v>729</v>
      </c>
      <c r="Y701" s="61">
        <v>11</v>
      </c>
      <c r="Z701" s="15">
        <v>6.07</v>
      </c>
      <c r="AA701" s="15" t="s">
        <v>574</v>
      </c>
      <c r="AB701" s="15">
        <f t="shared" si="564"/>
        <v>6.07</v>
      </c>
      <c r="AC701" s="1">
        <v>5</v>
      </c>
      <c r="AD701" s="15">
        <v>14.9</v>
      </c>
      <c r="AM701" s="1"/>
      <c r="AN701" s="15">
        <v>1.41</v>
      </c>
      <c r="AP701" s="15" t="s">
        <v>1580</v>
      </c>
      <c r="AQ701" s="1">
        <v>2</v>
      </c>
      <c r="AR701" s="1">
        <v>3</v>
      </c>
      <c r="DB701" s="70" t="s">
        <v>731</v>
      </c>
      <c r="DD701" s="15">
        <v>8364</v>
      </c>
      <c r="DE701" s="15">
        <f t="shared" si="597"/>
        <v>8364</v>
      </c>
      <c r="DF701" s="15" t="s">
        <v>766</v>
      </c>
      <c r="DS701" s="15">
        <f>DE701</f>
        <v>8364</v>
      </c>
      <c r="DT701" s="15">
        <f t="shared" si="579"/>
        <v>13.94</v>
      </c>
      <c r="DU701" s="15">
        <f t="shared" si="580"/>
        <v>1672.8000000000002</v>
      </c>
      <c r="EZ701" s="15">
        <v>1.39</v>
      </c>
      <c r="FA701" s="15">
        <f t="shared" si="599"/>
        <v>6.9499999999999992E-2</v>
      </c>
      <c r="FB701" s="15">
        <f>FA701*SQRT(AR701)</f>
        <v>0.12037753112603695</v>
      </c>
      <c r="FC701" s="15">
        <v>1.35</v>
      </c>
      <c r="FD701" s="15">
        <f t="shared" si="600"/>
        <v>6.7500000000000004E-2</v>
      </c>
      <c r="FE701" s="15">
        <f>FD701*SQRT(AR701)</f>
        <v>0.11691342951089922</v>
      </c>
      <c r="FF701" s="15">
        <f t="shared" si="601"/>
        <v>0.97122302158273399</v>
      </c>
      <c r="FG701" s="15">
        <f t="shared" si="602"/>
        <v>-3.9999999999999813E-2</v>
      </c>
      <c r="FH701" s="15">
        <f t="shared" si="603"/>
        <v>-2.9199154692262141E-2</v>
      </c>
      <c r="FI701" s="15">
        <f>((FE701*FE701)/(AR701*FC701*FC701)+(FB701*FB701)/(AR701*EZ701*EZ701))</f>
        <v>4.9999999999999992E-3</v>
      </c>
      <c r="FK701" s="16">
        <f t="shared" si="604"/>
        <v>6.03</v>
      </c>
      <c r="FL701" s="16">
        <f t="shared" si="605"/>
        <v>6.06</v>
      </c>
      <c r="FM701" s="15">
        <v>6.03</v>
      </c>
      <c r="FN701" s="15">
        <f t="shared" si="606"/>
        <v>0.30150000000000005</v>
      </c>
      <c r="FO701" s="15">
        <f>FN701*SQRT(AR701)</f>
        <v>0.52221331848201658</v>
      </c>
      <c r="FP701" s="15">
        <v>6.06</v>
      </c>
      <c r="FQ701" s="15">
        <f t="shared" si="607"/>
        <v>0.30299999999999999</v>
      </c>
      <c r="FR701" s="15">
        <f>FQ701*SQRT(AR701)</f>
        <v>0.52481139469336979</v>
      </c>
      <c r="FS701" s="15">
        <f t="shared" si="608"/>
        <v>1.0049751243781093</v>
      </c>
      <c r="FT701" s="15">
        <f t="shared" si="609"/>
        <v>2.9999999999999361E-2</v>
      </c>
      <c r="FU701" s="15">
        <f t="shared" si="610"/>
        <v>4.9627893421289038E-3</v>
      </c>
      <c r="FV701" s="15">
        <f>((FR701*FR701)/(AR701*FP701*FP701)+(FO701*FO701)/(AR701*FM701*FM701))</f>
        <v>5.000000000000001E-3</v>
      </c>
      <c r="FX701" s="15">
        <v>15.4</v>
      </c>
      <c r="FY701" s="15">
        <f t="shared" si="611"/>
        <v>0.77</v>
      </c>
      <c r="FZ701" s="15">
        <f>FY701*SQRT(AR701)</f>
        <v>1.3336791218280355</v>
      </c>
      <c r="GA701" s="15">
        <v>15.5</v>
      </c>
      <c r="GB701" s="15">
        <f t="shared" si="612"/>
        <v>0.77500000000000002</v>
      </c>
      <c r="GC701" s="15">
        <f>GB701*SQRT(AR701)</f>
        <v>1.3423393758658799</v>
      </c>
      <c r="GD701" s="15">
        <f t="shared" si="613"/>
        <v>1.0064935064935066</v>
      </c>
      <c r="GE701" s="15">
        <f t="shared" si="614"/>
        <v>9.9999999999999645E-2</v>
      </c>
      <c r="GF701" s="15">
        <f t="shared" si="615"/>
        <v>6.4725145056172551E-3</v>
      </c>
      <c r="GG701" s="15">
        <f>((GC701*GC701)/(AR701*GA701*GA701)+(FZ701*FZ701)/(AR701*FX701*FX701))</f>
        <v>5.0000000000000001E-3</v>
      </c>
      <c r="HE701" s="15">
        <v>6450</v>
      </c>
      <c r="HF701" s="15">
        <f t="shared" si="595"/>
        <v>322.5</v>
      </c>
      <c r="HG701" s="15">
        <f>HF701*SQRT(AR391)</f>
        <v>558.58638544096289</v>
      </c>
      <c r="HH701" s="15">
        <v>6750</v>
      </c>
      <c r="HI701" s="15">
        <f t="shared" si="596"/>
        <v>337.5</v>
      </c>
      <c r="HJ701" s="15">
        <f>HI701*SQRT(AR391)</f>
        <v>584.56714755449605</v>
      </c>
      <c r="HK701" s="15">
        <f t="shared" si="566"/>
        <v>1.0465116279069768</v>
      </c>
      <c r="HL701" s="15">
        <f t="shared" si="567"/>
        <v>300</v>
      </c>
      <c r="HM701" s="15">
        <f t="shared" si="568"/>
        <v>4.5462374076757683E-2</v>
      </c>
      <c r="HN701" s="15">
        <f>((HJ701*HJ701)/(AR391*HH701*HH701)+(HG701*HG701)/(AR391*HE701*HE701))</f>
        <v>4.9999999999999992E-3</v>
      </c>
      <c r="HP701" s="15" t="s">
        <v>766</v>
      </c>
      <c r="HV701" s="15">
        <f t="shared" si="569"/>
        <v>367.95262763349774</v>
      </c>
      <c r="HW701" s="15">
        <f t="shared" si="598"/>
        <v>4.5462374076757683E-2</v>
      </c>
      <c r="HX701" s="15">
        <f t="shared" si="590"/>
        <v>1672.8000000000002</v>
      </c>
      <c r="HY701" s="15">
        <f t="shared" si="591"/>
        <v>8364</v>
      </c>
      <c r="HZ701" s="15">
        <f t="shared" si="592"/>
        <v>13.94</v>
      </c>
      <c r="IA701" s="15">
        <f t="shared" si="593"/>
        <v>1672.8000000000002</v>
      </c>
    </row>
    <row r="702" spans="1:235" s="15" customFormat="1" x14ac:dyDescent="0.25">
      <c r="A702" s="31">
        <v>700</v>
      </c>
      <c r="B702" s="60">
        <v>99</v>
      </c>
      <c r="C702" s="1">
        <v>119</v>
      </c>
      <c r="D702" s="15" t="s">
        <v>1571</v>
      </c>
      <c r="E702" s="1">
        <v>5</v>
      </c>
      <c r="F702" s="15" t="s">
        <v>798</v>
      </c>
      <c r="G702" s="70" t="s">
        <v>1556</v>
      </c>
      <c r="H702" s="70" t="s">
        <v>1557</v>
      </c>
      <c r="I702" s="60">
        <v>2021</v>
      </c>
      <c r="J702" s="70" t="s">
        <v>1576</v>
      </c>
      <c r="K702" s="60" t="s">
        <v>1577</v>
      </c>
      <c r="L702" s="70" t="s">
        <v>1578</v>
      </c>
      <c r="M702" s="15" t="s">
        <v>480</v>
      </c>
      <c r="N702" s="15" t="s">
        <v>520</v>
      </c>
      <c r="O702" s="31">
        <v>2</v>
      </c>
      <c r="P702" s="70">
        <v>35.090000000000003</v>
      </c>
      <c r="Q702" s="70">
        <v>118.4</v>
      </c>
      <c r="S702" s="70">
        <v>800</v>
      </c>
      <c r="T702" s="70">
        <v>13.1</v>
      </c>
      <c r="U702" s="15" t="s">
        <v>549</v>
      </c>
      <c r="V702" s="31">
        <v>1</v>
      </c>
      <c r="W702" s="70" t="s">
        <v>1179</v>
      </c>
      <c r="X702" s="70" t="s">
        <v>729</v>
      </c>
      <c r="Y702" s="61">
        <v>11</v>
      </c>
      <c r="Z702" s="15">
        <v>6.07</v>
      </c>
      <c r="AA702" s="15" t="s">
        <v>574</v>
      </c>
      <c r="AB702" s="15">
        <f t="shared" si="564"/>
        <v>6.07</v>
      </c>
      <c r="AC702" s="1">
        <v>5</v>
      </c>
      <c r="AD702" s="15">
        <v>14.9</v>
      </c>
      <c r="AM702" s="1"/>
      <c r="AN702" s="15">
        <v>1.41</v>
      </c>
      <c r="AP702" s="15" t="s">
        <v>1580</v>
      </c>
      <c r="AQ702" s="1">
        <v>2</v>
      </c>
      <c r="AR702" s="1">
        <v>3</v>
      </c>
      <c r="DB702" s="70" t="s">
        <v>731</v>
      </c>
      <c r="DD702" s="15">
        <v>8364</v>
      </c>
      <c r="DE702" s="15">
        <f t="shared" si="597"/>
        <v>8364</v>
      </c>
      <c r="DF702" s="15" t="s">
        <v>766</v>
      </c>
      <c r="DS702" s="15">
        <f>DE702</f>
        <v>8364</v>
      </c>
      <c r="DT702" s="15">
        <f t="shared" si="579"/>
        <v>13.94</v>
      </c>
      <c r="DU702" s="15">
        <f t="shared" si="580"/>
        <v>1672.8000000000002</v>
      </c>
      <c r="EZ702" s="15">
        <v>1.38</v>
      </c>
      <c r="FA702" s="15">
        <f t="shared" si="599"/>
        <v>6.8999999999999992E-2</v>
      </c>
      <c r="FB702" s="15">
        <f>FA702*SQRT(AR702)</f>
        <v>0.11951150572225251</v>
      </c>
      <c r="FC702" s="15">
        <v>1.32</v>
      </c>
      <c r="FD702" s="15">
        <f t="shared" si="600"/>
        <v>6.6000000000000003E-2</v>
      </c>
      <c r="FE702" s="15">
        <f>FD702*SQRT(AR702)</f>
        <v>0.1143153532995459</v>
      </c>
      <c r="FF702" s="15">
        <f t="shared" si="601"/>
        <v>0.95652173913043492</v>
      </c>
      <c r="FG702" s="15">
        <f t="shared" si="602"/>
        <v>-5.9999999999999831E-2</v>
      </c>
      <c r="FH702" s="15">
        <f t="shared" si="603"/>
        <v>-4.4451762570833664E-2</v>
      </c>
      <c r="FI702" s="15">
        <f>((FE702*FE702)/(AR702*FC702*FC702)+(FB702*FB702)/(AR702*EZ702*EZ702))</f>
        <v>4.9999999999999992E-3</v>
      </c>
      <c r="FK702" s="16">
        <f t="shared" si="604"/>
        <v>6.03</v>
      </c>
      <c r="FL702" s="16">
        <f t="shared" si="605"/>
        <v>6.09</v>
      </c>
      <c r="FM702" s="15">
        <v>6.03</v>
      </c>
      <c r="FN702" s="15">
        <f t="shared" si="606"/>
        <v>0.30150000000000005</v>
      </c>
      <c r="FO702" s="15">
        <f>FN702*SQRT(AR702)</f>
        <v>0.52221331848201658</v>
      </c>
      <c r="FP702" s="15">
        <v>6.09</v>
      </c>
      <c r="FQ702" s="15">
        <f t="shared" si="607"/>
        <v>0.30449999999999999</v>
      </c>
      <c r="FR702" s="15">
        <f>FQ702*SQRT(AR702)</f>
        <v>0.52740947090472312</v>
      </c>
      <c r="FS702" s="15">
        <f t="shared" si="608"/>
        <v>1.0099502487562189</v>
      </c>
      <c r="FT702" s="15">
        <f t="shared" si="609"/>
        <v>5.9999999999999609E-2</v>
      </c>
      <c r="FU702" s="15">
        <f t="shared" si="610"/>
        <v>9.9010709827114241E-3</v>
      </c>
      <c r="FV702" s="15">
        <f>((FR702*FR702)/(AR702*FP702*FP702)+(FO702*FO702)/(AR702*FM702*FM702))</f>
        <v>5.0000000000000001E-3</v>
      </c>
      <c r="FX702" s="15">
        <v>16.100000000000001</v>
      </c>
      <c r="FY702" s="15">
        <f t="shared" si="611"/>
        <v>0.80500000000000016</v>
      </c>
      <c r="FZ702" s="15">
        <f>FY702*SQRT(AR702)</f>
        <v>1.3943009000929465</v>
      </c>
      <c r="GA702" s="15">
        <v>17.5</v>
      </c>
      <c r="GB702" s="15">
        <f t="shared" si="612"/>
        <v>0.875</v>
      </c>
      <c r="GC702" s="15">
        <f>GB702*SQRT(AR702)</f>
        <v>1.5155444566227676</v>
      </c>
      <c r="GD702" s="15">
        <f t="shared" si="613"/>
        <v>1.0869565217391304</v>
      </c>
      <c r="GE702" s="15">
        <f t="shared" si="614"/>
        <v>1.3999999999999986</v>
      </c>
      <c r="GF702" s="15">
        <f t="shared" si="615"/>
        <v>8.3381608939051333E-2</v>
      </c>
      <c r="GG702" s="15">
        <f>((GC702*GC702)/(AR702*GA702*GA702)+(FZ702*FZ702)/(AR702*FX702*FX702))</f>
        <v>5.000000000000001E-3</v>
      </c>
      <c r="HE702" s="15">
        <v>6570</v>
      </c>
      <c r="HF702" s="15">
        <f t="shared" si="595"/>
        <v>328.5</v>
      </c>
      <c r="HG702" s="15">
        <f>HF702*SQRT(AR392)</f>
        <v>568.97869028637615</v>
      </c>
      <c r="HH702" s="15">
        <v>7035</v>
      </c>
      <c r="HI702" s="15">
        <f t="shared" si="596"/>
        <v>351.75</v>
      </c>
      <c r="HJ702" s="15">
        <f>HI702*SQRT(AR392)</f>
        <v>609.24887156235252</v>
      </c>
      <c r="HK702" s="15">
        <f t="shared" si="566"/>
        <v>1.0707762557077625</v>
      </c>
      <c r="HL702" s="15">
        <f t="shared" si="567"/>
        <v>465</v>
      </c>
      <c r="HM702" s="15">
        <f t="shared" si="568"/>
        <v>6.8383858069832826E-2</v>
      </c>
      <c r="HN702" s="15">
        <f>((HJ702*HJ702)/(AR392*HH702*HH702)+(HG702*HG702)/(AR392*HE702*HE702))</f>
        <v>4.9999999999999992E-3</v>
      </c>
      <c r="HP702" s="15" t="s">
        <v>766</v>
      </c>
      <c r="HV702" s="15">
        <f t="shared" si="569"/>
        <v>244.61913194364607</v>
      </c>
      <c r="HW702" s="15">
        <f t="shared" si="598"/>
        <v>6.8383858069832826E-2</v>
      </c>
      <c r="HX702" s="15">
        <f t="shared" si="590"/>
        <v>1672.8000000000002</v>
      </c>
      <c r="HY702" s="15">
        <f t="shared" si="591"/>
        <v>8364</v>
      </c>
      <c r="HZ702" s="15">
        <f t="shared" si="592"/>
        <v>13.94</v>
      </c>
      <c r="IA702" s="15">
        <f t="shared" si="593"/>
        <v>1672.8000000000002</v>
      </c>
    </row>
    <row r="703" spans="1:235" s="15" customFormat="1" x14ac:dyDescent="0.25">
      <c r="A703" s="31">
        <v>701</v>
      </c>
      <c r="B703" s="60">
        <v>99</v>
      </c>
      <c r="C703" s="1">
        <v>119</v>
      </c>
      <c r="D703" s="15" t="s">
        <v>1572</v>
      </c>
      <c r="E703" s="1">
        <v>5</v>
      </c>
      <c r="F703" s="15" t="s">
        <v>798</v>
      </c>
      <c r="G703" s="70" t="s">
        <v>1556</v>
      </c>
      <c r="H703" s="70" t="s">
        <v>1557</v>
      </c>
      <c r="I703" s="60">
        <v>2021</v>
      </c>
      <c r="J703" s="70" t="s">
        <v>1576</v>
      </c>
      <c r="K703" s="60" t="s">
        <v>1577</v>
      </c>
      <c r="L703" s="70" t="s">
        <v>1578</v>
      </c>
      <c r="M703" s="15" t="s">
        <v>480</v>
      </c>
      <c r="N703" s="15" t="s">
        <v>520</v>
      </c>
      <c r="O703" s="31">
        <v>2</v>
      </c>
      <c r="P703" s="70">
        <v>35.090000000000003</v>
      </c>
      <c r="Q703" s="70">
        <v>118.4</v>
      </c>
      <c r="S703" s="70">
        <v>800</v>
      </c>
      <c r="T703" s="70">
        <v>13.1</v>
      </c>
      <c r="U703" s="15" t="s">
        <v>549</v>
      </c>
      <c r="V703" s="31">
        <v>1</v>
      </c>
      <c r="W703" s="70" t="s">
        <v>1179</v>
      </c>
      <c r="X703" s="70" t="s">
        <v>729</v>
      </c>
      <c r="Y703" s="61">
        <v>11</v>
      </c>
      <c r="Z703" s="15">
        <v>6.07</v>
      </c>
      <c r="AA703" s="15" t="s">
        <v>574</v>
      </c>
      <c r="AB703" s="15">
        <f t="shared" si="564"/>
        <v>6.07</v>
      </c>
      <c r="AC703" s="1">
        <v>5</v>
      </c>
      <c r="AD703" s="15">
        <v>14.9</v>
      </c>
      <c r="AM703" s="1"/>
      <c r="AN703" s="15">
        <v>1.41</v>
      </c>
      <c r="AP703" s="15" t="s">
        <v>1580</v>
      </c>
      <c r="AQ703" s="1">
        <v>2</v>
      </c>
      <c r="AR703" s="1">
        <v>3</v>
      </c>
      <c r="DB703" s="70" t="s">
        <v>731</v>
      </c>
      <c r="DD703" s="15">
        <v>8364</v>
      </c>
      <c r="DE703" s="15">
        <f t="shared" si="597"/>
        <v>8364</v>
      </c>
      <c r="DF703" s="15" t="s">
        <v>766</v>
      </c>
      <c r="DS703" s="15">
        <f>DE703</f>
        <v>8364</v>
      </c>
      <c r="DT703" s="15">
        <f t="shared" si="579"/>
        <v>13.94</v>
      </c>
      <c r="DU703" s="15">
        <f t="shared" si="580"/>
        <v>1672.8000000000002</v>
      </c>
      <c r="EZ703" s="15">
        <v>1.35</v>
      </c>
      <c r="FA703" s="15">
        <f t="shared" si="599"/>
        <v>6.7500000000000004E-2</v>
      </c>
      <c r="FB703" s="15">
        <f>FA703*SQRT(AR703)</f>
        <v>0.11691342951089922</v>
      </c>
      <c r="FC703" s="15">
        <v>1.29</v>
      </c>
      <c r="FD703" s="15">
        <f t="shared" si="600"/>
        <v>6.4500000000000002E-2</v>
      </c>
      <c r="FE703" s="15">
        <f>FD703*SQRT(AR703)</f>
        <v>0.11171727708819258</v>
      </c>
      <c r="FF703" s="15">
        <f t="shared" si="601"/>
        <v>0.95555555555555549</v>
      </c>
      <c r="FG703" s="15">
        <f t="shared" si="602"/>
        <v>-6.0000000000000053E-2</v>
      </c>
      <c r="FH703" s="15">
        <f t="shared" si="603"/>
        <v>-4.5462374076757406E-2</v>
      </c>
      <c r="FI703" s="15">
        <f>((FE703*FE703)/(AR703*FC703*FC703)+(FB703*FB703)/(AR703*EZ703*EZ703))</f>
        <v>4.9999999999999992E-3</v>
      </c>
      <c r="FK703" s="16">
        <f t="shared" si="604"/>
        <v>6.05</v>
      </c>
      <c r="FL703" s="16">
        <f t="shared" si="605"/>
        <v>6.11</v>
      </c>
      <c r="FM703" s="15">
        <v>6.05</v>
      </c>
      <c r="FN703" s="15">
        <f t="shared" si="606"/>
        <v>0.30249999999999999</v>
      </c>
      <c r="FO703" s="15">
        <f>FN703*SQRT(AR703)</f>
        <v>0.52394536928958535</v>
      </c>
      <c r="FP703" s="15">
        <v>6.11</v>
      </c>
      <c r="FQ703" s="15">
        <f t="shared" si="607"/>
        <v>0.30550000000000005</v>
      </c>
      <c r="FR703" s="15">
        <f>FQ703*SQRT(AR703)</f>
        <v>0.52914152171229212</v>
      </c>
      <c r="FS703" s="15">
        <f t="shared" si="608"/>
        <v>1.009917355371901</v>
      </c>
      <c r="FT703" s="15">
        <f t="shared" si="609"/>
        <v>6.0000000000000497E-2</v>
      </c>
      <c r="FU703" s="15">
        <f t="shared" si="610"/>
        <v>9.8685011407539935E-3</v>
      </c>
      <c r="FV703" s="15">
        <f>((FR703*FR703)/(AR703*FP703*FP703)+(FO703*FO703)/(AR703*FM703*FM703))</f>
        <v>5.000000000000001E-3</v>
      </c>
      <c r="FX703" s="15">
        <v>16.3</v>
      </c>
      <c r="FY703" s="15">
        <f t="shared" si="611"/>
        <v>0.81500000000000006</v>
      </c>
      <c r="FZ703" s="15">
        <f>FY703*SQRT(AR703)</f>
        <v>1.4116214081686349</v>
      </c>
      <c r="GA703" s="15">
        <v>18.5</v>
      </c>
      <c r="GB703" s="15">
        <f t="shared" si="612"/>
        <v>0.92500000000000004</v>
      </c>
      <c r="GC703" s="15">
        <f>GB703*SQRT(AR703)</f>
        <v>1.6021469970012114</v>
      </c>
      <c r="GD703" s="15">
        <f t="shared" si="613"/>
        <v>1.1349693251533741</v>
      </c>
      <c r="GE703" s="15">
        <f t="shared" si="614"/>
        <v>2.1999999999999993</v>
      </c>
      <c r="GF703" s="15">
        <f t="shared" si="615"/>
        <v>0.12660562427156208</v>
      </c>
      <c r="GG703" s="15">
        <f>((GC703*GC703)/(AR703*GA703*GA703)+(FZ703*FZ703)/(AR703*FX703*FX703))</f>
        <v>4.9999999999999992E-3</v>
      </c>
      <c r="HE703" s="15">
        <v>6525</v>
      </c>
      <c r="HF703" s="15">
        <f t="shared" si="595"/>
        <v>326.25</v>
      </c>
      <c r="HG703" s="15">
        <f>HF703*SQRT(AR393)</f>
        <v>565.0815759693462</v>
      </c>
      <c r="HH703" s="15">
        <v>7170</v>
      </c>
      <c r="HI703" s="15">
        <f t="shared" si="596"/>
        <v>358.5</v>
      </c>
      <c r="HJ703" s="15">
        <f>HI703*SQRT(AR393)</f>
        <v>620.94021451344247</v>
      </c>
      <c r="HK703" s="15">
        <f t="shared" si="566"/>
        <v>1.0988505747126436</v>
      </c>
      <c r="HL703" s="15">
        <f t="shared" si="567"/>
        <v>645</v>
      </c>
      <c r="HM703" s="15">
        <f t="shared" si="568"/>
        <v>9.4264701402773099E-2</v>
      </c>
      <c r="HN703" s="15">
        <f>((HJ703*HJ703)/(AR393*HH703*HH703)+(HG703*HG703)/(AR393*HE703*HE703))</f>
        <v>4.9999999999999992E-3</v>
      </c>
      <c r="HP703" s="15" t="s">
        <v>766</v>
      </c>
      <c r="HV703" s="15">
        <f t="shared" si="569"/>
        <v>177.45773074191155</v>
      </c>
      <c r="HW703" s="15">
        <f t="shared" si="598"/>
        <v>9.4264701402773099E-2</v>
      </c>
      <c r="HX703" s="15">
        <f t="shared" si="590"/>
        <v>1672.8000000000002</v>
      </c>
      <c r="HY703" s="15">
        <f t="shared" si="591"/>
        <v>8364</v>
      </c>
      <c r="HZ703" s="15">
        <f t="shared" si="592"/>
        <v>13.94</v>
      </c>
      <c r="IA703" s="15">
        <f t="shared" si="593"/>
        <v>1672.8000000000002</v>
      </c>
    </row>
    <row r="704" spans="1:235" s="15" customFormat="1" x14ac:dyDescent="0.25">
      <c r="A704" s="31">
        <v>702</v>
      </c>
      <c r="B704" s="60">
        <v>99</v>
      </c>
      <c r="C704" s="1">
        <v>119</v>
      </c>
      <c r="D704" s="15" t="s">
        <v>1573</v>
      </c>
      <c r="E704" s="1">
        <v>5</v>
      </c>
      <c r="F704" s="15" t="s">
        <v>798</v>
      </c>
      <c r="G704" s="70" t="s">
        <v>1556</v>
      </c>
      <c r="H704" s="70" t="s">
        <v>1557</v>
      </c>
      <c r="I704" s="60">
        <v>2021</v>
      </c>
      <c r="J704" s="70" t="s">
        <v>1576</v>
      </c>
      <c r="K704" s="60" t="s">
        <v>1577</v>
      </c>
      <c r="L704" s="70" t="s">
        <v>1578</v>
      </c>
      <c r="M704" s="15" t="s">
        <v>480</v>
      </c>
      <c r="N704" s="15" t="s">
        <v>520</v>
      </c>
      <c r="O704" s="31">
        <v>2</v>
      </c>
      <c r="P704" s="70">
        <v>35.090000000000003</v>
      </c>
      <c r="Q704" s="70">
        <v>118.4</v>
      </c>
      <c r="S704" s="70">
        <v>800</v>
      </c>
      <c r="T704" s="70">
        <v>13.1</v>
      </c>
      <c r="U704" s="15" t="s">
        <v>549</v>
      </c>
      <c r="V704" s="31">
        <v>1</v>
      </c>
      <c r="W704" s="70" t="s">
        <v>1179</v>
      </c>
      <c r="X704" s="70" t="s">
        <v>731</v>
      </c>
      <c r="Y704" s="1">
        <v>12</v>
      </c>
      <c r="Z704" s="15">
        <v>6.07</v>
      </c>
      <c r="AA704" s="15" t="s">
        <v>574</v>
      </c>
      <c r="AB704" s="15">
        <f t="shared" si="564"/>
        <v>6.07</v>
      </c>
      <c r="AC704" s="1">
        <v>5</v>
      </c>
      <c r="AD704" s="15">
        <v>14.9</v>
      </c>
      <c r="AM704" s="1"/>
      <c r="AN704" s="15">
        <v>1.41</v>
      </c>
      <c r="AP704" s="15" t="s">
        <v>1580</v>
      </c>
      <c r="AQ704" s="1">
        <v>2</v>
      </c>
      <c r="AR704" s="1">
        <v>3</v>
      </c>
      <c r="DB704" s="70" t="s">
        <v>731</v>
      </c>
      <c r="DD704" s="15">
        <v>8364</v>
      </c>
      <c r="DE704" s="15">
        <f t="shared" si="597"/>
        <v>8364</v>
      </c>
      <c r="DF704" s="15" t="s">
        <v>766</v>
      </c>
      <c r="DS704" s="15">
        <f>DE704</f>
        <v>8364</v>
      </c>
      <c r="DT704" s="15">
        <f t="shared" si="579"/>
        <v>13.94</v>
      </c>
      <c r="DU704" s="15">
        <f t="shared" si="580"/>
        <v>1672.8000000000002</v>
      </c>
      <c r="EZ704" s="15">
        <v>1.39</v>
      </c>
      <c r="FA704" s="15">
        <f t="shared" si="599"/>
        <v>6.9499999999999992E-2</v>
      </c>
      <c r="FB704" s="15">
        <f>FA704*SQRT(AR704)</f>
        <v>0.12037753112603695</v>
      </c>
      <c r="FC704" s="15">
        <v>1.35</v>
      </c>
      <c r="FD704" s="15">
        <f t="shared" si="600"/>
        <v>6.7500000000000004E-2</v>
      </c>
      <c r="FE704" s="15">
        <f>FD704*SQRT(AR704)</f>
        <v>0.11691342951089922</v>
      </c>
      <c r="FF704" s="15">
        <f t="shared" si="601"/>
        <v>0.97122302158273399</v>
      </c>
      <c r="FG704" s="15">
        <f t="shared" si="602"/>
        <v>-3.9999999999999813E-2</v>
      </c>
      <c r="FH704" s="15">
        <f t="shared" si="603"/>
        <v>-2.9199154692262141E-2</v>
      </c>
      <c r="FI704" s="15">
        <f>((FE704*FE704)/(AR704*FC704*FC704)+(FB704*FB704)/(AR704*EZ704*EZ704))</f>
        <v>4.9999999999999992E-3</v>
      </c>
      <c r="FK704" s="16">
        <f t="shared" si="604"/>
        <v>6.03</v>
      </c>
      <c r="FL704" s="16">
        <f t="shared" si="605"/>
        <v>6.06</v>
      </c>
      <c r="FM704" s="15">
        <v>6.03</v>
      </c>
      <c r="FN704" s="15">
        <f t="shared" si="606"/>
        <v>0.30150000000000005</v>
      </c>
      <c r="FO704" s="15">
        <f>FN704*SQRT(AR704)</f>
        <v>0.52221331848201658</v>
      </c>
      <c r="FP704" s="15">
        <v>6.06</v>
      </c>
      <c r="FQ704" s="15">
        <f t="shared" si="607"/>
        <v>0.30299999999999999</v>
      </c>
      <c r="FR704" s="15">
        <f>FQ704*SQRT(AR704)</f>
        <v>0.52481139469336979</v>
      </c>
      <c r="FS704" s="15">
        <f t="shared" si="608"/>
        <v>1.0049751243781093</v>
      </c>
      <c r="FT704" s="15">
        <f t="shared" si="609"/>
        <v>2.9999999999999361E-2</v>
      </c>
      <c r="FU704" s="15">
        <f t="shared" si="610"/>
        <v>4.9627893421289038E-3</v>
      </c>
      <c r="FV704" s="15">
        <f>((FR704*FR704)/(AR704*FP704*FP704)+(FO704*FO704)/(AR704*FM704*FM704))</f>
        <v>5.000000000000001E-3</v>
      </c>
      <c r="FX704" s="15">
        <v>15.4</v>
      </c>
      <c r="FY704" s="15">
        <f t="shared" si="611"/>
        <v>0.77</v>
      </c>
      <c r="FZ704" s="15">
        <f>FY704*SQRT(AR704)</f>
        <v>1.3336791218280355</v>
      </c>
      <c r="GA704" s="15">
        <v>15.5</v>
      </c>
      <c r="GB704" s="15">
        <f t="shared" si="612"/>
        <v>0.77500000000000002</v>
      </c>
      <c r="GC704" s="15">
        <f>GB704*SQRT(AR704)</f>
        <v>1.3423393758658799</v>
      </c>
      <c r="GD704" s="15">
        <f t="shared" si="613"/>
        <v>1.0064935064935066</v>
      </c>
      <c r="GE704" s="15">
        <f t="shared" si="614"/>
        <v>9.9999999999999645E-2</v>
      </c>
      <c r="GF704" s="15">
        <f t="shared" si="615"/>
        <v>6.4725145056172551E-3</v>
      </c>
      <c r="GG704" s="15">
        <f>((GC704*GC704)/(AR704*GA704*GA704)+(FZ704*FZ704)/(AR704*FX704*FX704))</f>
        <v>5.0000000000000001E-3</v>
      </c>
      <c r="HE704" s="15">
        <v>6615</v>
      </c>
      <c r="HF704" s="15">
        <f t="shared" si="595"/>
        <v>330.75</v>
      </c>
      <c r="HG704" s="15">
        <f>HF704*SQRT(AR394)</f>
        <v>572.8758046034061</v>
      </c>
      <c r="HH704" s="15">
        <v>7035</v>
      </c>
      <c r="HI704" s="15">
        <f t="shared" si="596"/>
        <v>351.75</v>
      </c>
      <c r="HJ704" s="15">
        <f>HI704*SQRT(AR394)</f>
        <v>609.24887156235252</v>
      </c>
      <c r="HK704" s="15">
        <f t="shared" si="566"/>
        <v>1.0634920634920635</v>
      </c>
      <c r="HL704" s="15">
        <f t="shared" si="567"/>
        <v>420</v>
      </c>
      <c r="HM704" s="15">
        <f t="shared" si="568"/>
        <v>6.155789299943315E-2</v>
      </c>
      <c r="HN704" s="15">
        <f>((HJ704*HJ704)/(AR394*HH704*HH704)+(HG704*HG704)/(AR394*HE704*HE704))</f>
        <v>4.9999999999999992E-3</v>
      </c>
      <c r="HP704" s="15" t="s">
        <v>766</v>
      </c>
      <c r="HV704" s="15">
        <f t="shared" si="569"/>
        <v>271.74419371621508</v>
      </c>
      <c r="HW704" s="15">
        <f t="shared" si="598"/>
        <v>6.155789299943315E-2</v>
      </c>
      <c r="HX704" s="15">
        <f t="shared" si="590"/>
        <v>1672.8000000000002</v>
      </c>
      <c r="HY704" s="15">
        <f t="shared" si="591"/>
        <v>8364</v>
      </c>
      <c r="HZ704" s="15">
        <f t="shared" si="592"/>
        <v>13.94</v>
      </c>
      <c r="IA704" s="15">
        <f t="shared" si="593"/>
        <v>1672.8000000000002</v>
      </c>
    </row>
    <row r="705" spans="1:235" s="15" customFormat="1" x14ac:dyDescent="0.25">
      <c r="A705" s="31">
        <v>703</v>
      </c>
      <c r="B705" s="60">
        <v>99</v>
      </c>
      <c r="C705" s="1">
        <v>119</v>
      </c>
      <c r="D705" s="15" t="s">
        <v>1574</v>
      </c>
      <c r="E705" s="1">
        <v>5</v>
      </c>
      <c r="F705" s="15" t="s">
        <v>798</v>
      </c>
      <c r="G705" s="70" t="s">
        <v>1556</v>
      </c>
      <c r="H705" s="70" t="s">
        <v>1557</v>
      </c>
      <c r="I705" s="60">
        <v>2021</v>
      </c>
      <c r="J705" s="70" t="s">
        <v>1576</v>
      </c>
      <c r="K705" s="60" t="s">
        <v>1577</v>
      </c>
      <c r="L705" s="70" t="s">
        <v>1578</v>
      </c>
      <c r="M705" s="15" t="s">
        <v>480</v>
      </c>
      <c r="N705" s="15" t="s">
        <v>520</v>
      </c>
      <c r="O705" s="31">
        <v>2</v>
      </c>
      <c r="P705" s="70">
        <v>35.090000000000003</v>
      </c>
      <c r="Q705" s="70">
        <v>118.4</v>
      </c>
      <c r="S705" s="70">
        <v>800</v>
      </c>
      <c r="T705" s="70">
        <v>13.1</v>
      </c>
      <c r="U705" s="15" t="s">
        <v>549</v>
      </c>
      <c r="V705" s="31">
        <v>1</v>
      </c>
      <c r="W705" s="70" t="s">
        <v>1179</v>
      </c>
      <c r="X705" s="70" t="s">
        <v>731</v>
      </c>
      <c r="Y705" s="1">
        <v>12</v>
      </c>
      <c r="Z705" s="15">
        <v>6.07</v>
      </c>
      <c r="AA705" s="15" t="s">
        <v>574</v>
      </c>
      <c r="AB705" s="15">
        <f t="shared" si="564"/>
        <v>6.07</v>
      </c>
      <c r="AC705" s="1">
        <v>5</v>
      </c>
      <c r="AD705" s="15">
        <v>14.9</v>
      </c>
      <c r="AM705" s="1"/>
      <c r="AN705" s="15">
        <v>1.41</v>
      </c>
      <c r="AP705" s="15" t="s">
        <v>1580</v>
      </c>
      <c r="AQ705" s="1">
        <v>2</v>
      </c>
      <c r="AR705" s="1">
        <v>3</v>
      </c>
      <c r="DB705" s="70" t="s">
        <v>731</v>
      </c>
      <c r="DD705" s="15">
        <v>8364</v>
      </c>
      <c r="DE705" s="15">
        <f t="shared" si="597"/>
        <v>8364</v>
      </c>
      <c r="DF705" s="15" t="s">
        <v>766</v>
      </c>
      <c r="DS705" s="15">
        <f>DE705</f>
        <v>8364</v>
      </c>
      <c r="DT705" s="15">
        <f t="shared" si="579"/>
        <v>13.94</v>
      </c>
      <c r="DU705" s="15">
        <f t="shared" si="580"/>
        <v>1672.8000000000002</v>
      </c>
      <c r="EZ705" s="15">
        <v>1.38</v>
      </c>
      <c r="FA705" s="15">
        <f t="shared" si="599"/>
        <v>6.8999999999999992E-2</v>
      </c>
      <c r="FB705" s="15">
        <f>FA705*SQRT(AR705)</f>
        <v>0.11951150572225251</v>
      </c>
      <c r="FC705" s="15">
        <v>1.32</v>
      </c>
      <c r="FD705" s="15">
        <f t="shared" si="600"/>
        <v>6.6000000000000003E-2</v>
      </c>
      <c r="FE705" s="15">
        <f>FD705*SQRT(AR705)</f>
        <v>0.1143153532995459</v>
      </c>
      <c r="FF705" s="15">
        <f t="shared" si="601"/>
        <v>0.95652173913043492</v>
      </c>
      <c r="FG705" s="15">
        <f t="shared" si="602"/>
        <v>-5.9999999999999831E-2</v>
      </c>
      <c r="FH705" s="15">
        <f t="shared" si="603"/>
        <v>-4.4451762570833664E-2</v>
      </c>
      <c r="FI705" s="15">
        <f>((FE705*FE705)/(AR705*FC705*FC705)+(FB705*FB705)/(AR705*EZ705*EZ705))</f>
        <v>4.9999999999999992E-3</v>
      </c>
      <c r="FK705" s="16">
        <f t="shared" si="604"/>
        <v>6.03</v>
      </c>
      <c r="FL705" s="16">
        <f t="shared" si="605"/>
        <v>6.09</v>
      </c>
      <c r="FM705" s="15">
        <v>6.03</v>
      </c>
      <c r="FN705" s="15">
        <f t="shared" si="606"/>
        <v>0.30150000000000005</v>
      </c>
      <c r="FO705" s="15">
        <f>FN705*SQRT(AR705)</f>
        <v>0.52221331848201658</v>
      </c>
      <c r="FP705" s="15">
        <v>6.09</v>
      </c>
      <c r="FQ705" s="15">
        <f t="shared" si="607"/>
        <v>0.30449999999999999</v>
      </c>
      <c r="FR705" s="15">
        <f>FQ705*SQRT(AR705)</f>
        <v>0.52740947090472312</v>
      </c>
      <c r="FS705" s="15">
        <f t="shared" si="608"/>
        <v>1.0099502487562189</v>
      </c>
      <c r="FT705" s="15">
        <f t="shared" si="609"/>
        <v>5.9999999999999609E-2</v>
      </c>
      <c r="FU705" s="15">
        <f t="shared" si="610"/>
        <v>9.9010709827114241E-3</v>
      </c>
      <c r="FV705" s="15">
        <f>((FR705*FR705)/(AR705*FP705*FP705)+(FO705*FO705)/(AR705*FM705*FM705))</f>
        <v>5.0000000000000001E-3</v>
      </c>
      <c r="FX705" s="15">
        <v>16.100000000000001</v>
      </c>
      <c r="FY705" s="15">
        <f t="shared" si="611"/>
        <v>0.80500000000000016</v>
      </c>
      <c r="FZ705" s="15">
        <f>FY705*SQRT(AR705)</f>
        <v>1.3943009000929465</v>
      </c>
      <c r="GA705" s="15">
        <v>17.5</v>
      </c>
      <c r="GB705" s="15">
        <f t="shared" si="612"/>
        <v>0.875</v>
      </c>
      <c r="GC705" s="15">
        <f>GB705*SQRT(AR705)</f>
        <v>1.5155444566227676</v>
      </c>
      <c r="GD705" s="15">
        <f t="shared" si="613"/>
        <v>1.0869565217391304</v>
      </c>
      <c r="GE705" s="15">
        <f t="shared" si="614"/>
        <v>1.3999999999999986</v>
      </c>
      <c r="GF705" s="15">
        <f t="shared" si="615"/>
        <v>8.3381608939051333E-2</v>
      </c>
      <c r="GG705" s="15">
        <f>((GC705*GC705)/(AR705*GA705*GA705)+(FZ705*FZ705)/(AR705*FX705*FX705))</f>
        <v>5.000000000000001E-3</v>
      </c>
      <c r="HE705" s="15">
        <v>6780</v>
      </c>
      <c r="HF705" s="15">
        <f t="shared" si="595"/>
        <v>339</v>
      </c>
      <c r="HG705" s="15">
        <f>HF705*SQRT(AR395)</f>
        <v>587.16522376584942</v>
      </c>
      <c r="HH705" s="15">
        <v>7320</v>
      </c>
      <c r="HI705" s="15">
        <f t="shared" si="596"/>
        <v>366</v>
      </c>
      <c r="HJ705" s="15">
        <f>HI705*SQRT(AR395)</f>
        <v>633.93059557020911</v>
      </c>
      <c r="HK705" s="15">
        <f t="shared" si="566"/>
        <v>1.0796460176991149</v>
      </c>
      <c r="HL705" s="15">
        <f t="shared" si="567"/>
        <v>540</v>
      </c>
      <c r="HM705" s="15">
        <f t="shared" si="568"/>
        <v>7.6633226020915046E-2</v>
      </c>
      <c r="HN705" s="15">
        <f>((HJ705*HJ705)/(AR395*HH705*HH705)+(HG705*HG705)/(AR395*HE705*HE705))</f>
        <v>5.0000000000000001E-3</v>
      </c>
      <c r="HP705" s="15" t="s">
        <v>766</v>
      </c>
      <c r="HV705" s="15">
        <f t="shared" si="569"/>
        <v>218.28651707073547</v>
      </c>
      <c r="HW705" s="15">
        <f t="shared" si="598"/>
        <v>7.6633226020915046E-2</v>
      </c>
      <c r="HX705" s="15">
        <f t="shared" si="590"/>
        <v>1672.8000000000002</v>
      </c>
      <c r="HY705" s="15">
        <f t="shared" si="591"/>
        <v>8364</v>
      </c>
      <c r="HZ705" s="15">
        <f t="shared" si="592"/>
        <v>13.94</v>
      </c>
      <c r="IA705" s="15">
        <f t="shared" si="593"/>
        <v>1672.8000000000002</v>
      </c>
    </row>
    <row r="706" spans="1:235" s="15" customFormat="1" x14ac:dyDescent="0.25">
      <c r="A706" s="31">
        <v>704</v>
      </c>
      <c r="B706" s="60">
        <v>99</v>
      </c>
      <c r="C706" s="1">
        <v>119</v>
      </c>
      <c r="D706" s="15" t="s">
        <v>1575</v>
      </c>
      <c r="E706" s="1">
        <v>5</v>
      </c>
      <c r="F706" s="15" t="s">
        <v>798</v>
      </c>
      <c r="G706" s="70" t="s">
        <v>1556</v>
      </c>
      <c r="H706" s="70" t="s">
        <v>1557</v>
      </c>
      <c r="I706" s="60">
        <v>2021</v>
      </c>
      <c r="J706" s="70" t="s">
        <v>1576</v>
      </c>
      <c r="K706" s="60" t="s">
        <v>1577</v>
      </c>
      <c r="L706" s="70" t="s">
        <v>1578</v>
      </c>
      <c r="M706" s="15" t="s">
        <v>480</v>
      </c>
      <c r="N706" s="15" t="s">
        <v>520</v>
      </c>
      <c r="O706" s="31">
        <v>2</v>
      </c>
      <c r="P706" s="70">
        <v>35.090000000000003</v>
      </c>
      <c r="Q706" s="70">
        <v>118.4</v>
      </c>
      <c r="S706" s="70">
        <v>800</v>
      </c>
      <c r="T706" s="70">
        <v>13.1</v>
      </c>
      <c r="U706" s="15" t="s">
        <v>549</v>
      </c>
      <c r="V706" s="31">
        <v>1</v>
      </c>
      <c r="W706" s="70" t="s">
        <v>1179</v>
      </c>
      <c r="X706" s="70" t="s">
        <v>731</v>
      </c>
      <c r="Y706" s="1">
        <v>12</v>
      </c>
      <c r="Z706" s="15">
        <v>6.07</v>
      </c>
      <c r="AA706" s="15" t="s">
        <v>574</v>
      </c>
      <c r="AB706" s="15">
        <f t="shared" si="564"/>
        <v>6.07</v>
      </c>
      <c r="AC706" s="1">
        <v>5</v>
      </c>
      <c r="AD706" s="15">
        <v>14.9</v>
      </c>
      <c r="AM706" s="1"/>
      <c r="AN706" s="15">
        <v>1.41</v>
      </c>
      <c r="AP706" s="15" t="s">
        <v>1580</v>
      </c>
      <c r="AQ706" s="1">
        <v>2</v>
      </c>
      <c r="AR706" s="1">
        <v>3</v>
      </c>
      <c r="DB706" s="70" t="s">
        <v>731</v>
      </c>
      <c r="DD706" s="15">
        <v>8364</v>
      </c>
      <c r="DE706" s="15">
        <f t="shared" si="597"/>
        <v>8364</v>
      </c>
      <c r="DF706" s="15" t="s">
        <v>766</v>
      </c>
      <c r="DS706" s="15">
        <f>DE706</f>
        <v>8364</v>
      </c>
      <c r="DT706" s="15">
        <f t="shared" si="579"/>
        <v>13.94</v>
      </c>
      <c r="DU706" s="15">
        <f t="shared" si="580"/>
        <v>1672.8000000000002</v>
      </c>
      <c r="EZ706" s="15">
        <v>1.35</v>
      </c>
      <c r="FA706" s="15">
        <f t="shared" si="599"/>
        <v>6.7500000000000004E-2</v>
      </c>
      <c r="FB706" s="15">
        <f>FA706*SQRT(AR706)</f>
        <v>0.11691342951089922</v>
      </c>
      <c r="FC706" s="15">
        <v>1.29</v>
      </c>
      <c r="FD706" s="15">
        <f t="shared" si="600"/>
        <v>6.4500000000000002E-2</v>
      </c>
      <c r="FE706" s="15">
        <f>FD706*SQRT(AR706)</f>
        <v>0.11171727708819258</v>
      </c>
      <c r="FF706" s="15">
        <f t="shared" si="601"/>
        <v>0.95555555555555549</v>
      </c>
      <c r="FG706" s="15">
        <f t="shared" si="602"/>
        <v>-6.0000000000000053E-2</v>
      </c>
      <c r="FH706" s="15">
        <f t="shared" si="603"/>
        <v>-4.5462374076757406E-2</v>
      </c>
      <c r="FI706" s="15">
        <f>((FE706*FE706)/(AR706*FC706*FC706)+(FB706*FB706)/(AR706*EZ706*EZ706))</f>
        <v>4.9999999999999992E-3</v>
      </c>
      <c r="FK706" s="16">
        <f t="shared" si="604"/>
        <v>6.05</v>
      </c>
      <c r="FL706" s="16">
        <f t="shared" si="605"/>
        <v>6.11</v>
      </c>
      <c r="FM706" s="15">
        <v>6.05</v>
      </c>
      <c r="FN706" s="15">
        <f t="shared" si="606"/>
        <v>0.30249999999999999</v>
      </c>
      <c r="FO706" s="15">
        <f>FN706*SQRT(AR706)</f>
        <v>0.52394536928958535</v>
      </c>
      <c r="FP706" s="15">
        <v>6.11</v>
      </c>
      <c r="FQ706" s="15">
        <f t="shared" si="607"/>
        <v>0.30550000000000005</v>
      </c>
      <c r="FR706" s="15">
        <f>FQ706*SQRT(AR706)</f>
        <v>0.52914152171229212</v>
      </c>
      <c r="FS706" s="15">
        <f t="shared" si="608"/>
        <v>1.009917355371901</v>
      </c>
      <c r="FT706" s="15">
        <f t="shared" si="609"/>
        <v>6.0000000000000497E-2</v>
      </c>
      <c r="FU706" s="15">
        <f t="shared" si="610"/>
        <v>9.8685011407539935E-3</v>
      </c>
      <c r="FV706" s="15">
        <f>((FR706*FR706)/(AR706*FP706*FP706)+(FO706*FO706)/(AR706*FM706*FM706))</f>
        <v>5.000000000000001E-3</v>
      </c>
      <c r="FX706" s="15">
        <v>16.3</v>
      </c>
      <c r="FY706" s="15">
        <f t="shared" si="611"/>
        <v>0.81500000000000006</v>
      </c>
      <c r="FZ706" s="15">
        <f>FY706*SQRT(AR706)</f>
        <v>1.4116214081686349</v>
      </c>
      <c r="GA706" s="15">
        <v>18.5</v>
      </c>
      <c r="GB706" s="15">
        <f t="shared" si="612"/>
        <v>0.92500000000000004</v>
      </c>
      <c r="GC706" s="15">
        <f>GB706*SQRT(AR706)</f>
        <v>1.6021469970012114</v>
      </c>
      <c r="GD706" s="15">
        <f t="shared" si="613"/>
        <v>1.1349693251533741</v>
      </c>
      <c r="GE706" s="15">
        <f t="shared" si="614"/>
        <v>2.1999999999999993</v>
      </c>
      <c r="GF706" s="15">
        <f t="shared" si="615"/>
        <v>0.12660562427156208</v>
      </c>
      <c r="GG706" s="15">
        <f>((GC706*GC706)/(AR706*GA706*GA706)+(FZ706*FZ706)/(AR706*FX706*FX706))</f>
        <v>4.9999999999999992E-3</v>
      </c>
      <c r="HE706" s="15">
        <v>6690</v>
      </c>
      <c r="HF706" s="15">
        <f t="shared" si="595"/>
        <v>334.5</v>
      </c>
      <c r="HG706" s="15">
        <f>HF706*SQRT(AR396)</f>
        <v>579.37099513178941</v>
      </c>
      <c r="HH706" s="15">
        <v>7485</v>
      </c>
      <c r="HI706" s="15">
        <f t="shared" si="596"/>
        <v>374.25</v>
      </c>
      <c r="HJ706" s="15">
        <f>HI706*SQRT(AR396)</f>
        <v>648.22001473265232</v>
      </c>
      <c r="HK706" s="15">
        <f t="shared" si="566"/>
        <v>1.1188340807174888</v>
      </c>
      <c r="HL706" s="15">
        <f t="shared" si="567"/>
        <v>795</v>
      </c>
      <c r="HM706" s="15">
        <f t="shared" si="568"/>
        <v>0.11228714373145365</v>
      </c>
      <c r="HN706" s="15">
        <f>((HJ706*HJ706)/(AR396*HH706*HH706)+(HG706*HG706)/(AR396*HE706*HE706))</f>
        <v>4.9999999999999992E-3</v>
      </c>
      <c r="HP706" s="15" t="s">
        <v>766</v>
      </c>
      <c r="HV706" s="15">
        <f t="shared" si="569"/>
        <v>148.97520271783517</v>
      </c>
      <c r="HW706" s="15">
        <f t="shared" si="598"/>
        <v>0.11228714373145365</v>
      </c>
      <c r="HX706" s="15">
        <f t="shared" si="590"/>
        <v>1672.8000000000002</v>
      </c>
      <c r="HY706" s="15">
        <f t="shared" si="591"/>
        <v>8364</v>
      </c>
      <c r="HZ706" s="15">
        <f t="shared" si="592"/>
        <v>13.94</v>
      </c>
      <c r="IA706" s="15">
        <f t="shared" si="593"/>
        <v>1672.8000000000002</v>
      </c>
    </row>
    <row r="707" spans="1:235" s="15" customFormat="1" x14ac:dyDescent="0.25">
      <c r="A707" s="31">
        <v>705</v>
      </c>
      <c r="B707" s="60">
        <v>100</v>
      </c>
      <c r="C707" s="1">
        <v>120</v>
      </c>
      <c r="D707" s="15" t="s">
        <v>1581</v>
      </c>
      <c r="E707" s="1">
        <v>5</v>
      </c>
      <c r="F707" s="15" t="s">
        <v>798</v>
      </c>
      <c r="G707" s="15" t="s">
        <v>2383</v>
      </c>
      <c r="H707" s="15" t="s">
        <v>857</v>
      </c>
      <c r="I707" s="1">
        <v>2018</v>
      </c>
      <c r="J707" s="15" t="s">
        <v>1585</v>
      </c>
      <c r="K707" s="1" t="s">
        <v>1586</v>
      </c>
      <c r="L707" s="15" t="s">
        <v>2384</v>
      </c>
      <c r="M707" s="15" t="s">
        <v>480</v>
      </c>
      <c r="N707" s="15" t="s">
        <v>520</v>
      </c>
      <c r="O707" s="31">
        <v>3</v>
      </c>
      <c r="P707" s="15">
        <v>38.119999999999997</v>
      </c>
      <c r="Q707" s="15">
        <v>106.3</v>
      </c>
      <c r="S707" s="15">
        <v>192.9</v>
      </c>
      <c r="T707" s="15">
        <v>8.9</v>
      </c>
      <c r="U707" s="15" t="s">
        <v>549</v>
      </c>
      <c r="V707" s="31">
        <v>1</v>
      </c>
      <c r="W707" s="15" t="s">
        <v>1153</v>
      </c>
      <c r="X707" s="15" t="s">
        <v>689</v>
      </c>
      <c r="Y707" s="1">
        <v>1</v>
      </c>
      <c r="AC707" s="1"/>
      <c r="AD707" s="15">
        <v>10.58</v>
      </c>
      <c r="AM707" s="1"/>
      <c r="AN707" s="15">
        <v>1.39</v>
      </c>
      <c r="AP707" s="15" t="s">
        <v>2385</v>
      </c>
      <c r="AQ707" s="1">
        <v>5</v>
      </c>
      <c r="AR707" s="1">
        <v>3</v>
      </c>
      <c r="DB707" s="15" t="s">
        <v>689</v>
      </c>
      <c r="DD707" s="15">
        <v>4000</v>
      </c>
      <c r="DE707" s="15">
        <f t="shared" si="597"/>
        <v>4000</v>
      </c>
      <c r="DF707" s="15" t="s">
        <v>766</v>
      </c>
      <c r="DS707" s="15">
        <f>DE707</f>
        <v>4000</v>
      </c>
      <c r="DT707" s="15">
        <f t="shared" si="579"/>
        <v>6.666666666666667</v>
      </c>
      <c r="DU707" s="15">
        <f t="shared" si="580"/>
        <v>800</v>
      </c>
      <c r="EZ707" s="15">
        <v>1.53</v>
      </c>
      <c r="FA707" s="15">
        <v>0.03</v>
      </c>
      <c r="FB707" s="15">
        <f>FA707*SQRT(AR707)</f>
        <v>5.1961524227066312E-2</v>
      </c>
      <c r="FC707" s="15">
        <v>1.48</v>
      </c>
      <c r="FD707" s="15">
        <v>0.02</v>
      </c>
      <c r="FE707" s="15">
        <f>FD707*SQRT(AR707)</f>
        <v>3.4641016151377546E-2</v>
      </c>
      <c r="FF707" s="15">
        <f t="shared" si="601"/>
        <v>0.9673202614379085</v>
      </c>
      <c r="FG707" s="15">
        <f t="shared" si="602"/>
        <v>-5.0000000000000044E-2</v>
      </c>
      <c r="FH707" s="15">
        <f t="shared" si="603"/>
        <v>-3.3225647628320421E-2</v>
      </c>
      <c r="FI707" s="15">
        <f>((FE707*FE707)/(AR707*FC707*FC707)+(FB707*FB707)/(AR707*EZ707*EZ707))</f>
        <v>5.6708255997510643E-4</v>
      </c>
      <c r="HE707" s="15">
        <v>6357</v>
      </c>
      <c r="HF707" s="15">
        <v>136</v>
      </c>
      <c r="HG707" s="15">
        <f>HF707*SQRT(AR397)</f>
        <v>235.55890982936731</v>
      </c>
      <c r="HH707" s="15">
        <v>6952</v>
      </c>
      <c r="HI707" s="15">
        <v>93</v>
      </c>
      <c r="HJ707" s="15">
        <f>HI707*SQRT(AR397)</f>
        <v>161.08072510390559</v>
      </c>
      <c r="HK707" s="15">
        <f t="shared" si="566"/>
        <v>1.0935976089350323</v>
      </c>
      <c r="HL707" s="15">
        <f t="shared" si="567"/>
        <v>595</v>
      </c>
      <c r="HM707" s="15">
        <f t="shared" si="568"/>
        <v>8.9472820008818843E-2</v>
      </c>
      <c r="HN707" s="15">
        <f>((HJ707*HJ707)/(AR397*HH707*HH707)+(HG707*HG707)/(AR397*HE707*HE707))</f>
        <v>6.3664812013275755E-4</v>
      </c>
      <c r="HP707" s="15" t="s">
        <v>766</v>
      </c>
      <c r="HV707" s="15">
        <f t="shared" si="569"/>
        <v>89.412628317867743</v>
      </c>
      <c r="HW707" s="15">
        <f t="shared" si="598"/>
        <v>8.9472820008818843E-2</v>
      </c>
      <c r="HX707" s="15">
        <f t="shared" si="590"/>
        <v>800</v>
      </c>
      <c r="HY707" s="15">
        <f t="shared" si="591"/>
        <v>4000</v>
      </c>
      <c r="HZ707" s="15">
        <f t="shared" si="592"/>
        <v>6.666666666666667</v>
      </c>
      <c r="IA707" s="15">
        <f t="shared" si="593"/>
        <v>800</v>
      </c>
    </row>
    <row r="708" spans="1:235" s="15" customFormat="1" x14ac:dyDescent="0.25">
      <c r="A708" s="31">
        <v>706</v>
      </c>
      <c r="B708" s="60">
        <v>100</v>
      </c>
      <c r="C708" s="1">
        <v>120</v>
      </c>
      <c r="D708" s="15" t="s">
        <v>1582</v>
      </c>
      <c r="E708" s="1">
        <v>5</v>
      </c>
      <c r="F708" s="15" t="s">
        <v>798</v>
      </c>
      <c r="G708" s="15" t="s">
        <v>2383</v>
      </c>
      <c r="H708" s="15" t="s">
        <v>857</v>
      </c>
      <c r="I708" s="1">
        <v>2018</v>
      </c>
      <c r="J708" s="15" t="s">
        <v>1585</v>
      </c>
      <c r="K708" s="1" t="s">
        <v>1586</v>
      </c>
      <c r="L708" s="15" t="s">
        <v>2384</v>
      </c>
      <c r="M708" s="15" t="s">
        <v>480</v>
      </c>
      <c r="N708" s="15" t="s">
        <v>520</v>
      </c>
      <c r="O708" s="31">
        <v>3</v>
      </c>
      <c r="P708" s="15">
        <v>38.119999999999997</v>
      </c>
      <c r="Q708" s="15">
        <v>106.3</v>
      </c>
      <c r="S708" s="15">
        <v>192.9</v>
      </c>
      <c r="T708" s="15">
        <v>8.9</v>
      </c>
      <c r="U708" s="15" t="s">
        <v>549</v>
      </c>
      <c r="V708" s="31">
        <v>1</v>
      </c>
      <c r="W708" s="15" t="s">
        <v>1153</v>
      </c>
      <c r="X708" s="15" t="s">
        <v>689</v>
      </c>
      <c r="Y708" s="1">
        <v>1</v>
      </c>
      <c r="AC708" s="1"/>
      <c r="AD708" s="15">
        <v>10.58</v>
      </c>
      <c r="AM708" s="1"/>
      <c r="AN708" s="15">
        <v>1.39</v>
      </c>
      <c r="AP708" s="15" t="s">
        <v>2385</v>
      </c>
      <c r="AQ708" s="1">
        <v>5</v>
      </c>
      <c r="AR708" s="1">
        <v>3</v>
      </c>
      <c r="DB708" s="15" t="s">
        <v>689</v>
      </c>
      <c r="DD708" s="15">
        <v>8000</v>
      </c>
      <c r="DE708" s="15">
        <f t="shared" si="597"/>
        <v>8000</v>
      </c>
      <c r="DF708" s="15" t="s">
        <v>766</v>
      </c>
      <c r="DS708" s="15">
        <f>DE708</f>
        <v>8000</v>
      </c>
      <c r="DT708" s="15">
        <f t="shared" si="579"/>
        <v>13.333333333333334</v>
      </c>
      <c r="DU708" s="15">
        <f t="shared" si="580"/>
        <v>1600</v>
      </c>
      <c r="EZ708" s="15">
        <v>1.53</v>
      </c>
      <c r="FA708" s="15">
        <v>0.03</v>
      </c>
      <c r="FB708" s="15">
        <f>FA708*SQRT(AR708)</f>
        <v>5.1961524227066312E-2</v>
      </c>
      <c r="FC708" s="15">
        <v>1.49</v>
      </c>
      <c r="FD708" s="15">
        <v>0.02</v>
      </c>
      <c r="FE708" s="15">
        <f>FD708*SQRT(AR708)</f>
        <v>3.4641016151377546E-2</v>
      </c>
      <c r="FF708" s="15">
        <f t="shared" si="601"/>
        <v>0.97385620915032678</v>
      </c>
      <c r="FG708" s="15">
        <f t="shared" si="602"/>
        <v>-4.0000000000000036E-2</v>
      </c>
      <c r="FH708" s="15">
        <f t="shared" si="603"/>
        <v>-2.6491615446976313E-2</v>
      </c>
      <c r="FI708" s="15">
        <f>((FE708*FE708)/(AR708*FC708*FC708)+(FB708*FB708)/(AR708*EZ708*EZ708))</f>
        <v>5.6463957681662108E-4</v>
      </c>
      <c r="HE708" s="15">
        <v>6357</v>
      </c>
      <c r="HF708" s="15">
        <v>136</v>
      </c>
      <c r="HG708" s="15">
        <f>HF708*SQRT(AR398)</f>
        <v>235.55890982936731</v>
      </c>
      <c r="HH708" s="15">
        <v>7447</v>
      </c>
      <c r="HI708" s="15">
        <v>143</v>
      </c>
      <c r="HJ708" s="15">
        <f>HI708*SQRT(AR398)</f>
        <v>247.68326548234944</v>
      </c>
      <c r="HK708" s="15">
        <f t="shared" si="566"/>
        <v>1.1714645272927482</v>
      </c>
      <c r="HL708" s="15">
        <f t="shared" si="567"/>
        <v>1090</v>
      </c>
      <c r="HM708" s="15">
        <f t="shared" si="568"/>
        <v>0.15825469877423615</v>
      </c>
      <c r="HN708" s="15">
        <f>((HJ708*HJ708)/(AR398*HH708*HH708)+(HG708*HG708)/(AR398*HE708*HE708))</f>
        <v>8.264228352312256E-4</v>
      </c>
      <c r="HP708" s="15" t="s">
        <v>766</v>
      </c>
      <c r="HV708" s="15">
        <f t="shared" si="569"/>
        <v>101.10284322631942</v>
      </c>
      <c r="HW708" s="15">
        <f t="shared" si="598"/>
        <v>0.15825469877423615</v>
      </c>
      <c r="HX708" s="15">
        <f t="shared" si="590"/>
        <v>1600</v>
      </c>
      <c r="HY708" s="15">
        <f t="shared" si="591"/>
        <v>8000</v>
      </c>
      <c r="HZ708" s="15">
        <f t="shared" si="592"/>
        <v>13.333333333333334</v>
      </c>
      <c r="IA708" s="15">
        <f t="shared" si="593"/>
        <v>1600</v>
      </c>
    </row>
    <row r="709" spans="1:235" s="15" customFormat="1" x14ac:dyDescent="0.25">
      <c r="A709" s="31">
        <v>707</v>
      </c>
      <c r="B709" s="60">
        <v>100</v>
      </c>
      <c r="C709" s="1">
        <v>120</v>
      </c>
      <c r="D709" s="15" t="s">
        <v>1583</v>
      </c>
      <c r="E709" s="1">
        <v>5</v>
      </c>
      <c r="F709" s="15" t="s">
        <v>798</v>
      </c>
      <c r="G709" s="15" t="s">
        <v>2383</v>
      </c>
      <c r="H709" s="15" t="s">
        <v>857</v>
      </c>
      <c r="I709" s="1">
        <v>2018</v>
      </c>
      <c r="J709" s="15" t="s">
        <v>1585</v>
      </c>
      <c r="K709" s="1" t="s">
        <v>1586</v>
      </c>
      <c r="L709" s="15" t="s">
        <v>2384</v>
      </c>
      <c r="M709" s="15" t="s">
        <v>480</v>
      </c>
      <c r="N709" s="15" t="s">
        <v>520</v>
      </c>
      <c r="O709" s="31">
        <v>3</v>
      </c>
      <c r="P709" s="15">
        <v>38.119999999999997</v>
      </c>
      <c r="Q709" s="15">
        <v>106.3</v>
      </c>
      <c r="S709" s="15">
        <v>192.9</v>
      </c>
      <c r="T709" s="15">
        <v>8.9</v>
      </c>
      <c r="U709" s="15" t="s">
        <v>549</v>
      </c>
      <c r="V709" s="31">
        <v>1</v>
      </c>
      <c r="W709" s="15" t="s">
        <v>1153</v>
      </c>
      <c r="X709" s="70" t="s">
        <v>729</v>
      </c>
      <c r="Y709" s="61">
        <v>11</v>
      </c>
      <c r="AC709" s="1"/>
      <c r="AD709" s="15">
        <v>10.58</v>
      </c>
      <c r="AM709" s="1"/>
      <c r="AN709" s="15">
        <v>1.39</v>
      </c>
      <c r="AP709" s="15" t="s">
        <v>2385</v>
      </c>
      <c r="AQ709" s="1">
        <v>5</v>
      </c>
      <c r="AR709" s="1">
        <v>3</v>
      </c>
      <c r="DB709" s="15" t="s">
        <v>729</v>
      </c>
      <c r="DD709" s="15">
        <v>2000</v>
      </c>
      <c r="DE709" s="15">
        <f t="shared" si="597"/>
        <v>2000</v>
      </c>
      <c r="DF709" s="15" t="s">
        <v>766</v>
      </c>
      <c r="DS709" s="15">
        <f>DE709</f>
        <v>2000</v>
      </c>
      <c r="DT709" s="15">
        <f t="shared" si="579"/>
        <v>3.3333333333333335</v>
      </c>
      <c r="DU709" s="15">
        <f t="shared" si="580"/>
        <v>400</v>
      </c>
      <c r="EZ709" s="15">
        <v>1.53</v>
      </c>
      <c r="FA709" s="15">
        <v>0.03</v>
      </c>
      <c r="FB709" s="15">
        <f>FA709*SQRT(AR709)</f>
        <v>5.1961524227066312E-2</v>
      </c>
      <c r="FC709" s="15">
        <v>1.48</v>
      </c>
      <c r="FD709" s="15">
        <v>0.02</v>
      </c>
      <c r="FE709" s="15">
        <f>FD709*SQRT(AR709)</f>
        <v>3.4641016151377546E-2</v>
      </c>
      <c r="FF709" s="15">
        <f t="shared" si="601"/>
        <v>0.9673202614379085</v>
      </c>
      <c r="FG709" s="15">
        <f t="shared" si="602"/>
        <v>-5.0000000000000044E-2</v>
      </c>
      <c r="FH709" s="15">
        <f t="shared" si="603"/>
        <v>-3.3225647628320421E-2</v>
      </c>
      <c r="FI709" s="15">
        <f>((FE709*FE709)/(AR709*FC709*FC709)+(FB709*FB709)/(AR709*EZ709*EZ709))</f>
        <v>5.6708255997510643E-4</v>
      </c>
      <c r="HE709" s="15">
        <v>3749</v>
      </c>
      <c r="HF709" s="15">
        <v>115</v>
      </c>
      <c r="HG709" s="15">
        <f>HF709*SQRT(AR399)</f>
        <v>199.18584287042088</v>
      </c>
      <c r="HH709" s="15">
        <v>4154</v>
      </c>
      <c r="HI709" s="15">
        <v>84</v>
      </c>
      <c r="HJ709" s="15">
        <f>HI709*SQRT(AR399)</f>
        <v>145.4922678357857</v>
      </c>
      <c r="HK709" s="15">
        <f t="shared" si="566"/>
        <v>1.1080288076820486</v>
      </c>
      <c r="HL709" s="15">
        <f t="shared" si="567"/>
        <v>405</v>
      </c>
      <c r="HM709" s="15">
        <f t="shared" si="568"/>
        <v>0.1025825877001445</v>
      </c>
      <c r="HN709" s="15">
        <f>((HJ709*HJ709)/(AR399*HH709*HH709)+(HG709*HG709)/(AR399*HE709*HE709))</f>
        <v>1.3498541970782274E-3</v>
      </c>
      <c r="HP709" s="15" t="s">
        <v>766</v>
      </c>
      <c r="HV709" s="15">
        <f t="shared" si="569"/>
        <v>38.992972293624113</v>
      </c>
      <c r="HW709" s="15">
        <f t="shared" si="598"/>
        <v>0.1025825877001445</v>
      </c>
      <c r="HX709" s="15">
        <f t="shared" si="590"/>
        <v>400</v>
      </c>
      <c r="HY709" s="15">
        <f t="shared" si="591"/>
        <v>2000</v>
      </c>
      <c r="HZ709" s="15">
        <f t="shared" si="592"/>
        <v>3.3333333333333335</v>
      </c>
      <c r="IA709" s="15">
        <f t="shared" si="593"/>
        <v>400</v>
      </c>
    </row>
    <row r="710" spans="1:235" s="15" customFormat="1" x14ac:dyDescent="0.25">
      <c r="A710" s="31">
        <v>708</v>
      </c>
      <c r="B710" s="60">
        <v>100</v>
      </c>
      <c r="C710" s="1">
        <v>120</v>
      </c>
      <c r="D710" s="15" t="s">
        <v>1584</v>
      </c>
      <c r="E710" s="1">
        <v>5</v>
      </c>
      <c r="F710" s="15" t="s">
        <v>798</v>
      </c>
      <c r="G710" s="15" t="s">
        <v>2383</v>
      </c>
      <c r="H710" s="15" t="s">
        <v>857</v>
      </c>
      <c r="I710" s="1">
        <v>2018</v>
      </c>
      <c r="J710" s="15" t="s">
        <v>1585</v>
      </c>
      <c r="K710" s="1" t="s">
        <v>1586</v>
      </c>
      <c r="L710" s="15" t="s">
        <v>2384</v>
      </c>
      <c r="M710" s="15" t="s">
        <v>480</v>
      </c>
      <c r="N710" s="15" t="s">
        <v>520</v>
      </c>
      <c r="O710" s="31">
        <v>3</v>
      </c>
      <c r="P710" s="15">
        <v>38.119999999999997</v>
      </c>
      <c r="Q710" s="15">
        <v>106.3</v>
      </c>
      <c r="S710" s="15">
        <v>192.9</v>
      </c>
      <c r="T710" s="15">
        <v>8.9</v>
      </c>
      <c r="U710" s="15" t="s">
        <v>549</v>
      </c>
      <c r="V710" s="31">
        <v>1</v>
      </c>
      <c r="W710" s="15" t="s">
        <v>1153</v>
      </c>
      <c r="X710" s="70" t="s">
        <v>729</v>
      </c>
      <c r="Y710" s="61">
        <v>11</v>
      </c>
      <c r="AC710" s="1"/>
      <c r="AD710" s="15">
        <v>10.58</v>
      </c>
      <c r="AM710" s="1"/>
      <c r="AN710" s="15">
        <v>1.39</v>
      </c>
      <c r="AP710" s="15" t="s">
        <v>2385</v>
      </c>
      <c r="AQ710" s="1">
        <v>5</v>
      </c>
      <c r="AR710" s="1">
        <v>3</v>
      </c>
      <c r="DB710" s="15" t="s">
        <v>729</v>
      </c>
      <c r="DD710" s="15">
        <v>4000</v>
      </c>
      <c r="DE710" s="15">
        <f t="shared" si="597"/>
        <v>4000</v>
      </c>
      <c r="DF710" s="15" t="s">
        <v>766</v>
      </c>
      <c r="DS710" s="15">
        <f>DE710</f>
        <v>4000</v>
      </c>
      <c r="DT710" s="15">
        <f t="shared" si="579"/>
        <v>6.666666666666667</v>
      </c>
      <c r="DU710" s="15">
        <f t="shared" si="580"/>
        <v>800</v>
      </c>
      <c r="EZ710" s="15">
        <v>1.53</v>
      </c>
      <c r="FA710" s="15">
        <v>0.03</v>
      </c>
      <c r="FB710" s="15">
        <f>FA710*SQRT(AR710)</f>
        <v>5.1961524227066312E-2</v>
      </c>
      <c r="FC710" s="15">
        <v>1.49</v>
      </c>
      <c r="FD710" s="15">
        <v>0.02</v>
      </c>
      <c r="FE710" s="15">
        <f>FD710*SQRT(AR710)</f>
        <v>3.4641016151377546E-2</v>
      </c>
      <c r="FF710" s="15">
        <f t="shared" si="601"/>
        <v>0.97385620915032678</v>
      </c>
      <c r="FG710" s="15">
        <f t="shared" si="602"/>
        <v>-4.0000000000000036E-2</v>
      </c>
      <c r="FH710" s="15">
        <f t="shared" si="603"/>
        <v>-2.6491615446976313E-2</v>
      </c>
      <c r="FI710" s="15">
        <f>((FE710*FE710)/(AR710*FC710*FC710)+(FB710*FB710)/(AR710*EZ710*EZ710))</f>
        <v>5.6463957681662108E-4</v>
      </c>
      <c r="HE710" s="15">
        <v>3749</v>
      </c>
      <c r="HF710" s="15">
        <v>115</v>
      </c>
      <c r="HG710" s="15">
        <f>HF710*SQRT(AR400)</f>
        <v>199.18584287042088</v>
      </c>
      <c r="HH710" s="15">
        <v>4199</v>
      </c>
      <c r="HI710" s="15">
        <v>86</v>
      </c>
      <c r="HJ710" s="15">
        <f>HI710*SQRT(AR400)</f>
        <v>148.95636945092343</v>
      </c>
      <c r="HK710" s="15">
        <f t="shared" si="566"/>
        <v>1.1200320085356095</v>
      </c>
      <c r="HL710" s="15">
        <f t="shared" si="567"/>
        <v>450</v>
      </c>
      <c r="HM710" s="15">
        <f t="shared" si="568"/>
        <v>0.11335726394828072</v>
      </c>
      <c r="HN710" s="15">
        <f>((HJ710*HJ710)/(AR400*HH710*HH710)+(HG710*HG710)/(AR400*HE710*HE710))</f>
        <v>1.3604203177243247E-3</v>
      </c>
      <c r="HP710" s="15" t="s">
        <v>766</v>
      </c>
      <c r="HV710" s="15">
        <f t="shared" si="569"/>
        <v>70.573333559373864</v>
      </c>
      <c r="HW710" s="15">
        <f t="shared" si="598"/>
        <v>0.11335726394828072</v>
      </c>
      <c r="HX710" s="15">
        <f t="shared" si="590"/>
        <v>800</v>
      </c>
      <c r="HY710" s="15">
        <f t="shared" si="591"/>
        <v>4000</v>
      </c>
      <c r="HZ710" s="15">
        <f t="shared" si="592"/>
        <v>6.666666666666667</v>
      </c>
      <c r="IA710" s="15">
        <f t="shared" si="593"/>
        <v>800</v>
      </c>
    </row>
    <row r="711" spans="1:235" s="15" customFormat="1" ht="14.4" x14ac:dyDescent="0.25">
      <c r="A711" s="31">
        <v>709</v>
      </c>
      <c r="B711" s="60">
        <v>101</v>
      </c>
      <c r="C711" s="1">
        <v>121</v>
      </c>
      <c r="D711" s="15" t="s">
        <v>1587</v>
      </c>
      <c r="E711" s="1">
        <v>5</v>
      </c>
      <c r="F711" s="15" t="s">
        <v>798</v>
      </c>
      <c r="G711" s="15" t="s">
        <v>1588</v>
      </c>
      <c r="H711" s="15" t="s">
        <v>1589</v>
      </c>
      <c r="I711" s="1">
        <v>2020</v>
      </c>
      <c r="J711" s="15" t="s">
        <v>1590</v>
      </c>
      <c r="K711" s="1">
        <v>2018</v>
      </c>
      <c r="L711" s="15" t="s">
        <v>1591</v>
      </c>
      <c r="M711" s="15" t="s">
        <v>480</v>
      </c>
      <c r="N711" s="15" t="s">
        <v>520</v>
      </c>
      <c r="O711" s="31">
        <v>2</v>
      </c>
      <c r="P711" s="15">
        <v>19.61</v>
      </c>
      <c r="Q711" s="15">
        <v>110.17</v>
      </c>
      <c r="S711" s="15">
        <v>2100</v>
      </c>
      <c r="T711" s="15">
        <v>24.3</v>
      </c>
      <c r="U711" s="15" t="s">
        <v>549</v>
      </c>
      <c r="V711" s="31">
        <v>1</v>
      </c>
      <c r="W711" s="15" t="s">
        <v>1158</v>
      </c>
      <c r="X711" s="15" t="s">
        <v>689</v>
      </c>
      <c r="Y711" s="1">
        <v>1</v>
      </c>
      <c r="Z711" s="15">
        <v>5.2</v>
      </c>
      <c r="AA711" s="15" t="s">
        <v>574</v>
      </c>
      <c r="AB711" s="15">
        <f t="shared" ref="AB711:AB746" si="616">Z711</f>
        <v>5.2</v>
      </c>
      <c r="AC711" s="1">
        <v>3</v>
      </c>
      <c r="AD711" s="15">
        <v>14.13</v>
      </c>
      <c r="AL711" s="69" t="s">
        <v>1592</v>
      </c>
      <c r="AM711" s="71">
        <v>3</v>
      </c>
      <c r="AP711" s="15" t="s">
        <v>1334</v>
      </c>
      <c r="AQ711" s="61">
        <v>3</v>
      </c>
      <c r="AR711" s="1">
        <v>3</v>
      </c>
      <c r="DB711" s="15" t="s">
        <v>689</v>
      </c>
      <c r="DD711" s="15">
        <v>7000</v>
      </c>
      <c r="DE711" s="15">
        <f t="shared" si="597"/>
        <v>7000</v>
      </c>
      <c r="DF711" s="15" t="s">
        <v>766</v>
      </c>
      <c r="DS711" s="15">
        <f>DE711</f>
        <v>7000</v>
      </c>
      <c r="DT711" s="15">
        <f t="shared" si="579"/>
        <v>11.666666666666668</v>
      </c>
      <c r="DU711" s="15">
        <f t="shared" si="580"/>
        <v>1400</v>
      </c>
      <c r="FK711" s="16">
        <f t="shared" ref="FK711:FK721" si="617">FM711</f>
        <v>5.21</v>
      </c>
      <c r="FL711" s="16">
        <f t="shared" ref="FL711:FL721" si="618">FP711</f>
        <v>5.68</v>
      </c>
      <c r="FM711" s="15">
        <v>5.21</v>
      </c>
      <c r="FN711" s="15">
        <f>FM711*0.05</f>
        <v>0.26050000000000001</v>
      </c>
      <c r="FO711" s="15">
        <f>FN711*SQRT(AR711)</f>
        <v>0.45119923537169254</v>
      </c>
      <c r="FP711" s="15">
        <v>5.68</v>
      </c>
      <c r="FQ711" s="15">
        <f>FP711*0.05</f>
        <v>0.28399999999999997</v>
      </c>
      <c r="FR711" s="15">
        <f>FQ711*SQRT(AR711)</f>
        <v>0.49190242934956108</v>
      </c>
      <c r="FS711" s="15">
        <f t="shared" ref="FS711:FS721" si="619">FP711/FM711</f>
        <v>1.09021113243762</v>
      </c>
      <c r="FT711" s="15">
        <f t="shared" ref="FT711:FT721" si="620">FP711-FM711</f>
        <v>0.46999999999999975</v>
      </c>
      <c r="FU711" s="15">
        <f t="shared" ref="FU711:FU721" si="621">LN(FP711)-LN(FM711)</f>
        <v>8.6371376967784297E-2</v>
      </c>
      <c r="FV711" s="15">
        <f>((FR711*FR711)/(AR711*FP711*FP711)+(FO711*FO711)/(AR711*FM711*FM711))</f>
        <v>4.9999999999999992E-3</v>
      </c>
      <c r="FX711" s="15">
        <v>14.16</v>
      </c>
      <c r="FY711" s="15">
        <v>0.05</v>
      </c>
      <c r="FZ711" s="15">
        <f>FY711*SQRT(AR711)</f>
        <v>8.6602540378443865E-2</v>
      </c>
      <c r="GA711" s="15">
        <v>14.59</v>
      </c>
      <c r="GB711" s="15">
        <v>0.03</v>
      </c>
      <c r="GC711" s="15">
        <f>GB711*SQRT(AR711)</f>
        <v>5.1961524227066312E-2</v>
      </c>
      <c r="GD711" s="15">
        <f t="shared" ref="GD711:GD716" si="622">GA711/FX711</f>
        <v>1.030367231638418</v>
      </c>
      <c r="GE711" s="15">
        <f t="shared" ref="GE711:GE716" si="623">GA711-FX711</f>
        <v>0.42999999999999972</v>
      </c>
      <c r="GF711" s="15">
        <f t="shared" ref="GF711:GF716" si="624">LN(GA711)-LN(FX711)</f>
        <v>2.9915274269120662E-2</v>
      </c>
      <c r="GG711" s="15">
        <f>((GC711*GC711)/(AR711*GA711*GA711)+(FZ711*FZ711)/(AR711*FX711*FX711))</f>
        <v>1.6696449961668955E-5</v>
      </c>
      <c r="HY711" s="15">
        <f t="shared" si="591"/>
        <v>7000</v>
      </c>
      <c r="HZ711" s="15">
        <f t="shared" si="592"/>
        <v>11.666666666666668</v>
      </c>
      <c r="IA711" s="15">
        <f t="shared" si="593"/>
        <v>1400</v>
      </c>
    </row>
    <row r="712" spans="1:235" s="15" customFormat="1" x14ac:dyDescent="0.25">
      <c r="A712" s="31">
        <v>710</v>
      </c>
      <c r="B712" s="1">
        <v>102</v>
      </c>
      <c r="C712" s="1">
        <v>122</v>
      </c>
      <c r="D712" s="15" t="s">
        <v>1593</v>
      </c>
      <c r="E712" s="1">
        <v>6</v>
      </c>
      <c r="F712" s="15" t="s">
        <v>1156</v>
      </c>
      <c r="G712" s="15" t="s">
        <v>1598</v>
      </c>
      <c r="H712" s="15" t="s">
        <v>1599</v>
      </c>
      <c r="I712" s="1">
        <v>2020</v>
      </c>
      <c r="J712" s="15" t="s">
        <v>1600</v>
      </c>
      <c r="K712" s="1">
        <v>2018</v>
      </c>
      <c r="L712" s="15" t="s">
        <v>1254</v>
      </c>
      <c r="M712" s="15" t="s">
        <v>480</v>
      </c>
      <c r="N712" s="15" t="s">
        <v>520</v>
      </c>
      <c r="O712" s="31">
        <v>2</v>
      </c>
      <c r="P712" s="15">
        <v>29.4</v>
      </c>
      <c r="Q712" s="15">
        <v>106.54</v>
      </c>
      <c r="S712" s="15">
        <v>1150</v>
      </c>
      <c r="T712" s="15">
        <v>18</v>
      </c>
      <c r="U712" s="15" t="s">
        <v>549</v>
      </c>
      <c r="V712" s="31">
        <v>1</v>
      </c>
      <c r="W712" s="15" t="s">
        <v>1158</v>
      </c>
      <c r="X712" s="15" t="s">
        <v>689</v>
      </c>
      <c r="Y712" s="1">
        <v>1</v>
      </c>
      <c r="Z712" s="15">
        <v>5.0199999999999996</v>
      </c>
      <c r="AA712" s="15" t="s">
        <v>574</v>
      </c>
      <c r="AB712" s="15">
        <f t="shared" si="616"/>
        <v>5.0199999999999996</v>
      </c>
      <c r="AC712" s="1">
        <v>3</v>
      </c>
      <c r="AD712" s="15">
        <v>30.16</v>
      </c>
      <c r="AM712" s="1"/>
      <c r="AP712" s="15" t="s">
        <v>1334</v>
      </c>
      <c r="AQ712" s="61">
        <v>3</v>
      </c>
      <c r="AR712" s="1">
        <v>3</v>
      </c>
      <c r="AT712" s="15" t="s">
        <v>545</v>
      </c>
      <c r="AW712" s="15">
        <v>1200</v>
      </c>
      <c r="AX712" s="15">
        <f>AW712*1.78</f>
        <v>2136</v>
      </c>
      <c r="AY712" s="15" t="s">
        <v>766</v>
      </c>
      <c r="AZ712" s="15">
        <f t="shared" ref="AZ712:AZ717" si="625">AX712</f>
        <v>2136</v>
      </c>
      <c r="BA712" s="15">
        <f t="shared" ref="BA712:BA717" si="626">AZ712/2.93/1000</f>
        <v>0.72901023890784988</v>
      </c>
      <c r="BB712" s="15">
        <f t="shared" ref="BB712:BB717" si="627">AZ712*0.6</f>
        <v>1281.5999999999999</v>
      </c>
      <c r="CC712" s="15" t="s">
        <v>689</v>
      </c>
      <c r="CE712" s="15">
        <v>750</v>
      </c>
      <c r="CF712" s="15">
        <f>CE712</f>
        <v>750</v>
      </c>
      <c r="CG712" s="15" t="s">
        <v>766</v>
      </c>
      <c r="CY712" s="25">
        <f>CF712</f>
        <v>750</v>
      </c>
      <c r="CZ712" s="25">
        <f>CY712/0.78/1000</f>
        <v>0.96153846153846156</v>
      </c>
      <c r="DA712" s="25">
        <f>CY712*3</f>
        <v>2250</v>
      </c>
      <c r="EW712" s="46">
        <f>AX712+BT712+CF712+DE712+DY712</f>
        <v>2886</v>
      </c>
      <c r="EX712" s="46">
        <f>BA712+BZ712+CZ712+DT712+ET712</f>
        <v>1.6905487004463113</v>
      </c>
      <c r="EY712" s="46">
        <f>BB712+CA712+DA712+DU712+EU712</f>
        <v>3531.6</v>
      </c>
      <c r="FK712" s="16">
        <f t="shared" si="617"/>
        <v>5.4</v>
      </c>
      <c r="FL712" s="16">
        <f t="shared" si="618"/>
        <v>6.9</v>
      </c>
      <c r="FM712" s="15">
        <v>5.4</v>
      </c>
      <c r="FN712" s="15">
        <v>0.1</v>
      </c>
      <c r="FO712" s="15">
        <f>FN712*SQRT(AR712)</f>
        <v>0.17320508075688773</v>
      </c>
      <c r="FP712" s="15">
        <v>6.9</v>
      </c>
      <c r="FQ712" s="15">
        <v>0.12</v>
      </c>
      <c r="FR712" s="15">
        <f>FQ712*SQRT(AR712)</f>
        <v>0.20784609690826525</v>
      </c>
      <c r="FS712" s="15">
        <f t="shared" si="619"/>
        <v>1.2777777777777777</v>
      </c>
      <c r="FT712" s="15">
        <f t="shared" si="620"/>
        <v>1.5</v>
      </c>
      <c r="FU712" s="15">
        <f t="shared" si="621"/>
        <v>0.24512245803298494</v>
      </c>
      <c r="FV712" s="15">
        <f>((FR712*FR712)/(AR712*FP712*FP712)+(FO712*FO712)/(AR712*FM712*FM712))</f>
        <v>6.4539299503942765E-4</v>
      </c>
      <c r="FX712" s="15">
        <v>25</v>
      </c>
      <c r="FY712" s="15">
        <v>3</v>
      </c>
      <c r="FZ712" s="15">
        <f>FY712*SQRT(AR712)</f>
        <v>5.196152422706632</v>
      </c>
      <c r="GA712" s="15">
        <v>28</v>
      </c>
      <c r="GB712" s="15">
        <v>2</v>
      </c>
      <c r="GC712" s="15">
        <f>GB712*SQRT(AR712)</f>
        <v>3.4641016151377544</v>
      </c>
      <c r="GD712" s="15">
        <f t="shared" si="622"/>
        <v>1.1200000000000001</v>
      </c>
      <c r="GE712" s="15">
        <f t="shared" si="623"/>
        <v>3</v>
      </c>
      <c r="GF712" s="15">
        <f t="shared" si="624"/>
        <v>0.11332868530700324</v>
      </c>
      <c r="GG712" s="15">
        <f>((GC712*GC712)/(AR712*GA712*GA712)+(FZ712*FZ712)/(AR712*FX712*FX712))</f>
        <v>1.9502040816326529E-2</v>
      </c>
      <c r="HE712" s="15">
        <v>7110</v>
      </c>
      <c r="HF712" s="15">
        <v>222</v>
      </c>
      <c r="HG712" s="15">
        <f>HF712*SQRT(AR402)</f>
        <v>384.51527928029071</v>
      </c>
      <c r="HH712" s="15">
        <v>7205</v>
      </c>
      <c r="HI712" s="15">
        <v>321</v>
      </c>
      <c r="HJ712" s="15">
        <f>HI712*SQRT(AR402)</f>
        <v>555.98830922960963</v>
      </c>
      <c r="HK712" s="15">
        <f t="shared" ref="HK712:HK723" si="628">HH712/HE712</f>
        <v>1.0133614627285514</v>
      </c>
      <c r="HL712" s="15">
        <f t="shared" ref="HL712:HL723" si="629">HH712-HE712</f>
        <v>95</v>
      </c>
      <c r="HM712" s="15">
        <f t="shared" ref="HM712:HM723" si="630">LN(HH712)-LN(HE712)</f>
        <v>1.3272985636335832E-2</v>
      </c>
      <c r="HN712" s="15">
        <f>((HJ712*HJ712)/(AR402*HH712*HH712)+(HG712*HG712)/(AR402*HE712*HE712))</f>
        <v>2.9598308150375723E-3</v>
      </c>
      <c r="HP712" s="15" t="s">
        <v>766</v>
      </c>
      <c r="HV712" s="15">
        <f t="shared" ref="HV712:HV723" si="631">HX712/HW712/100</f>
        <v>2660.7427271916649</v>
      </c>
      <c r="HW712" s="15">
        <f t="shared" ref="HW712:HW723" si="632">HM712</f>
        <v>1.3272985636335832E-2</v>
      </c>
      <c r="HX712" s="15">
        <f>EY712</f>
        <v>3531.6</v>
      </c>
      <c r="HY712" s="15">
        <f t="shared" ref="HY712:IA716" si="633">EW712</f>
        <v>2886</v>
      </c>
      <c r="HZ712" s="15">
        <f t="shared" si="633"/>
        <v>1.6905487004463113</v>
      </c>
      <c r="IA712" s="15">
        <f t="shared" si="633"/>
        <v>3531.6</v>
      </c>
    </row>
    <row r="713" spans="1:235" s="15" customFormat="1" x14ac:dyDescent="0.25">
      <c r="A713" s="31">
        <v>711</v>
      </c>
      <c r="B713" s="1">
        <v>102</v>
      </c>
      <c r="C713" s="1">
        <v>122</v>
      </c>
      <c r="D713" s="15" t="s">
        <v>1594</v>
      </c>
      <c r="E713" s="1">
        <v>6</v>
      </c>
      <c r="F713" s="15" t="s">
        <v>1156</v>
      </c>
      <c r="G713" s="15" t="s">
        <v>1598</v>
      </c>
      <c r="H713" s="15" t="s">
        <v>1599</v>
      </c>
      <c r="I713" s="1">
        <v>2020</v>
      </c>
      <c r="J713" s="15" t="s">
        <v>1600</v>
      </c>
      <c r="K713" s="1">
        <v>2018</v>
      </c>
      <c r="L713" s="15" t="s">
        <v>1254</v>
      </c>
      <c r="M713" s="15" t="s">
        <v>480</v>
      </c>
      <c r="N713" s="15" t="s">
        <v>520</v>
      </c>
      <c r="O713" s="31">
        <v>2</v>
      </c>
      <c r="P713" s="15">
        <v>29.4</v>
      </c>
      <c r="Q713" s="15">
        <v>106.54</v>
      </c>
      <c r="S713" s="15">
        <v>1150</v>
      </c>
      <c r="T713" s="15">
        <v>18</v>
      </c>
      <c r="U713" s="15" t="s">
        <v>549</v>
      </c>
      <c r="V713" s="31">
        <v>1</v>
      </c>
      <c r="W713" s="15" t="s">
        <v>1158</v>
      </c>
      <c r="X713" s="15" t="s">
        <v>689</v>
      </c>
      <c r="Y713" s="1">
        <v>1</v>
      </c>
      <c r="Z713" s="15">
        <v>5.0199999999999996</v>
      </c>
      <c r="AA713" s="15" t="s">
        <v>574</v>
      </c>
      <c r="AB713" s="15">
        <f t="shared" si="616"/>
        <v>5.0199999999999996</v>
      </c>
      <c r="AC713" s="1">
        <v>3</v>
      </c>
      <c r="AD713" s="15">
        <v>30.16</v>
      </c>
      <c r="AM713" s="1"/>
      <c r="AP713" s="15" t="s">
        <v>1334</v>
      </c>
      <c r="AQ713" s="61">
        <v>3</v>
      </c>
      <c r="AR713" s="1">
        <v>3</v>
      </c>
      <c r="AT713" s="15" t="s">
        <v>545</v>
      </c>
      <c r="AW713" s="15">
        <v>1200</v>
      </c>
      <c r="AX713" s="15">
        <f>AW713*1.78</f>
        <v>2136</v>
      </c>
      <c r="AY713" s="15" t="s">
        <v>766</v>
      </c>
      <c r="AZ713" s="15">
        <f t="shared" si="625"/>
        <v>2136</v>
      </c>
      <c r="BA713" s="15">
        <f t="shared" si="626"/>
        <v>0.72901023890784988</v>
      </c>
      <c r="BB713" s="15">
        <f t="shared" si="627"/>
        <v>1281.5999999999999</v>
      </c>
      <c r="CC713" s="15" t="s">
        <v>689</v>
      </c>
      <c r="CE713" s="15">
        <v>1500</v>
      </c>
      <c r="CF713" s="15">
        <f>CE713</f>
        <v>1500</v>
      </c>
      <c r="CG713" s="15" t="s">
        <v>766</v>
      </c>
      <c r="CY713" s="25">
        <f>CF713</f>
        <v>1500</v>
      </c>
      <c r="CZ713" s="25">
        <f>CY713/0.78/1000</f>
        <v>1.9230769230769231</v>
      </c>
      <c r="DA713" s="25">
        <f>CY713*3</f>
        <v>4500</v>
      </c>
      <c r="EW713" s="46">
        <f>AX713+BT713+CF713+DE713+DY713</f>
        <v>3636</v>
      </c>
      <c r="EX713" s="46">
        <f>BA713+BZ713+CZ713+DT713+ET713</f>
        <v>2.652087161984773</v>
      </c>
      <c r="EY713" s="46">
        <f>BB713+CA713+DA713+DU713+EU713</f>
        <v>5781.6</v>
      </c>
      <c r="FK713" s="16">
        <f t="shared" si="617"/>
        <v>5.4</v>
      </c>
      <c r="FL713" s="16">
        <f t="shared" si="618"/>
        <v>7.2</v>
      </c>
      <c r="FM713" s="15">
        <v>5.4</v>
      </c>
      <c r="FN713" s="15">
        <v>0.1</v>
      </c>
      <c r="FO713" s="15">
        <f>FN713*SQRT(AR713)</f>
        <v>0.17320508075688773</v>
      </c>
      <c r="FP713" s="15">
        <v>7.2</v>
      </c>
      <c r="FQ713" s="15">
        <v>0.1</v>
      </c>
      <c r="FR713" s="15">
        <f>FQ713*SQRT(AR713)</f>
        <v>0.17320508075688773</v>
      </c>
      <c r="FS713" s="15">
        <f t="shared" si="619"/>
        <v>1.3333333333333333</v>
      </c>
      <c r="FT713" s="15">
        <f t="shared" si="620"/>
        <v>1.7999999999999998</v>
      </c>
      <c r="FU713" s="15">
        <f t="shared" si="621"/>
        <v>0.28768207245178079</v>
      </c>
      <c r="FV713" s="15">
        <f>((FR713*FR713)/(AR713*FP713*FP713)+(FO713*FO713)/(AR713*FM713*FM713))</f>
        <v>5.3583676268861445E-4</v>
      </c>
      <c r="FX713" s="15">
        <v>25</v>
      </c>
      <c r="FY713" s="15">
        <v>3</v>
      </c>
      <c r="FZ713" s="15">
        <f>FY713*SQRT(AR713)</f>
        <v>5.196152422706632</v>
      </c>
      <c r="GA713" s="15">
        <v>30</v>
      </c>
      <c r="GB713" s="15">
        <v>2</v>
      </c>
      <c r="GC713" s="15">
        <f>GB713*SQRT(AR713)</f>
        <v>3.4641016151377544</v>
      </c>
      <c r="GD713" s="15">
        <f t="shared" si="622"/>
        <v>1.2</v>
      </c>
      <c r="GE713" s="15">
        <f t="shared" si="623"/>
        <v>5</v>
      </c>
      <c r="GF713" s="15">
        <f t="shared" si="624"/>
        <v>0.1823215567939549</v>
      </c>
      <c r="GG713" s="15">
        <f>((GC713*GC713)/(AR713*GA713*GA713)+(FZ713*FZ713)/(AR713*FX713*FX713))</f>
        <v>1.8844444444444441E-2</v>
      </c>
      <c r="HE713" s="15">
        <v>7110</v>
      </c>
      <c r="HF713" s="15">
        <v>222</v>
      </c>
      <c r="HG713" s="15">
        <f>HF713*SQRT(AR403)</f>
        <v>384.51527928029071</v>
      </c>
      <c r="HH713" s="15">
        <v>7763</v>
      </c>
      <c r="HI713" s="15">
        <v>397</v>
      </c>
      <c r="HJ713" s="15">
        <f>HI713*SQRT(AR403)</f>
        <v>687.62417060484427</v>
      </c>
      <c r="HK713" s="15">
        <f t="shared" si="628"/>
        <v>1.0918424753867793</v>
      </c>
      <c r="HL713" s="15">
        <f t="shared" si="629"/>
        <v>653</v>
      </c>
      <c r="HM713" s="15">
        <f t="shared" si="630"/>
        <v>8.7866613608392541E-2</v>
      </c>
      <c r="HN713" s="15">
        <f>((HJ713*HJ713)/(AR403*HH713*HH713)+(HG713*HG713)/(AR403*HE713*HE713))</f>
        <v>3.5902169602527569E-3</v>
      </c>
      <c r="HP713" s="15" t="s">
        <v>766</v>
      </c>
      <c r="HV713" s="15">
        <f t="shared" si="631"/>
        <v>657.99736243024779</v>
      </c>
      <c r="HW713" s="15">
        <f t="shared" si="632"/>
        <v>8.7866613608392541E-2</v>
      </c>
      <c r="HX713" s="15">
        <f>EY713</f>
        <v>5781.6</v>
      </c>
      <c r="HY713" s="15">
        <f t="shared" si="633"/>
        <v>3636</v>
      </c>
      <c r="HZ713" s="15">
        <f t="shared" si="633"/>
        <v>2.652087161984773</v>
      </c>
      <c r="IA713" s="15">
        <f t="shared" si="633"/>
        <v>5781.6</v>
      </c>
    </row>
    <row r="714" spans="1:235" s="15" customFormat="1" x14ac:dyDescent="0.25">
      <c r="A714" s="31">
        <v>712</v>
      </c>
      <c r="B714" s="1">
        <v>102</v>
      </c>
      <c r="C714" s="1">
        <v>122</v>
      </c>
      <c r="D714" s="15" t="s">
        <v>1595</v>
      </c>
      <c r="E714" s="1">
        <v>6</v>
      </c>
      <c r="F714" s="15" t="s">
        <v>1156</v>
      </c>
      <c r="G714" s="15" t="s">
        <v>1598</v>
      </c>
      <c r="H714" s="15" t="s">
        <v>1599</v>
      </c>
      <c r="I714" s="1">
        <v>2020</v>
      </c>
      <c r="J714" s="15" t="s">
        <v>1600</v>
      </c>
      <c r="K714" s="1">
        <v>2018</v>
      </c>
      <c r="L714" s="15" t="s">
        <v>1254</v>
      </c>
      <c r="M714" s="15" t="s">
        <v>480</v>
      </c>
      <c r="N714" s="15" t="s">
        <v>520</v>
      </c>
      <c r="O714" s="31">
        <v>2</v>
      </c>
      <c r="P714" s="15">
        <v>29.4</v>
      </c>
      <c r="Q714" s="15">
        <v>106.54</v>
      </c>
      <c r="S714" s="15">
        <v>1150</v>
      </c>
      <c r="T714" s="15">
        <v>18</v>
      </c>
      <c r="U714" s="15" t="s">
        <v>549</v>
      </c>
      <c r="V714" s="31">
        <v>1</v>
      </c>
      <c r="W714" s="15" t="s">
        <v>1158</v>
      </c>
      <c r="X714" s="15" t="s">
        <v>689</v>
      </c>
      <c r="Y714" s="1">
        <v>1</v>
      </c>
      <c r="Z714" s="15">
        <v>5.0199999999999996</v>
      </c>
      <c r="AA714" s="15" t="s">
        <v>574</v>
      </c>
      <c r="AB714" s="15">
        <f t="shared" si="616"/>
        <v>5.0199999999999996</v>
      </c>
      <c r="AC714" s="1">
        <v>3</v>
      </c>
      <c r="AD714" s="15">
        <v>30.16</v>
      </c>
      <c r="AM714" s="1"/>
      <c r="AP714" s="15" t="s">
        <v>1334</v>
      </c>
      <c r="AQ714" s="61">
        <v>3</v>
      </c>
      <c r="AR714" s="1">
        <v>3</v>
      </c>
      <c r="AT714" s="15" t="s">
        <v>545</v>
      </c>
      <c r="AW714" s="15">
        <v>1200</v>
      </c>
      <c r="AX714" s="15">
        <f>AW714*1.78</f>
        <v>2136</v>
      </c>
      <c r="AY714" s="15" t="s">
        <v>766</v>
      </c>
      <c r="AZ714" s="15">
        <f t="shared" si="625"/>
        <v>2136</v>
      </c>
      <c r="BA714" s="15">
        <f t="shared" si="626"/>
        <v>0.72901023890784988</v>
      </c>
      <c r="BB714" s="15">
        <f t="shared" si="627"/>
        <v>1281.5999999999999</v>
      </c>
      <c r="CC714" s="15" t="s">
        <v>689</v>
      </c>
      <c r="CE714" s="15">
        <v>3000</v>
      </c>
      <c r="CF714" s="15">
        <f>CE714</f>
        <v>3000</v>
      </c>
      <c r="CG714" s="15" t="s">
        <v>766</v>
      </c>
      <c r="CY714" s="25">
        <f>CF714</f>
        <v>3000</v>
      </c>
      <c r="CZ714" s="25">
        <f>CY714/0.78/1000</f>
        <v>3.8461538461538463</v>
      </c>
      <c r="DA714" s="25">
        <f>CY714*3</f>
        <v>9000</v>
      </c>
      <c r="EW714" s="46">
        <f>AX714+BT714+CF714+DE714+DY714</f>
        <v>5136</v>
      </c>
      <c r="EX714" s="46">
        <f>BA714+BZ714+CZ714+DT714+ET714</f>
        <v>4.5751640850616964</v>
      </c>
      <c r="EY714" s="46">
        <f>BB714+CA714+DA714+DU714+EU714</f>
        <v>10281.6</v>
      </c>
      <c r="FK714" s="16">
        <f t="shared" si="617"/>
        <v>5.4</v>
      </c>
      <c r="FL714" s="16">
        <f t="shared" si="618"/>
        <v>7.25</v>
      </c>
      <c r="FM714" s="15">
        <v>5.4</v>
      </c>
      <c r="FN714" s="15">
        <v>0.1</v>
      </c>
      <c r="FO714" s="15">
        <f>FN714*SQRT(AR714)</f>
        <v>0.17320508075688773</v>
      </c>
      <c r="FP714" s="15">
        <v>7.25</v>
      </c>
      <c r="FQ714" s="15">
        <v>0.2</v>
      </c>
      <c r="FR714" s="15">
        <f>FQ714*SQRT(AR714)</f>
        <v>0.34641016151377546</v>
      </c>
      <c r="FS714" s="15">
        <f t="shared" si="619"/>
        <v>1.3425925925925926</v>
      </c>
      <c r="FT714" s="15">
        <f t="shared" si="620"/>
        <v>1.8499999999999996</v>
      </c>
      <c r="FU714" s="15">
        <f t="shared" si="621"/>
        <v>0.29460251529635451</v>
      </c>
      <c r="FV714" s="15">
        <f>((FR714*FR714)/(AR714*FP714*FP714)+(FO714*FO714)/(AR714*FM714*FM714))</f>
        <v>1.1039343390600712E-3</v>
      </c>
      <c r="FX714" s="15">
        <v>25</v>
      </c>
      <c r="FY714" s="15">
        <v>3</v>
      </c>
      <c r="FZ714" s="15">
        <f>FY714*SQRT(AR714)</f>
        <v>5.196152422706632</v>
      </c>
      <c r="GA714" s="15">
        <v>35</v>
      </c>
      <c r="GB714" s="15">
        <v>2</v>
      </c>
      <c r="GC714" s="15">
        <f>GB714*SQRT(AR714)</f>
        <v>3.4641016151377544</v>
      </c>
      <c r="GD714" s="15">
        <f t="shared" si="622"/>
        <v>1.4</v>
      </c>
      <c r="GE714" s="15">
        <f t="shared" si="623"/>
        <v>10</v>
      </c>
      <c r="GF714" s="15">
        <f t="shared" si="624"/>
        <v>0.33647223662121295</v>
      </c>
      <c r="GG714" s="15">
        <f>((GC714*GC714)/(AR714*GA714*GA714)+(FZ714*FZ714)/(AR714*FX714*FX714))</f>
        <v>1.766530612244898E-2</v>
      </c>
      <c r="HE714" s="15">
        <v>7110</v>
      </c>
      <c r="HF714" s="15">
        <v>222</v>
      </c>
      <c r="HG714" s="15">
        <f>HF714*SQRT(AR404)</f>
        <v>384.51527928029071</v>
      </c>
      <c r="HH714" s="15">
        <v>7680</v>
      </c>
      <c r="HI714" s="15">
        <v>237</v>
      </c>
      <c r="HJ714" s="15">
        <f>HI714*SQRT(AR404)</f>
        <v>410.49604139382387</v>
      </c>
      <c r="HK714" s="15">
        <f t="shared" si="628"/>
        <v>1.0801687763713079</v>
      </c>
      <c r="HL714" s="15">
        <f t="shared" si="629"/>
        <v>570</v>
      </c>
      <c r="HM714" s="15">
        <f t="shared" si="630"/>
        <v>7.7117303344429899E-2</v>
      </c>
      <c r="HN714" s="15">
        <f>((HJ714*HJ714)/(AR404*HH714*HH714)+(HG714*HG714)/(AR404*HE714*HE714))</f>
        <v>1.9272160140854564E-3</v>
      </c>
      <c r="HP714" s="15" t="s">
        <v>766</v>
      </c>
      <c r="HV714" s="15">
        <f t="shared" si="631"/>
        <v>1333.2416402164858</v>
      </c>
      <c r="HW714" s="15">
        <f t="shared" si="632"/>
        <v>7.7117303344429899E-2</v>
      </c>
      <c r="HX714" s="15">
        <f>EY714</f>
        <v>10281.6</v>
      </c>
      <c r="HY714" s="15">
        <f t="shared" si="633"/>
        <v>5136</v>
      </c>
      <c r="HZ714" s="15">
        <f t="shared" si="633"/>
        <v>4.5751640850616964</v>
      </c>
      <c r="IA714" s="15">
        <f t="shared" si="633"/>
        <v>10281.6</v>
      </c>
    </row>
    <row r="715" spans="1:235" s="15" customFormat="1" x14ac:dyDescent="0.25">
      <c r="A715" s="31">
        <v>713</v>
      </c>
      <c r="B715" s="1">
        <v>102</v>
      </c>
      <c r="C715" s="1">
        <v>122</v>
      </c>
      <c r="D715" s="15" t="s">
        <v>1596</v>
      </c>
      <c r="E715" s="1">
        <v>6</v>
      </c>
      <c r="F715" s="15" t="s">
        <v>1156</v>
      </c>
      <c r="G715" s="15" t="s">
        <v>1598</v>
      </c>
      <c r="H715" s="15" t="s">
        <v>1599</v>
      </c>
      <c r="I715" s="1">
        <v>2020</v>
      </c>
      <c r="J715" s="15" t="s">
        <v>1600</v>
      </c>
      <c r="K715" s="1">
        <v>2018</v>
      </c>
      <c r="L715" s="15" t="s">
        <v>1254</v>
      </c>
      <c r="M715" s="15" t="s">
        <v>480</v>
      </c>
      <c r="N715" s="15" t="s">
        <v>520</v>
      </c>
      <c r="O715" s="31">
        <v>2</v>
      </c>
      <c r="P715" s="15">
        <v>29.4</v>
      </c>
      <c r="Q715" s="15">
        <v>106.54</v>
      </c>
      <c r="S715" s="15">
        <v>1150</v>
      </c>
      <c r="T715" s="15">
        <v>18</v>
      </c>
      <c r="U715" s="15" t="s">
        <v>549</v>
      </c>
      <c r="V715" s="31">
        <v>1</v>
      </c>
      <c r="W715" s="15" t="s">
        <v>1158</v>
      </c>
      <c r="X715" s="15" t="s">
        <v>689</v>
      </c>
      <c r="Y715" s="1">
        <v>1</v>
      </c>
      <c r="Z715" s="15">
        <v>5.0199999999999996</v>
      </c>
      <c r="AA715" s="15" t="s">
        <v>574</v>
      </c>
      <c r="AB715" s="15">
        <f t="shared" si="616"/>
        <v>5.0199999999999996</v>
      </c>
      <c r="AC715" s="1">
        <v>3</v>
      </c>
      <c r="AD715" s="15">
        <v>30.16</v>
      </c>
      <c r="AM715" s="1"/>
      <c r="AP715" s="15" t="s">
        <v>1334</v>
      </c>
      <c r="AQ715" s="61">
        <v>3</v>
      </c>
      <c r="AR715" s="1">
        <v>3</v>
      </c>
      <c r="AT715" s="15" t="s">
        <v>545</v>
      </c>
      <c r="AW715" s="15">
        <v>1200</v>
      </c>
      <c r="AX715" s="15">
        <f>AW715*1.78</f>
        <v>2136</v>
      </c>
      <c r="AY715" s="15" t="s">
        <v>766</v>
      </c>
      <c r="AZ715" s="15">
        <f t="shared" si="625"/>
        <v>2136</v>
      </c>
      <c r="BA715" s="15">
        <f t="shared" si="626"/>
        <v>0.72901023890784988</v>
      </c>
      <c r="BB715" s="15">
        <f t="shared" si="627"/>
        <v>1281.5999999999999</v>
      </c>
      <c r="CC715" s="15" t="s">
        <v>689</v>
      </c>
      <c r="CE715" s="15">
        <v>5000</v>
      </c>
      <c r="CF715" s="15">
        <f>CE715</f>
        <v>5000</v>
      </c>
      <c r="CG715" s="15" t="s">
        <v>766</v>
      </c>
      <c r="CY715" s="25">
        <f>CF715</f>
        <v>5000</v>
      </c>
      <c r="CZ715" s="25">
        <f>CY715/0.78/1000</f>
        <v>6.4102564102564106</v>
      </c>
      <c r="DA715" s="25">
        <f>CY715*3</f>
        <v>15000</v>
      </c>
      <c r="EW715" s="46">
        <f>AX715+BT715+CF715+DE715+DY715</f>
        <v>7136</v>
      </c>
      <c r="EX715" s="46">
        <f>BA715+BZ715+CZ715+DT715+ET715</f>
        <v>7.1392666491642602</v>
      </c>
      <c r="EY715" s="46">
        <f>BB715+CA715+DA715+DU715+EU715</f>
        <v>16281.6</v>
      </c>
      <c r="FK715" s="16">
        <f t="shared" si="617"/>
        <v>5.4</v>
      </c>
      <c r="FL715" s="16">
        <f t="shared" si="618"/>
        <v>7.3</v>
      </c>
      <c r="FM715" s="15">
        <v>5.4</v>
      </c>
      <c r="FN715" s="15">
        <v>0.1</v>
      </c>
      <c r="FO715" s="15">
        <f>FN715*SQRT(AR715)</f>
        <v>0.17320508075688773</v>
      </c>
      <c r="FP715" s="15">
        <v>7.3</v>
      </c>
      <c r="FQ715" s="15">
        <v>0.1</v>
      </c>
      <c r="FR715" s="15">
        <f>FQ715*SQRT(AR715)</f>
        <v>0.17320508075688773</v>
      </c>
      <c r="FS715" s="15">
        <f t="shared" si="619"/>
        <v>1.3518518518518516</v>
      </c>
      <c r="FT715" s="15">
        <f t="shared" si="620"/>
        <v>1.8999999999999995</v>
      </c>
      <c r="FU715" s="15">
        <f t="shared" si="621"/>
        <v>0.30147539458411665</v>
      </c>
      <c r="FV715" s="15">
        <f>((FR715*FR715)/(AR715*FP715*FP715)+(FO715*FO715)/(AR715*FM715*FM715))</f>
        <v>5.305879957506626E-4</v>
      </c>
      <c r="FX715" s="15">
        <v>25</v>
      </c>
      <c r="FY715" s="15">
        <v>3</v>
      </c>
      <c r="FZ715" s="15">
        <f>FY715*SQRT(AR715)</f>
        <v>5.196152422706632</v>
      </c>
      <c r="GA715" s="15">
        <v>35</v>
      </c>
      <c r="GB715" s="15">
        <v>2</v>
      </c>
      <c r="GC715" s="15">
        <f>GB715*SQRT(AR715)</f>
        <v>3.4641016151377544</v>
      </c>
      <c r="GD715" s="15">
        <f t="shared" si="622"/>
        <v>1.4</v>
      </c>
      <c r="GE715" s="15">
        <f t="shared" si="623"/>
        <v>10</v>
      </c>
      <c r="GF715" s="15">
        <f t="shared" si="624"/>
        <v>0.33647223662121295</v>
      </c>
      <c r="GG715" s="15">
        <f>((GC715*GC715)/(AR715*GA715*GA715)+(FZ715*FZ715)/(AR715*FX715*FX715))</f>
        <v>1.766530612244898E-2</v>
      </c>
      <c r="HE715" s="15">
        <v>7110</v>
      </c>
      <c r="HF715" s="15">
        <v>222</v>
      </c>
      <c r="HG715" s="15">
        <f>HF715*SQRT(AR405)</f>
        <v>384.51527928029071</v>
      </c>
      <c r="HH715" s="15">
        <v>7508</v>
      </c>
      <c r="HI715" s="15">
        <v>177</v>
      </c>
      <c r="HJ715" s="15">
        <f>HI715*SQRT(AR405)</f>
        <v>306.57299293969129</v>
      </c>
      <c r="HK715" s="15">
        <f t="shared" si="628"/>
        <v>1.0559774964838256</v>
      </c>
      <c r="HL715" s="15">
        <f t="shared" si="629"/>
        <v>398</v>
      </c>
      <c r="HM715" s="15">
        <f t="shared" si="630"/>
        <v>5.4466874909111951E-2</v>
      </c>
      <c r="HN715" s="15">
        <f>((HJ715*HJ715)/(AR405*HH715*HH715)+(HG715*HG715)/(AR405*HE715*HE715))</f>
        <v>1.5306887057514593E-3</v>
      </c>
      <c r="HP715" s="15" t="s">
        <v>766</v>
      </c>
      <c r="HV715" s="15">
        <f t="shared" si="631"/>
        <v>2989.2664169128229</v>
      </c>
      <c r="HW715" s="15">
        <f t="shared" si="632"/>
        <v>5.4466874909111951E-2</v>
      </c>
      <c r="HX715" s="15">
        <f>EY715</f>
        <v>16281.6</v>
      </c>
      <c r="HY715" s="15">
        <f t="shared" si="633"/>
        <v>7136</v>
      </c>
      <c r="HZ715" s="15">
        <f t="shared" si="633"/>
        <v>7.1392666491642602</v>
      </c>
      <c r="IA715" s="15">
        <f t="shared" si="633"/>
        <v>16281.6</v>
      </c>
    </row>
    <row r="716" spans="1:235" s="15" customFormat="1" x14ac:dyDescent="0.25">
      <c r="A716" s="31">
        <v>714</v>
      </c>
      <c r="B716" s="1">
        <v>102</v>
      </c>
      <c r="C716" s="1">
        <v>122</v>
      </c>
      <c r="D716" s="15" t="s">
        <v>1597</v>
      </c>
      <c r="E716" s="1">
        <v>6</v>
      </c>
      <c r="F716" s="15" t="s">
        <v>1156</v>
      </c>
      <c r="G716" s="15" t="s">
        <v>1598</v>
      </c>
      <c r="H716" s="15" t="s">
        <v>1599</v>
      </c>
      <c r="I716" s="1">
        <v>2020</v>
      </c>
      <c r="J716" s="15" t="s">
        <v>1600</v>
      </c>
      <c r="K716" s="1">
        <v>2018</v>
      </c>
      <c r="L716" s="15" t="s">
        <v>1254</v>
      </c>
      <c r="M716" s="15" t="s">
        <v>480</v>
      </c>
      <c r="N716" s="15" t="s">
        <v>520</v>
      </c>
      <c r="O716" s="31">
        <v>2</v>
      </c>
      <c r="P716" s="15">
        <v>29.4</v>
      </c>
      <c r="Q716" s="15">
        <v>106.54</v>
      </c>
      <c r="S716" s="15">
        <v>1150</v>
      </c>
      <c r="T716" s="15">
        <v>18</v>
      </c>
      <c r="U716" s="15" t="s">
        <v>549</v>
      </c>
      <c r="V716" s="31">
        <v>1</v>
      </c>
      <c r="W716" s="15" t="s">
        <v>1158</v>
      </c>
      <c r="X716" s="15" t="s">
        <v>689</v>
      </c>
      <c r="Y716" s="1">
        <v>1</v>
      </c>
      <c r="Z716" s="15">
        <v>5.0199999999999996</v>
      </c>
      <c r="AA716" s="15" t="s">
        <v>574</v>
      </c>
      <c r="AB716" s="15">
        <f t="shared" si="616"/>
        <v>5.0199999999999996</v>
      </c>
      <c r="AC716" s="1">
        <v>3</v>
      </c>
      <c r="AD716" s="15">
        <v>30.16</v>
      </c>
      <c r="AM716" s="1"/>
      <c r="AP716" s="15" t="s">
        <v>1334</v>
      </c>
      <c r="AQ716" s="61">
        <v>3</v>
      </c>
      <c r="AR716" s="1">
        <v>3</v>
      </c>
      <c r="AT716" s="15" t="s">
        <v>545</v>
      </c>
      <c r="AW716" s="15">
        <v>1200</v>
      </c>
      <c r="AX716" s="15">
        <f>AW716*1.78</f>
        <v>2136</v>
      </c>
      <c r="AY716" s="15" t="s">
        <v>766</v>
      </c>
      <c r="AZ716" s="15">
        <f t="shared" si="625"/>
        <v>2136</v>
      </c>
      <c r="BA716" s="15">
        <f t="shared" si="626"/>
        <v>0.72901023890784988</v>
      </c>
      <c r="BB716" s="15">
        <f t="shared" si="627"/>
        <v>1281.5999999999999</v>
      </c>
      <c r="CC716" s="15" t="s">
        <v>689</v>
      </c>
      <c r="CE716" s="15">
        <v>7500</v>
      </c>
      <c r="CF716" s="15">
        <f>CE716</f>
        <v>7500</v>
      </c>
      <c r="CG716" s="15" t="s">
        <v>766</v>
      </c>
      <c r="CY716" s="25">
        <f>CF716</f>
        <v>7500</v>
      </c>
      <c r="CZ716" s="25">
        <f>CY716/0.78/1000</f>
        <v>9.615384615384615</v>
      </c>
      <c r="DA716" s="25">
        <f>CY716*3</f>
        <v>22500</v>
      </c>
      <c r="EW716" s="46">
        <f>AX716+BT716+CF716+DE716+DY716</f>
        <v>9636</v>
      </c>
      <c r="EX716" s="46">
        <f>BA716+BZ716+CZ716+DT716+ET716</f>
        <v>10.344394854292466</v>
      </c>
      <c r="EY716" s="46">
        <f>BB716+CA716+DA716+DU716+EU716</f>
        <v>23781.599999999999</v>
      </c>
      <c r="FK716" s="16">
        <f t="shared" si="617"/>
        <v>5.4</v>
      </c>
      <c r="FL716" s="16">
        <f t="shared" si="618"/>
        <v>7.4</v>
      </c>
      <c r="FM716" s="15">
        <v>5.4</v>
      </c>
      <c r="FN716" s="15">
        <v>0.1</v>
      </c>
      <c r="FO716" s="15">
        <f>FN716*SQRT(AR716)</f>
        <v>0.17320508075688773</v>
      </c>
      <c r="FP716" s="15">
        <v>7.4</v>
      </c>
      <c r="FQ716" s="15">
        <v>0.15</v>
      </c>
      <c r="FR716" s="15">
        <f>FQ716*SQRT(AR716)</f>
        <v>0.25980762113533157</v>
      </c>
      <c r="FS716" s="15">
        <f t="shared" si="619"/>
        <v>1.3703703703703702</v>
      </c>
      <c r="FT716" s="15">
        <f t="shared" si="620"/>
        <v>2</v>
      </c>
      <c r="FU716" s="15">
        <f t="shared" si="621"/>
        <v>0.31508104663989545</v>
      </c>
      <c r="FV716" s="15">
        <f>((FR716*FR716)/(AR716*FP716*FP716)+(FO716*FO716)/(AR716*FM716*FM716))</f>
        <v>7.5381938495051588E-4</v>
      </c>
      <c r="FX716" s="15">
        <v>25</v>
      </c>
      <c r="FY716" s="15">
        <v>3</v>
      </c>
      <c r="FZ716" s="15">
        <f>FY716*SQRT(AR716)</f>
        <v>5.196152422706632</v>
      </c>
      <c r="GA716" s="15">
        <v>37</v>
      </c>
      <c r="GB716" s="15">
        <v>2</v>
      </c>
      <c r="GC716" s="15">
        <f>GB716*SQRT(AR716)</f>
        <v>3.4641016151377544</v>
      </c>
      <c r="GD716" s="15">
        <f t="shared" si="622"/>
        <v>1.48</v>
      </c>
      <c r="GE716" s="15">
        <f t="shared" si="623"/>
        <v>12</v>
      </c>
      <c r="GF716" s="15">
        <f t="shared" si="624"/>
        <v>0.39204208777602378</v>
      </c>
      <c r="GG716" s="15">
        <f>((GC716*GC716)/(AR716*GA716*GA716)+(FZ716*FZ716)/(AR716*FX716*FX716))</f>
        <v>1.7321840759678596E-2</v>
      </c>
      <c r="HE716" s="15">
        <v>7110</v>
      </c>
      <c r="HF716" s="15">
        <v>222</v>
      </c>
      <c r="HG716" s="15">
        <f>HF716*SQRT(AR406)</f>
        <v>384.51527928029071</v>
      </c>
      <c r="HH716" s="15">
        <v>7194</v>
      </c>
      <c r="HI716" s="15">
        <v>361</v>
      </c>
      <c r="HJ716" s="15">
        <f>HI716*SQRT(AR406)</f>
        <v>625.27034153236468</v>
      </c>
      <c r="HK716" s="15">
        <f t="shared" si="628"/>
        <v>1.0118143459915612</v>
      </c>
      <c r="HL716" s="15">
        <f t="shared" si="629"/>
        <v>84</v>
      </c>
      <c r="HM716" s="15">
        <f t="shared" si="630"/>
        <v>1.1745101458281226E-2</v>
      </c>
      <c r="HN716" s="15">
        <f>((HJ716*HJ716)/(AR406*HH716*HH716)+(HG716*HG716)/(AR406*HE716*HE716))</f>
        <v>3.493018257806204E-3</v>
      </c>
      <c r="HP716" s="15" t="s">
        <v>766</v>
      </c>
      <c r="HV716" s="15">
        <f t="shared" si="631"/>
        <v>20248.100950402677</v>
      </c>
      <c r="HW716" s="15">
        <f t="shared" si="632"/>
        <v>1.1745101458281226E-2</v>
      </c>
      <c r="HX716" s="15">
        <f>EY716</f>
        <v>23781.599999999999</v>
      </c>
      <c r="HY716" s="15">
        <f t="shared" si="633"/>
        <v>9636</v>
      </c>
      <c r="HZ716" s="15">
        <f t="shared" si="633"/>
        <v>10.344394854292466</v>
      </c>
      <c r="IA716" s="15">
        <f t="shared" si="633"/>
        <v>23781.599999999999</v>
      </c>
    </row>
    <row r="717" spans="1:235" s="15" customFormat="1" x14ac:dyDescent="0.25">
      <c r="A717" s="31">
        <v>715</v>
      </c>
      <c r="B717" s="1">
        <v>103</v>
      </c>
      <c r="C717" s="1">
        <v>123</v>
      </c>
      <c r="D717" s="15" t="s">
        <v>1602</v>
      </c>
      <c r="E717" s="1">
        <v>1</v>
      </c>
      <c r="F717" s="15" t="s">
        <v>761</v>
      </c>
      <c r="G717" s="15" t="s">
        <v>1601</v>
      </c>
      <c r="H717" s="15" t="s">
        <v>1604</v>
      </c>
      <c r="I717" s="1">
        <v>2015</v>
      </c>
      <c r="J717" s="15" t="s">
        <v>1605</v>
      </c>
      <c r="K717" s="1">
        <v>2013</v>
      </c>
      <c r="L717" s="15" t="s">
        <v>1607</v>
      </c>
      <c r="M717" s="15" t="s">
        <v>1606</v>
      </c>
      <c r="N717" s="15" t="s">
        <v>783</v>
      </c>
      <c r="O717" s="31">
        <v>2</v>
      </c>
      <c r="P717" s="15">
        <v>47.43</v>
      </c>
      <c r="Q717" s="15">
        <v>8.52</v>
      </c>
      <c r="S717" s="15">
        <v>1054</v>
      </c>
      <c r="T717" s="15">
        <v>9.4</v>
      </c>
      <c r="U717" s="15" t="s">
        <v>549</v>
      </c>
      <c r="V717" s="31">
        <v>1</v>
      </c>
      <c r="W717" s="15" t="s">
        <v>1158</v>
      </c>
      <c r="X717" s="15" t="s">
        <v>731</v>
      </c>
      <c r="Y717" s="1">
        <v>12</v>
      </c>
      <c r="Z717" s="15">
        <v>6.3</v>
      </c>
      <c r="AA717" s="15" t="s">
        <v>574</v>
      </c>
      <c r="AB717" s="15">
        <f t="shared" si="616"/>
        <v>6.3</v>
      </c>
      <c r="AC717" s="1">
        <v>5</v>
      </c>
      <c r="AD717" s="15">
        <f>26.2*1.74</f>
        <v>45.588000000000001</v>
      </c>
      <c r="AJ717" s="15">
        <v>36</v>
      </c>
      <c r="AK717" s="15">
        <v>27</v>
      </c>
      <c r="AL717" s="15">
        <v>37</v>
      </c>
      <c r="AM717" s="1">
        <v>2</v>
      </c>
      <c r="AN717" s="15">
        <v>1.3</v>
      </c>
      <c r="AO717" s="1">
        <v>1</v>
      </c>
      <c r="AP717" s="15" t="s">
        <v>1608</v>
      </c>
      <c r="AQ717" s="57">
        <v>6</v>
      </c>
      <c r="AR717" s="1">
        <v>3</v>
      </c>
      <c r="AT717" s="15" t="s">
        <v>576</v>
      </c>
      <c r="AW717" s="15">
        <v>2000</v>
      </c>
      <c r="AX717" s="15">
        <f>AW717</f>
        <v>2000</v>
      </c>
      <c r="AY717" s="15" t="s">
        <v>766</v>
      </c>
      <c r="AZ717" s="15">
        <f t="shared" si="625"/>
        <v>2000</v>
      </c>
      <c r="BA717" s="15">
        <f t="shared" si="626"/>
        <v>0.68259385665529004</v>
      </c>
      <c r="BB717" s="15">
        <f t="shared" si="627"/>
        <v>1200</v>
      </c>
      <c r="BP717" s="16"/>
      <c r="BQ717" s="16"/>
      <c r="BR717" s="16"/>
      <c r="BU717" s="16"/>
      <c r="EZ717" s="16"/>
      <c r="FA717" s="16"/>
      <c r="FB717" s="16"/>
      <c r="FC717" s="16"/>
      <c r="FD717" s="16"/>
      <c r="FE717" s="16"/>
      <c r="FF717" s="16"/>
      <c r="FG717" s="16"/>
      <c r="FH717" s="16"/>
      <c r="FI717" s="16"/>
      <c r="FJ717" s="16"/>
      <c r="FK717" s="16">
        <f t="shared" si="617"/>
        <v>6.3</v>
      </c>
      <c r="FL717" s="16">
        <f t="shared" si="618"/>
        <v>6.65</v>
      </c>
      <c r="FM717" s="15">
        <v>6.3</v>
      </c>
      <c r="FN717" s="15">
        <v>0.14000000000000001</v>
      </c>
      <c r="FO717" s="15">
        <f>FN717*SQRT(AR717)</f>
        <v>0.24248711305964282</v>
      </c>
      <c r="FP717" s="15">
        <v>6.65</v>
      </c>
      <c r="FQ717" s="15">
        <v>0.12</v>
      </c>
      <c r="FR717" s="15">
        <f>FQ717*SQRT(AR717)</f>
        <v>0.20784609690826525</v>
      </c>
      <c r="FS717" s="15">
        <f t="shared" si="619"/>
        <v>1.0555555555555556</v>
      </c>
      <c r="FT717" s="15">
        <f t="shared" si="620"/>
        <v>0.35000000000000053</v>
      </c>
      <c r="FU717" s="15">
        <f t="shared" si="621"/>
        <v>5.4067221270275967E-2</v>
      </c>
      <c r="FV717" s="15">
        <f>((FR717*FR717)/(AR717*FP717*FP717)+(FO717*FO717)/(AR717*FM717*FM717))</f>
        <v>8.1945325580729867E-4</v>
      </c>
      <c r="HE717" s="15">
        <v>7256</v>
      </c>
      <c r="HF717" s="15">
        <v>490</v>
      </c>
      <c r="HG717" s="15">
        <f>HF717*SQRT(AR407)</f>
        <v>848.70489570874986</v>
      </c>
      <c r="HH717" s="15">
        <v>7831</v>
      </c>
      <c r="HI717" s="15">
        <v>360</v>
      </c>
      <c r="HJ717" s="15">
        <f>HI717*SQRT(AR407)</f>
        <v>623.53829072479584</v>
      </c>
      <c r="HK717" s="15">
        <f t="shared" si="628"/>
        <v>1.0792447629547961</v>
      </c>
      <c r="HL717" s="15">
        <f t="shared" si="629"/>
        <v>575</v>
      </c>
      <c r="HM717" s="15">
        <f t="shared" si="630"/>
        <v>7.6261502955963678E-2</v>
      </c>
      <c r="HN717" s="15">
        <f>((HJ717*HJ717)/(AR407*HH717*HH717)+(HG717*HG717)/(AR407*HE717*HE717))</f>
        <v>6.6736898276943471E-3</v>
      </c>
      <c r="HP717" s="15" t="s">
        <v>766</v>
      </c>
      <c r="HV717" s="15">
        <f t="shared" si="631"/>
        <v>157.3533111054638</v>
      </c>
      <c r="HW717" s="15">
        <f t="shared" si="632"/>
        <v>7.6261502955963678E-2</v>
      </c>
      <c r="HX717" s="15">
        <f>BB717</f>
        <v>1200</v>
      </c>
      <c r="HY717" s="15">
        <f>AZ717</f>
        <v>2000</v>
      </c>
      <c r="HZ717" s="15">
        <f>BA717</f>
        <v>0.68259385665529004</v>
      </c>
      <c r="IA717" s="15">
        <f>BB717</f>
        <v>1200</v>
      </c>
    </row>
    <row r="718" spans="1:235" s="15" customFormat="1" x14ac:dyDescent="0.25">
      <c r="A718" s="31">
        <v>716</v>
      </c>
      <c r="B718" s="1">
        <v>103</v>
      </c>
      <c r="C718" s="1">
        <v>123</v>
      </c>
      <c r="D718" s="15" t="s">
        <v>1603</v>
      </c>
      <c r="E718" s="1">
        <v>2</v>
      </c>
      <c r="F718" s="15" t="s">
        <v>777</v>
      </c>
      <c r="G718" s="15" t="s">
        <v>1601</v>
      </c>
      <c r="H718" s="15" t="s">
        <v>1604</v>
      </c>
      <c r="I718" s="1">
        <v>2015</v>
      </c>
      <c r="J718" s="15" t="s">
        <v>1605</v>
      </c>
      <c r="K718" s="1">
        <v>2013</v>
      </c>
      <c r="L718" s="15" t="s">
        <v>1607</v>
      </c>
      <c r="M718" s="15" t="s">
        <v>1606</v>
      </c>
      <c r="N718" s="15" t="s">
        <v>783</v>
      </c>
      <c r="O718" s="31">
        <v>2</v>
      </c>
      <c r="P718" s="15">
        <v>47.43</v>
      </c>
      <c r="Q718" s="15">
        <v>8.52</v>
      </c>
      <c r="S718" s="15">
        <v>1054</v>
      </c>
      <c r="T718" s="15">
        <v>9.4</v>
      </c>
      <c r="U718" s="15" t="s">
        <v>549</v>
      </c>
      <c r="V718" s="31">
        <v>1</v>
      </c>
      <c r="W718" s="15" t="s">
        <v>1158</v>
      </c>
      <c r="X718" s="15" t="s">
        <v>731</v>
      </c>
      <c r="Y718" s="1">
        <v>12</v>
      </c>
      <c r="Z718" s="15">
        <v>6.3</v>
      </c>
      <c r="AA718" s="15" t="s">
        <v>574</v>
      </c>
      <c r="AB718" s="15">
        <f t="shared" si="616"/>
        <v>6.3</v>
      </c>
      <c r="AC718" s="1">
        <v>5</v>
      </c>
      <c r="AD718" s="15">
        <f>26.2*1.74</f>
        <v>45.588000000000001</v>
      </c>
      <c r="AJ718" s="15">
        <v>36</v>
      </c>
      <c r="AK718" s="15">
        <v>27</v>
      </c>
      <c r="AL718" s="15">
        <v>37</v>
      </c>
      <c r="AM718" s="1">
        <v>2</v>
      </c>
      <c r="AN718" s="15">
        <v>1.3</v>
      </c>
      <c r="AO718" s="1">
        <v>1</v>
      </c>
      <c r="AP718" s="15" t="s">
        <v>1608</v>
      </c>
      <c r="AQ718" s="57">
        <v>6</v>
      </c>
      <c r="AR718" s="1">
        <v>3</v>
      </c>
      <c r="BP718" s="16"/>
      <c r="BQ718" s="16"/>
      <c r="BR718" s="16"/>
      <c r="BU718" s="16"/>
      <c r="CC718" s="15" t="s">
        <v>1609</v>
      </c>
      <c r="CE718" s="15">
        <v>20000</v>
      </c>
      <c r="CF718" s="15">
        <f>CE718</f>
        <v>20000</v>
      </c>
      <c r="CG718" s="15" t="s">
        <v>766</v>
      </c>
      <c r="CH718" s="15">
        <v>9.8000000000000007</v>
      </c>
      <c r="CI718" s="15">
        <v>650</v>
      </c>
      <c r="CY718" s="25">
        <f>CF718</f>
        <v>20000</v>
      </c>
      <c r="CZ718" s="25">
        <f>CY718/0.78/1000</f>
        <v>25.641025641025642</v>
      </c>
      <c r="DA718" s="25">
        <f>CY718*3</f>
        <v>60000</v>
      </c>
      <c r="EZ718" s="16"/>
      <c r="FA718" s="16"/>
      <c r="FB718" s="16"/>
      <c r="FC718" s="16"/>
      <c r="FD718" s="16"/>
      <c r="FE718" s="16"/>
      <c r="FF718" s="16"/>
      <c r="FG718" s="16"/>
      <c r="FH718" s="16"/>
      <c r="FI718" s="16"/>
      <c r="FJ718" s="16"/>
      <c r="FK718" s="16">
        <f t="shared" si="617"/>
        <v>6.3</v>
      </c>
      <c r="FL718" s="16">
        <f t="shared" si="618"/>
        <v>6.77</v>
      </c>
      <c r="FM718" s="15">
        <v>6.3</v>
      </c>
      <c r="FN718" s="15">
        <v>0.14000000000000001</v>
      </c>
      <c r="FO718" s="15">
        <f>FN718*SQRT(AR718)</f>
        <v>0.24248711305964282</v>
      </c>
      <c r="FP718" s="15">
        <v>6.77</v>
      </c>
      <c r="FQ718" s="15">
        <v>0.11</v>
      </c>
      <c r="FR718" s="15">
        <f>FQ718*SQRT(AR718)</f>
        <v>0.1905255888325765</v>
      </c>
      <c r="FS718" s="15">
        <f t="shared" si="619"/>
        <v>1.0746031746031746</v>
      </c>
      <c r="FT718" s="15">
        <f t="shared" si="620"/>
        <v>0.46999999999999975</v>
      </c>
      <c r="FU718" s="15">
        <f t="shared" si="621"/>
        <v>7.195145352669674E-2</v>
      </c>
      <c r="FV718" s="15">
        <f>((FR718*FR718)/(AR718*FP718*FP718)+(FO718*FO718)/(AR718*FM718*FM718))</f>
        <v>7.5782965651742594E-4</v>
      </c>
      <c r="HE718" s="15">
        <v>7256</v>
      </c>
      <c r="HF718" s="15">
        <v>490</v>
      </c>
      <c r="HG718" s="15">
        <f>HF718*SQRT(AR408)</f>
        <v>848.70489570874986</v>
      </c>
      <c r="HH718" s="15">
        <v>7882</v>
      </c>
      <c r="HI718" s="15">
        <v>345</v>
      </c>
      <c r="HJ718" s="15">
        <f>HI718*SQRT(AR408)</f>
        <v>597.55752861126268</v>
      </c>
      <c r="HK718" s="15">
        <f t="shared" si="628"/>
        <v>1.0862734288864389</v>
      </c>
      <c r="HL718" s="15">
        <f t="shared" si="629"/>
        <v>626</v>
      </c>
      <c r="HM718" s="15">
        <f t="shared" si="630"/>
        <v>8.2752965959976166E-2</v>
      </c>
      <c r="HN718" s="15">
        <f>((HJ718*HJ718)/(AR408*HH718*HH718)+(HG718*HG718)/(AR408*HE718*HE718))</f>
        <v>6.4762109606508016E-3</v>
      </c>
      <c r="HP718" s="15" t="s">
        <v>766</v>
      </c>
      <c r="HV718" s="15">
        <f t="shared" si="631"/>
        <v>7250.4954117317393</v>
      </c>
      <c r="HW718" s="15">
        <f t="shared" si="632"/>
        <v>8.2752965959976166E-2</v>
      </c>
      <c r="HX718" s="25">
        <f>DA718</f>
        <v>60000</v>
      </c>
      <c r="HY718" s="25">
        <f>CY718</f>
        <v>20000</v>
      </c>
      <c r="HZ718" s="25">
        <f>CZ718</f>
        <v>25.641025641025642</v>
      </c>
      <c r="IA718" s="25">
        <f>DA718</f>
        <v>60000</v>
      </c>
    </row>
    <row r="719" spans="1:235" s="15" customFormat="1" x14ac:dyDescent="0.25">
      <c r="A719" s="31">
        <v>717</v>
      </c>
      <c r="B719" s="1">
        <v>104</v>
      </c>
      <c r="C719" s="1">
        <v>124</v>
      </c>
      <c r="D719" s="15" t="s">
        <v>1610</v>
      </c>
      <c r="E719" s="1">
        <v>2</v>
      </c>
      <c r="F719" s="15" t="s">
        <v>777</v>
      </c>
      <c r="G719" s="15" t="s">
        <v>2386</v>
      </c>
      <c r="H719" s="15" t="s">
        <v>930</v>
      </c>
      <c r="I719" s="1">
        <v>2017</v>
      </c>
      <c r="J719" s="15" t="s">
        <v>2387</v>
      </c>
      <c r="K719" s="1" t="s">
        <v>2388</v>
      </c>
      <c r="L719" s="15" t="s">
        <v>2389</v>
      </c>
      <c r="M719" s="15" t="s">
        <v>480</v>
      </c>
      <c r="N719" s="15" t="s">
        <v>520</v>
      </c>
      <c r="O719" s="31">
        <v>2</v>
      </c>
      <c r="P719" s="15">
        <v>34.270000000000003</v>
      </c>
      <c r="Q719" s="15">
        <v>108.1</v>
      </c>
      <c r="R719" s="15">
        <v>751.8</v>
      </c>
      <c r="S719" s="15">
        <v>580</v>
      </c>
      <c r="T719" s="15">
        <v>13.1</v>
      </c>
      <c r="U719" s="15" t="s">
        <v>549</v>
      </c>
      <c r="V719" s="31">
        <v>1</v>
      </c>
      <c r="W719" s="15" t="s">
        <v>1158</v>
      </c>
      <c r="X719" s="15" t="s">
        <v>1316</v>
      </c>
      <c r="Y719" s="1">
        <v>2</v>
      </c>
      <c r="Z719" s="15">
        <v>7.5</v>
      </c>
      <c r="AA719" s="15" t="s">
        <v>574</v>
      </c>
      <c r="AB719" s="15">
        <f t="shared" si="616"/>
        <v>7.5</v>
      </c>
      <c r="AC719" s="60">
        <v>6</v>
      </c>
      <c r="AD719" s="15">
        <v>11.1</v>
      </c>
      <c r="AM719" s="1"/>
      <c r="AP719" s="15" t="s">
        <v>1613</v>
      </c>
      <c r="AQ719" s="1">
        <v>2</v>
      </c>
      <c r="AR719" s="1">
        <v>3</v>
      </c>
      <c r="BP719" s="16"/>
      <c r="BQ719" s="16"/>
      <c r="BR719" s="16"/>
      <c r="BU719" s="16"/>
      <c r="CC719" s="15" t="s">
        <v>2390</v>
      </c>
      <c r="CE719" s="15">
        <v>20000</v>
      </c>
      <c r="CF719" s="15">
        <f>CE719</f>
        <v>20000</v>
      </c>
      <c r="CG719" s="15" t="s">
        <v>766</v>
      </c>
      <c r="CH719" s="15">
        <v>8.5</v>
      </c>
      <c r="CI719" s="15">
        <v>350</v>
      </c>
      <c r="CY719" s="25">
        <f>CF719</f>
        <v>20000</v>
      </c>
      <c r="CZ719" s="25">
        <f>CY719/0.78/1000</f>
        <v>25.641025641025642</v>
      </c>
      <c r="DA719" s="25">
        <f>CY719*3</f>
        <v>60000</v>
      </c>
      <c r="EZ719" s="16"/>
      <c r="FA719" s="16"/>
      <c r="FB719" s="16"/>
      <c r="FC719" s="16"/>
      <c r="FD719" s="16"/>
      <c r="FE719" s="16"/>
      <c r="FF719" s="16"/>
      <c r="FG719" s="16"/>
      <c r="FH719" s="16"/>
      <c r="FI719" s="16"/>
      <c r="FJ719" s="16"/>
      <c r="FK719" s="16">
        <f t="shared" si="617"/>
        <v>7.5</v>
      </c>
      <c r="FL719" s="16">
        <f t="shared" si="618"/>
        <v>8</v>
      </c>
      <c r="FM719" s="15">
        <v>7.5</v>
      </c>
      <c r="FN719" s="15">
        <v>0.03</v>
      </c>
      <c r="FO719" s="15">
        <f>FN719*SQRT(AR719)</f>
        <v>5.1961524227066312E-2</v>
      </c>
      <c r="FP719" s="15">
        <v>8</v>
      </c>
      <c r="FQ719" s="15">
        <v>0.1</v>
      </c>
      <c r="FR719" s="15">
        <f>FQ719*SQRT(AR719)</f>
        <v>0.17320508075688773</v>
      </c>
      <c r="FS719" s="15">
        <f t="shared" si="619"/>
        <v>1.0666666666666667</v>
      </c>
      <c r="FT719" s="15">
        <f t="shared" si="620"/>
        <v>0.5</v>
      </c>
      <c r="FU719" s="15">
        <f t="shared" si="621"/>
        <v>6.4538521137571081E-2</v>
      </c>
      <c r="FV719" s="15">
        <f>((FR719*FR719)/(AR719*FP719*FP719)+(FO719*FO719)/(AR719*FM719*FM719))</f>
        <v>1.7224999999999999E-4</v>
      </c>
      <c r="FX719" s="15">
        <f>7.69*1.74</f>
        <v>13.380600000000001</v>
      </c>
      <c r="FY719" s="15">
        <v>0.3</v>
      </c>
      <c r="FZ719" s="15">
        <f>FY719*SQRT(AR719)</f>
        <v>0.51961524227066314</v>
      </c>
      <c r="GA719" s="15">
        <f>9.48*1.74</f>
        <v>16.495200000000001</v>
      </c>
      <c r="GB719" s="15">
        <v>0.2</v>
      </c>
      <c r="GC719" s="15">
        <f>GB719*SQRT(AR719)</f>
        <v>0.34641016151377546</v>
      </c>
      <c r="GD719" s="15">
        <f>GA719/FX719</f>
        <v>1.2327698309492847</v>
      </c>
      <c r="GE719" s="15">
        <f>GA719-FX719</f>
        <v>3.1145999999999994</v>
      </c>
      <c r="GF719" s="15">
        <f>LN(GA719)-LN(FX719)</f>
        <v>0.20926353274937792</v>
      </c>
      <c r="GG719" s="15">
        <f>((GC719*GC719)/(AR719*GA719*GA719)+(FZ719*FZ719)/(AR719*FX719*FX719))</f>
        <v>6.4968898738531884E-4</v>
      </c>
      <c r="HE719" s="15">
        <f>9.28*800</f>
        <v>7423.9999999999991</v>
      </c>
      <c r="HF719" s="15">
        <f>HE719*0.05</f>
        <v>371.2</v>
      </c>
      <c r="HG719" s="15">
        <f>HF719*SQRT(AR409)</f>
        <v>642.93725976956716</v>
      </c>
      <c r="HH719" s="15">
        <f>11.17*800</f>
        <v>8936</v>
      </c>
      <c r="HI719" s="15">
        <f>HH719*0.05</f>
        <v>446.8</v>
      </c>
      <c r="HJ719" s="15">
        <f>HI719*SQRT(AR409)</f>
        <v>773.88030082177431</v>
      </c>
      <c r="HK719" s="15">
        <f t="shared" si="628"/>
        <v>1.2036637931034484</v>
      </c>
      <c r="HL719" s="15">
        <f t="shared" si="629"/>
        <v>1512.0000000000009</v>
      </c>
      <c r="HM719" s="15">
        <f t="shared" si="630"/>
        <v>0.18537006628300112</v>
      </c>
      <c r="HN719" s="15">
        <f>((HJ719*HJ719)/(AR409*HH719*HH719)+(HG719*HG719)/(AR409*HE719*HE719))</f>
        <v>4.9999999999999992E-3</v>
      </c>
      <c r="HP719" s="15" t="s">
        <v>766</v>
      </c>
      <c r="HV719" s="15">
        <f t="shared" si="631"/>
        <v>3236.768546459874</v>
      </c>
      <c r="HW719" s="15">
        <f t="shared" si="632"/>
        <v>0.18537006628300112</v>
      </c>
      <c r="HX719" s="25">
        <f>DA719</f>
        <v>60000</v>
      </c>
      <c r="HY719" s="25">
        <f>CY719</f>
        <v>20000</v>
      </c>
      <c r="HZ719" s="25">
        <f>CZ719</f>
        <v>25.641025641025642</v>
      </c>
      <c r="IA719" s="25">
        <f>DA719</f>
        <v>60000</v>
      </c>
    </row>
    <row r="720" spans="1:235" s="15" customFormat="1" x14ac:dyDescent="0.25">
      <c r="A720" s="31">
        <v>718</v>
      </c>
      <c r="B720" s="1">
        <v>104</v>
      </c>
      <c r="C720" s="1">
        <v>124</v>
      </c>
      <c r="D720" s="15" t="s">
        <v>1611</v>
      </c>
      <c r="E720" s="1">
        <v>4</v>
      </c>
      <c r="F720" s="15" t="s">
        <v>879</v>
      </c>
      <c r="G720" s="15" t="s">
        <v>2386</v>
      </c>
      <c r="H720" s="15" t="s">
        <v>930</v>
      </c>
      <c r="I720" s="1">
        <v>2017</v>
      </c>
      <c r="J720" s="15" t="s">
        <v>2387</v>
      </c>
      <c r="K720" s="1" t="s">
        <v>2388</v>
      </c>
      <c r="L720" s="15" t="s">
        <v>2389</v>
      </c>
      <c r="M720" s="15" t="s">
        <v>480</v>
      </c>
      <c r="N720" s="15" t="s">
        <v>520</v>
      </c>
      <c r="O720" s="31">
        <v>2</v>
      </c>
      <c r="P720" s="15">
        <v>34.270000000000003</v>
      </c>
      <c r="Q720" s="15">
        <v>108.1</v>
      </c>
      <c r="R720" s="15">
        <v>751.8</v>
      </c>
      <c r="S720" s="15">
        <v>580</v>
      </c>
      <c r="T720" s="15">
        <v>13.1</v>
      </c>
      <c r="U720" s="15" t="s">
        <v>549</v>
      </c>
      <c r="V720" s="31">
        <v>1</v>
      </c>
      <c r="W720" s="15" t="s">
        <v>1158</v>
      </c>
      <c r="X720" s="15" t="s">
        <v>1316</v>
      </c>
      <c r="Y720" s="1">
        <v>2</v>
      </c>
      <c r="Z720" s="15">
        <v>7.5</v>
      </c>
      <c r="AA720" s="15" t="s">
        <v>574</v>
      </c>
      <c r="AB720" s="15">
        <f t="shared" si="616"/>
        <v>7.5</v>
      </c>
      <c r="AC720" s="60">
        <v>6</v>
      </c>
      <c r="AD720" s="15">
        <v>11.1</v>
      </c>
      <c r="AM720" s="1"/>
      <c r="AP720" s="15" t="s">
        <v>1613</v>
      </c>
      <c r="AQ720" s="1">
        <v>2</v>
      </c>
      <c r="AR720" s="1">
        <v>3</v>
      </c>
      <c r="BG720" s="15" t="s">
        <v>2391</v>
      </c>
      <c r="BS720" s="15">
        <v>25000</v>
      </c>
      <c r="BT720" s="15">
        <f t="shared" ref="BT720:BT726" si="634">BS720</f>
        <v>25000</v>
      </c>
      <c r="BU720" s="15" t="s">
        <v>766</v>
      </c>
      <c r="BY720" s="15">
        <f t="shared" ref="BY720:BY726" si="635">BT720</f>
        <v>25000</v>
      </c>
      <c r="BZ720" s="15">
        <f t="shared" ref="BZ720:BZ726" si="636">BY720/1.1/1000</f>
        <v>22.727272727272723</v>
      </c>
      <c r="CA720" s="15">
        <f t="shared" ref="CA720:CA726" si="637">BY720*2</f>
        <v>50000</v>
      </c>
      <c r="FK720" s="16">
        <f t="shared" si="617"/>
        <v>7.5</v>
      </c>
      <c r="FL720" s="16">
        <f t="shared" si="618"/>
        <v>7.56</v>
      </c>
      <c r="FM720" s="15">
        <v>7.5</v>
      </c>
      <c r="FN720" s="15">
        <v>0.03</v>
      </c>
      <c r="FO720" s="15">
        <f>FN720*SQRT(AR720)</f>
        <v>5.1961524227066312E-2</v>
      </c>
      <c r="FP720" s="15">
        <v>7.56</v>
      </c>
      <c r="FQ720" s="15">
        <v>0.13</v>
      </c>
      <c r="FR720" s="15">
        <f>FQ720*SQRT(AR720)</f>
        <v>0.22516660498395405</v>
      </c>
      <c r="FS720" s="15">
        <f t="shared" si="619"/>
        <v>1.008</v>
      </c>
      <c r="FT720" s="15">
        <f t="shared" si="620"/>
        <v>5.9999999999999609E-2</v>
      </c>
      <c r="FU720" s="15">
        <f t="shared" si="621"/>
        <v>7.9681696491769038E-3</v>
      </c>
      <c r="FV720" s="15">
        <f>((FR720*FR720)/(AR720*FP720*FP720)+(FO720*FO720)/(AR720*FM720*FM720))</f>
        <v>3.1169440945102327E-4</v>
      </c>
      <c r="FX720" s="15">
        <f>7.69*1.74</f>
        <v>13.380600000000001</v>
      </c>
      <c r="FY720" s="15">
        <v>0.3</v>
      </c>
      <c r="FZ720" s="15">
        <f>FY720*SQRT(AR720)</f>
        <v>0.51961524227066314</v>
      </c>
      <c r="GA720" s="15">
        <f>11.33*1.74</f>
        <v>19.714200000000002</v>
      </c>
      <c r="GB720" s="15">
        <v>0.1</v>
      </c>
      <c r="GC720" s="15">
        <f>GB720*SQRT(AR720)</f>
        <v>0.17320508075688773</v>
      </c>
      <c r="GD720" s="15">
        <f>GA720/FX720</f>
        <v>1.4733420026007802</v>
      </c>
      <c r="GE720" s="15">
        <f>GA720-FX720</f>
        <v>6.3336000000000006</v>
      </c>
      <c r="GF720" s="15">
        <f>LN(GA720)-LN(FX720)</f>
        <v>0.3875332915223626</v>
      </c>
      <c r="GG720" s="15">
        <f>((GC720*GC720)/(AR720*GA720*GA720)+(FZ720*FZ720)/(AR720*FX720*FX720))</f>
        <v>5.284097962717963E-4</v>
      </c>
      <c r="HE720" s="15">
        <f>9.28*800</f>
        <v>7423.9999999999991</v>
      </c>
      <c r="HF720" s="15">
        <f>HE720*0.05</f>
        <v>371.2</v>
      </c>
      <c r="HG720" s="15">
        <f>HF720*SQRT(AR410)</f>
        <v>642.93725976956716</v>
      </c>
      <c r="HH720" s="15">
        <f>12.4*800</f>
        <v>9920</v>
      </c>
      <c r="HI720" s="15">
        <f>HH720*0.05</f>
        <v>496</v>
      </c>
      <c r="HJ720" s="15">
        <f>HI720*SQRT(AR410)</f>
        <v>859.09720055416312</v>
      </c>
      <c r="HK720" s="15">
        <f t="shared" si="628"/>
        <v>1.3362068965517242</v>
      </c>
      <c r="HL720" s="15">
        <f t="shared" si="629"/>
        <v>2496.0000000000009</v>
      </c>
      <c r="HM720" s="15">
        <f t="shared" si="630"/>
        <v>0.28983492581288317</v>
      </c>
      <c r="HN720" s="15">
        <f>((HJ720*HJ720)/(AR410*HH720*HH720)+(HG720*HG720)/(AR410*HE720*HE720))</f>
        <v>5.0000000000000001E-3</v>
      </c>
      <c r="HP720" s="15" t="s">
        <v>766</v>
      </c>
      <c r="HV720" s="15">
        <f t="shared" si="631"/>
        <v>1725.1199060902652</v>
      </c>
      <c r="HW720" s="15">
        <f t="shared" si="632"/>
        <v>0.28983492581288317</v>
      </c>
      <c r="HX720" s="15">
        <f>CA720</f>
        <v>50000</v>
      </c>
      <c r="HY720" s="15">
        <f>BY720</f>
        <v>25000</v>
      </c>
      <c r="HZ720" s="15">
        <f>BZ720</f>
        <v>22.727272727272723</v>
      </c>
      <c r="IA720" s="15">
        <f>CA720</f>
        <v>50000</v>
      </c>
    </row>
    <row r="721" spans="1:235" s="15" customFormat="1" x14ac:dyDescent="0.25">
      <c r="A721" s="31">
        <v>719</v>
      </c>
      <c r="B721" s="1">
        <v>104</v>
      </c>
      <c r="C721" s="1">
        <v>124</v>
      </c>
      <c r="D721" s="15" t="s">
        <v>1612</v>
      </c>
      <c r="E721" s="1">
        <v>6</v>
      </c>
      <c r="F721" s="15" t="s">
        <v>2392</v>
      </c>
      <c r="G721" s="15" t="s">
        <v>2386</v>
      </c>
      <c r="H721" s="15" t="s">
        <v>930</v>
      </c>
      <c r="I721" s="1">
        <v>2017</v>
      </c>
      <c r="J721" s="15" t="s">
        <v>2387</v>
      </c>
      <c r="K721" s="1" t="s">
        <v>2388</v>
      </c>
      <c r="L721" s="15" t="s">
        <v>2389</v>
      </c>
      <c r="M721" s="15" t="s">
        <v>480</v>
      </c>
      <c r="N721" s="15" t="s">
        <v>520</v>
      </c>
      <c r="O721" s="31">
        <v>2</v>
      </c>
      <c r="P721" s="15">
        <v>34.270000000000003</v>
      </c>
      <c r="Q721" s="15">
        <v>108.1</v>
      </c>
      <c r="R721" s="15">
        <v>751.8</v>
      </c>
      <c r="S721" s="15">
        <v>580</v>
      </c>
      <c r="T721" s="15">
        <v>13.1</v>
      </c>
      <c r="U721" s="15" t="s">
        <v>549</v>
      </c>
      <c r="V721" s="31">
        <v>1</v>
      </c>
      <c r="W721" s="15" t="s">
        <v>1158</v>
      </c>
      <c r="X721" s="15" t="s">
        <v>1316</v>
      </c>
      <c r="Y721" s="1">
        <v>2</v>
      </c>
      <c r="Z721" s="15">
        <v>7.5</v>
      </c>
      <c r="AA721" s="15" t="s">
        <v>574</v>
      </c>
      <c r="AB721" s="15">
        <f t="shared" si="616"/>
        <v>7.5</v>
      </c>
      <c r="AC721" s="60">
        <v>6</v>
      </c>
      <c r="AD721" s="15">
        <v>11.1</v>
      </c>
      <c r="AM721" s="1"/>
      <c r="AP721" s="15" t="s">
        <v>2393</v>
      </c>
      <c r="AQ721" s="1">
        <v>2</v>
      </c>
      <c r="AR721" s="1">
        <v>3</v>
      </c>
      <c r="BG721" s="15" t="s">
        <v>2391</v>
      </c>
      <c r="BS721" s="15">
        <v>25000</v>
      </c>
      <c r="BT721" s="15">
        <f t="shared" si="634"/>
        <v>25000</v>
      </c>
      <c r="BU721" s="15" t="s">
        <v>766</v>
      </c>
      <c r="BY721" s="15">
        <f t="shared" si="635"/>
        <v>25000</v>
      </c>
      <c r="BZ721" s="15">
        <f t="shared" si="636"/>
        <v>22.727272727272723</v>
      </c>
      <c r="CA721" s="15">
        <f t="shared" si="637"/>
        <v>50000</v>
      </c>
      <c r="CC721" s="15" t="s">
        <v>2390</v>
      </c>
      <c r="CE721" s="15">
        <v>20000</v>
      </c>
      <c r="CF721" s="15">
        <f>CE721</f>
        <v>20000</v>
      </c>
      <c r="CG721" s="15" t="s">
        <v>766</v>
      </c>
      <c r="CH721" s="15">
        <v>8.5</v>
      </c>
      <c r="CI721" s="15">
        <v>350</v>
      </c>
      <c r="CY721" s="25">
        <f>CF721</f>
        <v>20000</v>
      </c>
      <c r="CZ721" s="25">
        <f>CY721/0.78/1000</f>
        <v>25.641025641025642</v>
      </c>
      <c r="DA721" s="25">
        <f>CY721*3</f>
        <v>60000</v>
      </c>
      <c r="EW721" s="46">
        <f>AX721+BT721+CF721+DE721+DY721</f>
        <v>45000</v>
      </c>
      <c r="EX721" s="46">
        <f>BA721+BZ721+CZ721+DT721+ET721</f>
        <v>48.368298368298369</v>
      </c>
      <c r="EY721" s="46">
        <f>BB721+CA721+DA721+DU721+EU721</f>
        <v>110000</v>
      </c>
      <c r="FK721" s="16">
        <f t="shared" si="617"/>
        <v>7.5</v>
      </c>
      <c r="FL721" s="16">
        <f t="shared" si="618"/>
        <v>7.88</v>
      </c>
      <c r="FM721" s="15">
        <v>7.5</v>
      </c>
      <c r="FN721" s="15">
        <v>0.03</v>
      </c>
      <c r="FO721" s="15">
        <f>FN721*SQRT(AR721)</f>
        <v>5.1961524227066312E-2</v>
      </c>
      <c r="FP721" s="15">
        <v>7.88</v>
      </c>
      <c r="FQ721" s="15">
        <v>0.1</v>
      </c>
      <c r="FR721" s="15">
        <f>FQ721*SQRT(AR721)</f>
        <v>0.17320508075688773</v>
      </c>
      <c r="FS721" s="15">
        <f t="shared" si="619"/>
        <v>1.0506666666666666</v>
      </c>
      <c r="FT721" s="15">
        <f t="shared" si="620"/>
        <v>0.37999999999999989</v>
      </c>
      <c r="FU721" s="15">
        <f t="shared" si="621"/>
        <v>4.9424883327523261E-2</v>
      </c>
      <c r="FV721" s="15">
        <f>((FR721*FR721)/(AR721*FP721*FP721)+(FO721*FO721)/(AR721*FM721*FM721))</f>
        <v>1.7704511840037102E-4</v>
      </c>
      <c r="FX721" s="15">
        <f>7.69*1.74</f>
        <v>13.380600000000001</v>
      </c>
      <c r="FY721" s="15">
        <v>0.3</v>
      </c>
      <c r="FZ721" s="15">
        <f>FY721*SQRT(AR721)</f>
        <v>0.51961524227066314</v>
      </c>
      <c r="GA721" s="15">
        <f>14.77*1.74</f>
        <v>25.6998</v>
      </c>
      <c r="GB721" s="15">
        <v>0.4</v>
      </c>
      <c r="GC721" s="15">
        <f>GB721*SQRT(AR721)</f>
        <v>0.69282032302755092</v>
      </c>
      <c r="GD721" s="15">
        <f>GA721/FX721</f>
        <v>1.9206762028608582</v>
      </c>
      <c r="GE721" s="15">
        <f>GA721-FX721</f>
        <v>12.319199999999999</v>
      </c>
      <c r="GF721" s="15">
        <f>LN(GA721)-LN(FX721)</f>
        <v>0.65267731302573573</v>
      </c>
      <c r="GG721" s="15">
        <f>((GC721*GC721)/(AR721*GA721*GA721)+(FZ721*FZ721)/(AR721*FX721*FX721))</f>
        <v>7.449278485514183E-4</v>
      </c>
      <c r="HE721" s="15">
        <f>9.28*800</f>
        <v>7423.9999999999991</v>
      </c>
      <c r="HF721" s="15">
        <f>HE721*0.05</f>
        <v>371.2</v>
      </c>
      <c r="HG721" s="15">
        <f>HF721*SQRT(AR411)</f>
        <v>642.93725976956716</v>
      </c>
      <c r="HH721" s="15">
        <f>13.3*800</f>
        <v>10640</v>
      </c>
      <c r="HI721" s="15">
        <f>HH721*0.05</f>
        <v>532</v>
      </c>
      <c r="HJ721" s="15">
        <f>HI721*SQRT(AR411)</f>
        <v>921.45102962664271</v>
      </c>
      <c r="HK721" s="15">
        <f t="shared" si="628"/>
        <v>1.4331896551724139</v>
      </c>
      <c r="HL721" s="15">
        <f t="shared" si="629"/>
        <v>3216.0000000000009</v>
      </c>
      <c r="HM721" s="15">
        <f t="shared" si="630"/>
        <v>0.35990248842959893</v>
      </c>
      <c r="HN721" s="15">
        <f>((HJ721*HJ721)/(AR411*HH721*HH721)+(HG721*HG721)/(AR411*HE721*HE721))</f>
        <v>5.0000000000000001E-3</v>
      </c>
      <c r="HP721" s="15" t="s">
        <v>766</v>
      </c>
      <c r="HV721" s="15">
        <f t="shared" si="631"/>
        <v>3056.3834242984753</v>
      </c>
      <c r="HW721" s="15">
        <f t="shared" si="632"/>
        <v>0.35990248842959893</v>
      </c>
      <c r="HX721" s="15">
        <f>EY721</f>
        <v>110000</v>
      </c>
      <c r="HY721" s="15">
        <f>EW721</f>
        <v>45000</v>
      </c>
      <c r="HZ721" s="15">
        <f>EX721</f>
        <v>48.368298368298369</v>
      </c>
      <c r="IA721" s="15">
        <f>EY721</f>
        <v>110000</v>
      </c>
    </row>
    <row r="722" spans="1:235" s="15" customFormat="1" ht="14.4" x14ac:dyDescent="0.25">
      <c r="A722" s="31">
        <v>720</v>
      </c>
      <c r="B722" s="1">
        <v>105</v>
      </c>
      <c r="C722" s="1">
        <v>125</v>
      </c>
      <c r="D722" s="15" t="s">
        <v>1623</v>
      </c>
      <c r="E722" s="1">
        <v>4</v>
      </c>
      <c r="F722" s="15" t="s">
        <v>1019</v>
      </c>
      <c r="G722" s="15" t="s">
        <v>2394</v>
      </c>
      <c r="H722" s="15" t="s">
        <v>818</v>
      </c>
      <c r="I722" s="1">
        <v>2017</v>
      </c>
      <c r="J722" s="15" t="s">
        <v>2395</v>
      </c>
      <c r="K722" s="1">
        <v>2013</v>
      </c>
      <c r="L722" s="15" t="s">
        <v>2396</v>
      </c>
      <c r="M722" s="15" t="s">
        <v>480</v>
      </c>
      <c r="N722" s="15" t="s">
        <v>520</v>
      </c>
      <c r="O722" s="31">
        <v>2</v>
      </c>
      <c r="P722" s="15">
        <v>29.6</v>
      </c>
      <c r="Q722" s="15">
        <v>91.1</v>
      </c>
      <c r="S722" s="15" t="s">
        <v>2397</v>
      </c>
      <c r="T722" s="15">
        <v>8</v>
      </c>
      <c r="U722" s="15" t="s">
        <v>549</v>
      </c>
      <c r="V722" s="31">
        <v>1</v>
      </c>
      <c r="W722" s="15" t="s">
        <v>1158</v>
      </c>
      <c r="X722" s="15" t="s">
        <v>1227</v>
      </c>
      <c r="Y722" s="61">
        <v>11</v>
      </c>
      <c r="Z722" s="15">
        <v>7.4</v>
      </c>
      <c r="AA722" s="15" t="s">
        <v>574</v>
      </c>
      <c r="AB722" s="15">
        <f t="shared" si="616"/>
        <v>7.4</v>
      </c>
      <c r="AC722" s="60">
        <v>6</v>
      </c>
      <c r="AD722" s="15">
        <v>19.79</v>
      </c>
      <c r="AL722" s="69" t="s">
        <v>1592</v>
      </c>
      <c r="AM722" s="1">
        <v>3</v>
      </c>
      <c r="AN722" s="15">
        <v>1.37</v>
      </c>
      <c r="AP722" s="15" t="s">
        <v>1579</v>
      </c>
      <c r="AQ722" s="1">
        <v>5</v>
      </c>
      <c r="AR722" s="1">
        <v>3</v>
      </c>
      <c r="BG722" s="15" t="s">
        <v>2398</v>
      </c>
      <c r="BS722" s="15">
        <v>15000</v>
      </c>
      <c r="BT722" s="15">
        <f t="shared" si="634"/>
        <v>15000</v>
      </c>
      <c r="BU722" s="15" t="s">
        <v>766</v>
      </c>
      <c r="BY722" s="15">
        <f t="shared" si="635"/>
        <v>15000</v>
      </c>
      <c r="BZ722" s="15">
        <f t="shared" si="636"/>
        <v>13.636363636363637</v>
      </c>
      <c r="CA722" s="15">
        <f t="shared" si="637"/>
        <v>30000</v>
      </c>
      <c r="EZ722" s="15">
        <v>1.37</v>
      </c>
      <c r="FA722" s="15">
        <v>0.2</v>
      </c>
      <c r="FB722" s="15">
        <f>FA722*SQRT(AR722)</f>
        <v>0.34641016151377546</v>
      </c>
      <c r="FC722" s="15">
        <v>1.22</v>
      </c>
      <c r="FD722" s="15">
        <v>0.18</v>
      </c>
      <c r="FE722" s="15">
        <f>FD722*SQRT(AR722)</f>
        <v>0.31176914536239786</v>
      </c>
      <c r="FF722" s="15">
        <f>FC722/EZ722</f>
        <v>0.8905109489051094</v>
      </c>
      <c r="FG722" s="15">
        <f>FC722-EZ722</f>
        <v>-0.15000000000000013</v>
      </c>
      <c r="FH722" s="15">
        <f>LN(FC722)-LN(EZ722)</f>
        <v>-0.11595988109486843</v>
      </c>
      <c r="FI722" s="15">
        <f>((FE722*FE722)/(AR722*FC722*FC722)+(FB722*FB722)/(AR722*EZ722*EZ722))</f>
        <v>4.308007928298517E-2</v>
      </c>
      <c r="FK722" s="16"/>
      <c r="FL722" s="16"/>
      <c r="FX722" s="15">
        <v>18.3</v>
      </c>
      <c r="FY722" s="15">
        <v>3.3</v>
      </c>
      <c r="FZ722" s="15">
        <f>FY722*SQRT(AR722)</f>
        <v>5.7157676649772942</v>
      </c>
      <c r="GA722" s="15">
        <v>23.82</v>
      </c>
      <c r="GB722" s="15">
        <v>2.9</v>
      </c>
      <c r="GC722" s="15">
        <f>GB722*SQRT(AR722)</f>
        <v>5.0229473419497435</v>
      </c>
      <c r="GD722" s="15">
        <f>GA722/FX722</f>
        <v>1.3016393442622951</v>
      </c>
      <c r="GE722" s="15">
        <f>GA722-FX722</f>
        <v>5.52</v>
      </c>
      <c r="GF722" s="15">
        <f>LN(GA722)-LN(FX722)</f>
        <v>0.26362450407977844</v>
      </c>
      <c r="GG722" s="15">
        <f>((GC722*GC722)/(AR722*GA722*GA722)+(FZ722*FZ722)/(AR722*FX722*FX722))</f>
        <v>4.7340333884924909E-2</v>
      </c>
      <c r="HE722" s="15">
        <v>2419</v>
      </c>
      <c r="HF722" s="15">
        <v>13</v>
      </c>
      <c r="HG722" s="15">
        <f>HF722*SQRT(AR412)</f>
        <v>22.516660498395403</v>
      </c>
      <c r="HH722" s="15">
        <v>4396</v>
      </c>
      <c r="HI722" s="15">
        <v>31</v>
      </c>
      <c r="HJ722" s="15">
        <f>HI722*SQRT(AR412)</f>
        <v>53.693575034635195</v>
      </c>
      <c r="HK722" s="15">
        <f t="shared" si="628"/>
        <v>1.8172798677139315</v>
      </c>
      <c r="HL722" s="15">
        <f t="shared" si="629"/>
        <v>1977</v>
      </c>
      <c r="HM722" s="15">
        <f t="shared" si="630"/>
        <v>0.59734080491348429</v>
      </c>
      <c r="HN722" s="15">
        <f>((HJ722*HJ722)/(AR412*HH722*HH722)+(HG722*HG722)/(AR412*HE722*HE722))</f>
        <v>7.8609986965677878E-5</v>
      </c>
      <c r="HP722" s="15" t="s">
        <v>766</v>
      </c>
      <c r="HV722" s="15">
        <f t="shared" si="631"/>
        <v>502.22586090272273</v>
      </c>
      <c r="HW722" s="15">
        <f t="shared" si="632"/>
        <v>0.59734080491348429</v>
      </c>
      <c r="HX722" s="15">
        <f>CA722</f>
        <v>30000</v>
      </c>
      <c r="HY722" s="15">
        <f>BY722</f>
        <v>15000</v>
      </c>
      <c r="HZ722" s="15">
        <f>BZ722</f>
        <v>13.636363636363637</v>
      </c>
      <c r="IA722" s="15">
        <f>CA722</f>
        <v>30000</v>
      </c>
    </row>
    <row r="723" spans="1:235" s="15" customFormat="1" ht="14.4" x14ac:dyDescent="0.25">
      <c r="A723" s="31">
        <v>721</v>
      </c>
      <c r="B723" s="1">
        <v>105</v>
      </c>
      <c r="C723" s="1">
        <v>125</v>
      </c>
      <c r="D723" s="15" t="s">
        <v>1624</v>
      </c>
      <c r="E723" s="1">
        <v>4</v>
      </c>
      <c r="F723" s="15" t="s">
        <v>1019</v>
      </c>
      <c r="G723" s="15" t="s">
        <v>2394</v>
      </c>
      <c r="H723" s="15" t="s">
        <v>818</v>
      </c>
      <c r="I723" s="1">
        <v>2017</v>
      </c>
      <c r="J723" s="15" t="s">
        <v>2395</v>
      </c>
      <c r="K723" s="1">
        <v>2013</v>
      </c>
      <c r="L723" s="15" t="s">
        <v>2396</v>
      </c>
      <c r="M723" s="15" t="s">
        <v>480</v>
      </c>
      <c r="N723" s="15" t="s">
        <v>520</v>
      </c>
      <c r="O723" s="31">
        <v>2</v>
      </c>
      <c r="P723" s="15">
        <v>29.6</v>
      </c>
      <c r="Q723" s="15">
        <v>91.1</v>
      </c>
      <c r="S723" s="15" t="s">
        <v>2397</v>
      </c>
      <c r="T723" s="15">
        <v>8</v>
      </c>
      <c r="U723" s="15" t="s">
        <v>549</v>
      </c>
      <c r="V723" s="31">
        <v>1</v>
      </c>
      <c r="W723" s="15" t="s">
        <v>1158</v>
      </c>
      <c r="X723" s="15" t="s">
        <v>1227</v>
      </c>
      <c r="Y723" s="61">
        <v>11</v>
      </c>
      <c r="Z723" s="15">
        <v>7.4</v>
      </c>
      <c r="AA723" s="15" t="s">
        <v>574</v>
      </c>
      <c r="AB723" s="15">
        <f t="shared" si="616"/>
        <v>7.4</v>
      </c>
      <c r="AC723" s="60">
        <v>6</v>
      </c>
      <c r="AD723" s="15">
        <v>19.79</v>
      </c>
      <c r="AL723" s="69" t="s">
        <v>1592</v>
      </c>
      <c r="AM723" s="1">
        <v>3</v>
      </c>
      <c r="AN723" s="15">
        <v>1.37</v>
      </c>
      <c r="AP723" s="15" t="s">
        <v>1579</v>
      </c>
      <c r="AQ723" s="1">
        <v>5</v>
      </c>
      <c r="AR723" s="1">
        <v>3</v>
      </c>
      <c r="BG723" s="15" t="s">
        <v>2398</v>
      </c>
      <c r="BS723" s="15">
        <v>15000</v>
      </c>
      <c r="BT723" s="15">
        <f t="shared" si="634"/>
        <v>15000</v>
      </c>
      <c r="BU723" s="15" t="s">
        <v>766</v>
      </c>
      <c r="BY723" s="15">
        <f t="shared" si="635"/>
        <v>15000</v>
      </c>
      <c r="BZ723" s="15">
        <f t="shared" si="636"/>
        <v>13.636363636363637</v>
      </c>
      <c r="CA723" s="15">
        <f t="shared" si="637"/>
        <v>30000</v>
      </c>
      <c r="EZ723" s="15">
        <v>1.35</v>
      </c>
      <c r="FA723" s="15">
        <v>0.17</v>
      </c>
      <c r="FB723" s="15">
        <f>FA723*SQRT(AR723)</f>
        <v>0.29444863728670917</v>
      </c>
      <c r="FC723" s="15">
        <v>1.25</v>
      </c>
      <c r="FD723" s="15">
        <v>0.16</v>
      </c>
      <c r="FE723" s="15">
        <f>FD723*SQRT(AR723)</f>
        <v>0.27712812921102037</v>
      </c>
      <c r="FF723" s="15">
        <f>FC723/EZ723</f>
        <v>0.92592592592592582</v>
      </c>
      <c r="FG723" s="15">
        <f>FC723-EZ723</f>
        <v>-0.10000000000000009</v>
      </c>
      <c r="FH723" s="15">
        <f>LN(FC723)-LN(EZ723)</f>
        <v>-7.6961041136128394E-2</v>
      </c>
      <c r="FI723" s="15">
        <f>((FE723*FE723)/(AR723*FC723*FC723)+(FB723*FB723)/(AR723*EZ723*EZ723))</f>
        <v>3.2241338820301786E-2</v>
      </c>
      <c r="FK723" s="16"/>
      <c r="FL723" s="16"/>
      <c r="FX723" s="15">
        <v>20</v>
      </c>
      <c r="FY723" s="15">
        <v>3.3</v>
      </c>
      <c r="FZ723" s="15">
        <f>FY723*SQRT(AR723)</f>
        <v>5.7157676649772942</v>
      </c>
      <c r="GA723" s="15">
        <v>27.02</v>
      </c>
      <c r="GB723" s="15">
        <v>3.1</v>
      </c>
      <c r="GC723" s="15">
        <f>GB723*SQRT(AR723)</f>
        <v>5.3693575034635197</v>
      </c>
      <c r="GD723" s="15">
        <f>GA723/FX723</f>
        <v>1.351</v>
      </c>
      <c r="GE723" s="15">
        <f>GA723-FX723</f>
        <v>7.02</v>
      </c>
      <c r="GF723" s="15">
        <f>LN(GA723)-LN(FX723)</f>
        <v>0.3008450589780618</v>
      </c>
      <c r="GG723" s="15">
        <f>((GC723*GC723)/(AR723*GA723*GA723)+(FZ723*FZ723)/(AR723*FX723*FX723))</f>
        <v>4.0387933835780265E-2</v>
      </c>
      <c r="HE723" s="15">
        <v>4293</v>
      </c>
      <c r="HF723" s="15">
        <v>43</v>
      </c>
      <c r="HG723" s="15">
        <f>HF723*SQRT(AR413)</f>
        <v>74.478184725461716</v>
      </c>
      <c r="HH723" s="15">
        <v>5648</v>
      </c>
      <c r="HI723" s="15">
        <v>23</v>
      </c>
      <c r="HJ723" s="15">
        <f>HI723*SQRT(AR413)</f>
        <v>39.837168574084174</v>
      </c>
      <c r="HK723" s="15">
        <f t="shared" si="628"/>
        <v>1.3156300955043094</v>
      </c>
      <c r="HL723" s="15">
        <f t="shared" si="629"/>
        <v>1355</v>
      </c>
      <c r="HM723" s="15">
        <f t="shared" si="630"/>
        <v>0.27431571094851748</v>
      </c>
      <c r="HN723" s="15">
        <f>((HJ723*HJ723)/(AR413*HH723*HH723)+(HG723*HG723)/(AR413*HE723*HE723))</f>
        <v>1.1690950015447249E-4</v>
      </c>
      <c r="HP723" s="15" t="s">
        <v>766</v>
      </c>
      <c r="HV723" s="15">
        <f t="shared" si="631"/>
        <v>1093.630397481327</v>
      </c>
      <c r="HW723" s="15">
        <f t="shared" si="632"/>
        <v>0.27431571094851748</v>
      </c>
      <c r="HX723" s="15">
        <f>CA723</f>
        <v>30000</v>
      </c>
      <c r="HY723" s="15">
        <f>BY723</f>
        <v>15000</v>
      </c>
      <c r="HZ723" s="15">
        <f>BZ723</f>
        <v>13.636363636363637</v>
      </c>
      <c r="IA723" s="15">
        <f>CA723</f>
        <v>30000</v>
      </c>
    </row>
    <row r="724" spans="1:235" s="15" customFormat="1" x14ac:dyDescent="0.25">
      <c r="A724" s="31">
        <v>722</v>
      </c>
      <c r="B724" s="1">
        <v>106</v>
      </c>
      <c r="C724" s="1">
        <v>126</v>
      </c>
      <c r="D724" s="15" t="s">
        <v>1625</v>
      </c>
      <c r="E724" s="1">
        <v>4</v>
      </c>
      <c r="F724" s="15" t="s">
        <v>1019</v>
      </c>
      <c r="G724" s="15" t="s">
        <v>1628</v>
      </c>
      <c r="H724" s="15" t="s">
        <v>930</v>
      </c>
      <c r="I724" s="1">
        <v>2020</v>
      </c>
      <c r="J724" s="15" t="s">
        <v>858</v>
      </c>
      <c r="K724" s="1">
        <v>2018</v>
      </c>
      <c r="L724" s="15" t="s">
        <v>1629</v>
      </c>
      <c r="M724" s="15" t="s">
        <v>480</v>
      </c>
      <c r="N724" s="15" t="s">
        <v>520</v>
      </c>
      <c r="O724" s="31">
        <v>2</v>
      </c>
      <c r="P724" s="15">
        <v>31.45</v>
      </c>
      <c r="Q724" s="15">
        <v>121.16</v>
      </c>
      <c r="S724" s="15">
        <v>1049</v>
      </c>
      <c r="T724" s="15">
        <v>15.3</v>
      </c>
      <c r="U724" s="15" t="s">
        <v>549</v>
      </c>
      <c r="V724" s="31">
        <v>1</v>
      </c>
      <c r="W724" s="15" t="s">
        <v>1158</v>
      </c>
      <c r="X724" s="15" t="s">
        <v>689</v>
      </c>
      <c r="Y724" s="1">
        <v>1</v>
      </c>
      <c r="Z724" s="15">
        <v>7.7</v>
      </c>
      <c r="AA724" s="15" t="s">
        <v>574</v>
      </c>
      <c r="AB724" s="15">
        <f t="shared" si="616"/>
        <v>7.7</v>
      </c>
      <c r="AC724" s="60">
        <v>6</v>
      </c>
      <c r="AM724" s="1"/>
      <c r="AP724" s="15" t="s">
        <v>1334</v>
      </c>
      <c r="AQ724" s="61">
        <v>3</v>
      </c>
      <c r="AR724" s="1">
        <v>3</v>
      </c>
      <c r="BG724" s="15" t="s">
        <v>1630</v>
      </c>
      <c r="BS724" s="15">
        <v>16700</v>
      </c>
      <c r="BT724" s="15">
        <f t="shared" si="634"/>
        <v>16700</v>
      </c>
      <c r="BU724" s="15" t="s">
        <v>766</v>
      </c>
      <c r="BY724" s="15">
        <f t="shared" si="635"/>
        <v>16700</v>
      </c>
      <c r="BZ724" s="15">
        <f t="shared" si="636"/>
        <v>15.18181818181818</v>
      </c>
      <c r="CA724" s="15">
        <f t="shared" si="637"/>
        <v>33400</v>
      </c>
      <c r="FK724" s="16">
        <f t="shared" ref="FK724:FK746" si="638">FM724</f>
        <v>7.7</v>
      </c>
      <c r="FL724" s="16">
        <f t="shared" ref="FL724:FL746" si="639">FP724</f>
        <v>8.0299999999999994</v>
      </c>
      <c r="FM724" s="15">
        <v>7.7</v>
      </c>
      <c r="FN724" s="15">
        <v>0.01</v>
      </c>
      <c r="FO724" s="15">
        <f>FN724*SQRT(AR724)</f>
        <v>1.7320508075688773E-2</v>
      </c>
      <c r="FP724" s="15">
        <v>8.0299999999999994</v>
      </c>
      <c r="FQ724" s="15">
        <v>0.06</v>
      </c>
      <c r="FR724" s="15">
        <f>FQ724*SQRT(AR724)</f>
        <v>0.10392304845413262</v>
      </c>
      <c r="FS724" s="15">
        <f t="shared" ref="FS724:FS787" si="640">FP724/FM724</f>
        <v>1.0428571428571427</v>
      </c>
      <c r="FT724" s="15">
        <f t="shared" ref="FT724:FT787" si="641">FP724-FM724</f>
        <v>0.32999999999999918</v>
      </c>
      <c r="FU724" s="15">
        <f t="shared" ref="FU724:FU787" si="642">LN(FP724)-LN(FM724)</f>
        <v>4.196419909903204E-2</v>
      </c>
      <c r="FV724" s="15">
        <f>((FR724*FR724)/(AR724*FP724*FP724)+(FO724*FO724)/(AR724*FM724*FM724))</f>
        <v>5.7517111300258159E-5</v>
      </c>
      <c r="HY724" s="15">
        <f>BY724</f>
        <v>16700</v>
      </c>
      <c r="HZ724" s="15">
        <f>BZ724</f>
        <v>15.18181818181818</v>
      </c>
      <c r="IA724" s="15">
        <f>CA724</f>
        <v>33400</v>
      </c>
    </row>
    <row r="725" spans="1:235" s="15" customFormat="1" x14ac:dyDescent="0.25">
      <c r="A725" s="31">
        <v>723</v>
      </c>
      <c r="B725" s="1">
        <v>106</v>
      </c>
      <c r="C725" s="1">
        <v>126</v>
      </c>
      <c r="D725" s="15" t="s">
        <v>1626</v>
      </c>
      <c r="E725" s="1">
        <v>4</v>
      </c>
      <c r="F725" s="15" t="s">
        <v>1019</v>
      </c>
      <c r="G725" s="15" t="s">
        <v>1628</v>
      </c>
      <c r="H725" s="15" t="s">
        <v>930</v>
      </c>
      <c r="I725" s="1">
        <v>2020</v>
      </c>
      <c r="J725" s="15" t="s">
        <v>858</v>
      </c>
      <c r="K725" s="1">
        <v>2018</v>
      </c>
      <c r="L725" s="15" t="s">
        <v>1629</v>
      </c>
      <c r="M725" s="15" t="s">
        <v>480</v>
      </c>
      <c r="N725" s="15" t="s">
        <v>520</v>
      </c>
      <c r="O725" s="31">
        <v>2</v>
      </c>
      <c r="P725" s="15">
        <v>31.45</v>
      </c>
      <c r="Q725" s="15">
        <v>121.16</v>
      </c>
      <c r="S725" s="15">
        <v>1049</v>
      </c>
      <c r="T725" s="15">
        <v>15.3</v>
      </c>
      <c r="U725" s="15" t="s">
        <v>549</v>
      </c>
      <c r="V725" s="31">
        <v>1</v>
      </c>
      <c r="W725" s="15" t="s">
        <v>1158</v>
      </c>
      <c r="X725" s="15" t="s">
        <v>689</v>
      </c>
      <c r="Y725" s="1">
        <v>1</v>
      </c>
      <c r="Z725" s="15">
        <v>7.7</v>
      </c>
      <c r="AA725" s="15" t="s">
        <v>574</v>
      </c>
      <c r="AB725" s="15">
        <f t="shared" si="616"/>
        <v>7.7</v>
      </c>
      <c r="AC725" s="60">
        <v>6</v>
      </c>
      <c r="AM725" s="1"/>
      <c r="AP725" s="15" t="s">
        <v>1334</v>
      </c>
      <c r="AQ725" s="61">
        <v>3</v>
      </c>
      <c r="AR725" s="1">
        <v>3</v>
      </c>
      <c r="BG725" s="15" t="s">
        <v>1677</v>
      </c>
      <c r="BS725" s="15">
        <v>16700</v>
      </c>
      <c r="BT725" s="15">
        <f t="shared" si="634"/>
        <v>16700</v>
      </c>
      <c r="BU725" s="15" t="s">
        <v>766</v>
      </c>
      <c r="BY725" s="15">
        <f t="shared" si="635"/>
        <v>16700</v>
      </c>
      <c r="BZ725" s="15">
        <f t="shared" si="636"/>
        <v>15.18181818181818</v>
      </c>
      <c r="CA725" s="15">
        <f t="shared" si="637"/>
        <v>33400</v>
      </c>
      <c r="FK725" s="16">
        <f t="shared" si="638"/>
        <v>7.7</v>
      </c>
      <c r="FL725" s="16">
        <f t="shared" si="639"/>
        <v>7.93</v>
      </c>
      <c r="FM725" s="15">
        <v>7.7</v>
      </c>
      <c r="FN725" s="15">
        <v>0.01</v>
      </c>
      <c r="FO725" s="15">
        <f>FN725*SQRT(AR725)</f>
        <v>1.7320508075688773E-2</v>
      </c>
      <c r="FP725" s="15">
        <v>7.93</v>
      </c>
      <c r="FQ725" s="15">
        <v>0.06</v>
      </c>
      <c r="FR725" s="15">
        <f>FQ725*SQRT(AR725)</f>
        <v>0.10392304845413262</v>
      </c>
      <c r="FS725" s="15">
        <f t="shared" si="640"/>
        <v>1.0298701298701298</v>
      </c>
      <c r="FT725" s="15">
        <f t="shared" si="641"/>
        <v>0.22999999999999954</v>
      </c>
      <c r="FU725" s="15">
        <f t="shared" si="642"/>
        <v>2.9432706787118512E-2</v>
      </c>
      <c r="FV725" s="15">
        <f>((FR725*FR725)/(AR725*FP725*FP725)+(FO725*FO725)/(AR725*FM725*FM725))</f>
        <v>5.8934072383670342E-5</v>
      </c>
      <c r="HY725" s="15">
        <f>BY725</f>
        <v>16700</v>
      </c>
      <c r="HZ725" s="15">
        <f>BZ725</f>
        <v>15.18181818181818</v>
      </c>
      <c r="IA725" s="15">
        <f>CA725</f>
        <v>33400</v>
      </c>
    </row>
    <row r="726" spans="1:235" s="15" customFormat="1" x14ac:dyDescent="0.25">
      <c r="A726" s="31">
        <v>724</v>
      </c>
      <c r="B726" s="1">
        <v>106</v>
      </c>
      <c r="C726" s="1">
        <v>126</v>
      </c>
      <c r="D726" s="15" t="s">
        <v>1627</v>
      </c>
      <c r="E726" s="1">
        <v>4</v>
      </c>
      <c r="F726" s="15" t="s">
        <v>1019</v>
      </c>
      <c r="G726" s="15" t="s">
        <v>1628</v>
      </c>
      <c r="H726" s="15" t="s">
        <v>930</v>
      </c>
      <c r="I726" s="1">
        <v>2020</v>
      </c>
      <c r="J726" s="15" t="s">
        <v>858</v>
      </c>
      <c r="K726" s="1">
        <v>2018</v>
      </c>
      <c r="L726" s="15" t="s">
        <v>1629</v>
      </c>
      <c r="M726" s="15" t="s">
        <v>480</v>
      </c>
      <c r="N726" s="15" t="s">
        <v>520</v>
      </c>
      <c r="O726" s="31">
        <v>2</v>
      </c>
      <c r="P726" s="15">
        <v>31.45</v>
      </c>
      <c r="Q726" s="15">
        <v>121.16</v>
      </c>
      <c r="S726" s="15">
        <v>1049</v>
      </c>
      <c r="T726" s="15">
        <v>15.3</v>
      </c>
      <c r="U726" s="15" t="s">
        <v>549</v>
      </c>
      <c r="V726" s="31">
        <v>1</v>
      </c>
      <c r="W726" s="15" t="s">
        <v>1158</v>
      </c>
      <c r="X726" s="15" t="s">
        <v>689</v>
      </c>
      <c r="Y726" s="1">
        <v>1</v>
      </c>
      <c r="Z726" s="15">
        <v>7.7</v>
      </c>
      <c r="AA726" s="15" t="s">
        <v>574</v>
      </c>
      <c r="AB726" s="15">
        <f t="shared" si="616"/>
        <v>7.7</v>
      </c>
      <c r="AC726" s="60">
        <v>6</v>
      </c>
      <c r="AM726" s="1"/>
      <c r="AP726" s="15" t="s">
        <v>1334</v>
      </c>
      <c r="AQ726" s="61">
        <v>3</v>
      </c>
      <c r="AR726" s="1">
        <v>3</v>
      </c>
      <c r="BG726" s="15" t="s">
        <v>1631</v>
      </c>
      <c r="BS726" s="15">
        <v>16700</v>
      </c>
      <c r="BT726" s="15">
        <f t="shared" si="634"/>
        <v>16700</v>
      </c>
      <c r="BU726" s="15" t="s">
        <v>766</v>
      </c>
      <c r="BY726" s="15">
        <f t="shared" si="635"/>
        <v>16700</v>
      </c>
      <c r="BZ726" s="15">
        <f t="shared" si="636"/>
        <v>15.18181818181818</v>
      </c>
      <c r="CA726" s="15">
        <f t="shared" si="637"/>
        <v>33400</v>
      </c>
      <c r="FK726" s="16">
        <f t="shared" si="638"/>
        <v>7.7</v>
      </c>
      <c r="FL726" s="16">
        <f t="shared" si="639"/>
        <v>7.73</v>
      </c>
      <c r="FM726" s="15">
        <v>7.7</v>
      </c>
      <c r="FN726" s="15">
        <v>0.01</v>
      </c>
      <c r="FO726" s="15">
        <f>FN726*SQRT(AR726)</f>
        <v>1.7320508075688773E-2</v>
      </c>
      <c r="FP726" s="15">
        <v>7.73</v>
      </c>
      <c r="FQ726" s="15">
        <v>0.23</v>
      </c>
      <c r="FR726" s="15">
        <f>FQ726*SQRT(AR726)</f>
        <v>0.39837168574084175</v>
      </c>
      <c r="FS726" s="15">
        <f t="shared" si="640"/>
        <v>1.0038961038961038</v>
      </c>
      <c r="FT726" s="15">
        <f t="shared" si="641"/>
        <v>3.0000000000000249E-2</v>
      </c>
      <c r="FU726" s="15">
        <f t="shared" si="642"/>
        <v>3.8885337396923347E-3</v>
      </c>
      <c r="FV726" s="15">
        <f>((FR726*FR726)/(AR726*FP726*FP726)+(FO726*FO726)/(AR726*FM726*FM726))</f>
        <v>8.8699930444784711E-4</v>
      </c>
      <c r="HY726" s="15">
        <f>BY726</f>
        <v>16700</v>
      </c>
      <c r="HZ726" s="15">
        <f>BZ726</f>
        <v>15.18181818181818</v>
      </c>
      <c r="IA726" s="15">
        <f>CA726</f>
        <v>33400</v>
      </c>
    </row>
    <row r="727" spans="1:235" s="15" customFormat="1" x14ac:dyDescent="0.25">
      <c r="A727" s="31">
        <v>725</v>
      </c>
      <c r="B727" s="1">
        <v>107</v>
      </c>
      <c r="C727" s="1">
        <v>127</v>
      </c>
      <c r="D727" s="15" t="s">
        <v>1632</v>
      </c>
      <c r="E727" s="1">
        <v>2</v>
      </c>
      <c r="F727" s="15" t="s">
        <v>777</v>
      </c>
      <c r="G727" s="15" t="s">
        <v>2399</v>
      </c>
      <c r="H727" s="15" t="s">
        <v>941</v>
      </c>
      <c r="I727" s="1">
        <v>2020</v>
      </c>
      <c r="J727" s="15" t="s">
        <v>2400</v>
      </c>
      <c r="K727" s="1">
        <v>2018</v>
      </c>
      <c r="L727" s="15" t="s">
        <v>1641</v>
      </c>
      <c r="M727" s="15" t="s">
        <v>480</v>
      </c>
      <c r="N727" s="15" t="s">
        <v>520</v>
      </c>
      <c r="O727" s="31">
        <v>2</v>
      </c>
      <c r="P727" s="15">
        <v>22.86</v>
      </c>
      <c r="Q727" s="15">
        <v>108.29</v>
      </c>
      <c r="S727" s="15">
        <v>1304</v>
      </c>
      <c r="T727" s="15">
        <v>21.6</v>
      </c>
      <c r="U727" s="15" t="s">
        <v>807</v>
      </c>
      <c r="V727" s="31">
        <v>2</v>
      </c>
      <c r="W727" s="15" t="s">
        <v>1169</v>
      </c>
      <c r="X727" s="15" t="s">
        <v>689</v>
      </c>
      <c r="Y727" s="1">
        <v>1</v>
      </c>
      <c r="Z727" s="15">
        <v>6.91</v>
      </c>
      <c r="AA727" s="15" t="s">
        <v>574</v>
      </c>
      <c r="AB727" s="15">
        <f t="shared" si="616"/>
        <v>6.91</v>
      </c>
      <c r="AC727" s="60">
        <v>6</v>
      </c>
      <c r="AD727" s="15">
        <v>16.5</v>
      </c>
      <c r="AM727" s="1"/>
      <c r="AP727" s="15" t="s">
        <v>1334</v>
      </c>
      <c r="AQ727" s="61">
        <v>3</v>
      </c>
      <c r="AR727" s="1">
        <v>3</v>
      </c>
      <c r="CC727" s="15" t="s">
        <v>2401</v>
      </c>
      <c r="CE727" s="15">
        <v>1.5</v>
      </c>
      <c r="CF727" s="15">
        <f t="shared" ref="CF727:CF735" si="643">CE727*22500</f>
        <v>33750</v>
      </c>
      <c r="CG727" s="15" t="s">
        <v>766</v>
      </c>
      <c r="CH727" s="15">
        <v>9.61</v>
      </c>
      <c r="CY727" s="25">
        <f t="shared" ref="CY727:CY735" si="644">CF727</f>
        <v>33750</v>
      </c>
      <c r="CZ727" s="25">
        <f t="shared" ref="CZ727:CZ735" si="645">CY727/0.78/1000</f>
        <v>43.269230769230766</v>
      </c>
      <c r="DA727" s="25">
        <f t="shared" ref="DA727:DA735" si="646">CY727*3</f>
        <v>101250</v>
      </c>
      <c r="FK727" s="16">
        <f t="shared" si="638"/>
        <v>6.89</v>
      </c>
      <c r="FL727" s="16">
        <f t="shared" si="639"/>
        <v>7.24</v>
      </c>
      <c r="FM727" s="15">
        <v>6.89</v>
      </c>
      <c r="FN727" s="15">
        <v>0.12</v>
      </c>
      <c r="FO727" s="15">
        <f>FN727*SQRT(AR727)</f>
        <v>0.20784609690826525</v>
      </c>
      <c r="FP727" s="15">
        <v>7.24</v>
      </c>
      <c r="FQ727" s="15">
        <v>0.01</v>
      </c>
      <c r="FR727" s="15">
        <f>FQ727*SQRT(AR727)</f>
        <v>1.7320508075688773E-2</v>
      </c>
      <c r="FS727" s="15">
        <f t="shared" si="640"/>
        <v>1.0507982583454283</v>
      </c>
      <c r="FT727" s="15">
        <f t="shared" si="641"/>
        <v>0.35000000000000053</v>
      </c>
      <c r="FU727" s="15">
        <f t="shared" si="642"/>
        <v>4.9550121372057943E-2</v>
      </c>
      <c r="FV727" s="15">
        <f>((FR727*FR727)/(AR727*FP727*FP727)+(FO727*FO727)/(AR727*FM727*FM727))</f>
        <v>3.0524382093574876E-4</v>
      </c>
      <c r="FX727" s="15">
        <v>16.79</v>
      </c>
      <c r="FY727" s="15">
        <v>0.28999999999999998</v>
      </c>
      <c r="FZ727" s="15">
        <f>FY727*SQRT(AR727)</f>
        <v>0.50229473419497439</v>
      </c>
      <c r="GA727" s="15">
        <v>23.89</v>
      </c>
      <c r="GB727" s="15">
        <v>0.43</v>
      </c>
      <c r="GC727" s="15">
        <f>GB727*SQRT(AR727)</f>
        <v>0.74478184725461716</v>
      </c>
      <c r="GD727" s="15">
        <f t="shared" ref="GD727:GD735" si="647">GA727/FX727</f>
        <v>1.4228707564026206</v>
      </c>
      <c r="GE727" s="15">
        <f t="shared" ref="GE727:GE735" si="648">GA727-FX727</f>
        <v>7.1000000000000014</v>
      </c>
      <c r="GF727" s="15">
        <f t="shared" ref="GF727:GF735" si="649">LN(GA727)-LN(FX727)</f>
        <v>0.35267649024826886</v>
      </c>
      <c r="GG727" s="15">
        <f>((GC727*GC727)/(AR727*GA727*GA727)+(FZ727*FZ727)/(AR727*FX727*FX727))</f>
        <v>6.2229826573747442E-4</v>
      </c>
      <c r="HE727" s="15">
        <v>20.5</v>
      </c>
      <c r="HF727" s="15">
        <v>1.07</v>
      </c>
      <c r="HG727" s="15">
        <f>HF727*SQRT(AR417)</f>
        <v>2.6209540247780003</v>
      </c>
      <c r="HH727" s="15">
        <v>25.57</v>
      </c>
      <c r="HI727" s="15">
        <v>0.14000000000000001</v>
      </c>
      <c r="HJ727" s="15">
        <f>HI727*SQRT(AR417)</f>
        <v>0.34292856398964494</v>
      </c>
      <c r="HK727" s="15">
        <f t="shared" ref="HK727:HK751" si="650">HH727/HE727</f>
        <v>1.2473170731707317</v>
      </c>
      <c r="HL727" s="15">
        <f t="shared" ref="HL727:HL751" si="651">HH727-HE727</f>
        <v>5.07</v>
      </c>
      <c r="HM727" s="15">
        <f t="shared" ref="HM727:HM751" si="652">LN(HH727)-LN(HE727)</f>
        <v>0.22099490315873282</v>
      </c>
      <c r="HN727" s="15">
        <f>((HJ727*HJ727)/(AR417*HH727*HH727)+(HG727*HG727)/(AR417*HE727*HE727))</f>
        <v>2.7543082005342134E-3</v>
      </c>
      <c r="HP727" s="15" t="s">
        <v>1186</v>
      </c>
      <c r="HV727" s="15">
        <f t="shared" ref="HV727:HV751" si="653">HX727/HW727/100</f>
        <v>4581.5536264777884</v>
      </c>
      <c r="HW727" s="15">
        <f t="shared" ref="HW727:HW751" si="654">HM727</f>
        <v>0.22099490315873282</v>
      </c>
      <c r="HX727" s="25">
        <f>DA727</f>
        <v>101250</v>
      </c>
      <c r="HY727" s="25">
        <f>CY727</f>
        <v>33750</v>
      </c>
      <c r="HZ727" s="25">
        <f>CZ727</f>
        <v>43.269230769230766</v>
      </c>
      <c r="IA727" s="25">
        <f>DA727</f>
        <v>101250</v>
      </c>
    </row>
    <row r="728" spans="1:235" s="15" customFormat="1" x14ac:dyDescent="0.25">
      <c r="A728" s="31">
        <v>726</v>
      </c>
      <c r="B728" s="1">
        <v>107</v>
      </c>
      <c r="C728" s="1">
        <v>127</v>
      </c>
      <c r="D728" s="15" t="s">
        <v>1633</v>
      </c>
      <c r="E728" s="1">
        <v>2</v>
      </c>
      <c r="F728" s="15" t="s">
        <v>777</v>
      </c>
      <c r="G728" s="15" t="s">
        <v>2399</v>
      </c>
      <c r="H728" s="15" t="s">
        <v>941</v>
      </c>
      <c r="I728" s="1">
        <v>2020</v>
      </c>
      <c r="J728" s="15" t="s">
        <v>2400</v>
      </c>
      <c r="K728" s="1">
        <v>2018</v>
      </c>
      <c r="L728" s="15" t="s">
        <v>1641</v>
      </c>
      <c r="M728" s="15" t="s">
        <v>480</v>
      </c>
      <c r="N728" s="15" t="s">
        <v>520</v>
      </c>
      <c r="O728" s="31">
        <v>2</v>
      </c>
      <c r="P728" s="15">
        <v>22.86</v>
      </c>
      <c r="Q728" s="15">
        <v>108.29</v>
      </c>
      <c r="S728" s="15">
        <v>1304</v>
      </c>
      <c r="T728" s="15">
        <v>21.6</v>
      </c>
      <c r="U728" s="15" t="s">
        <v>807</v>
      </c>
      <c r="V728" s="31">
        <v>2</v>
      </c>
      <c r="W728" s="15" t="s">
        <v>1169</v>
      </c>
      <c r="X728" s="15" t="s">
        <v>689</v>
      </c>
      <c r="Y728" s="1">
        <v>1</v>
      </c>
      <c r="Z728" s="15">
        <v>6.91</v>
      </c>
      <c r="AA728" s="15" t="s">
        <v>574</v>
      </c>
      <c r="AB728" s="15">
        <f t="shared" si="616"/>
        <v>6.91</v>
      </c>
      <c r="AC728" s="60">
        <v>6</v>
      </c>
      <c r="AD728" s="15">
        <v>16.5</v>
      </c>
      <c r="AM728" s="1"/>
      <c r="AP728" s="15" t="s">
        <v>1334</v>
      </c>
      <c r="AQ728" s="61">
        <v>3</v>
      </c>
      <c r="AR728" s="1">
        <v>3</v>
      </c>
      <c r="CC728" s="15" t="s">
        <v>2401</v>
      </c>
      <c r="CE728" s="15">
        <v>3</v>
      </c>
      <c r="CF728" s="15">
        <f t="shared" si="643"/>
        <v>67500</v>
      </c>
      <c r="CG728" s="15" t="s">
        <v>766</v>
      </c>
      <c r="CH728" s="15">
        <v>9.61</v>
      </c>
      <c r="CY728" s="25">
        <f t="shared" si="644"/>
        <v>67500</v>
      </c>
      <c r="CZ728" s="25">
        <f t="shared" si="645"/>
        <v>86.538461538461533</v>
      </c>
      <c r="DA728" s="25">
        <f t="shared" si="646"/>
        <v>202500</v>
      </c>
      <c r="FK728" s="16">
        <f t="shared" si="638"/>
        <v>6.89</v>
      </c>
      <c r="FL728" s="16">
        <f t="shared" si="639"/>
        <v>7.3</v>
      </c>
      <c r="FM728" s="15">
        <v>6.89</v>
      </c>
      <c r="FN728" s="15">
        <v>0.12</v>
      </c>
      <c r="FO728" s="15">
        <f>FN728*SQRT(AR728)</f>
        <v>0.20784609690826525</v>
      </c>
      <c r="FP728" s="15">
        <v>7.3</v>
      </c>
      <c r="FQ728" s="15">
        <v>0.02</v>
      </c>
      <c r="FR728" s="15">
        <f>FQ728*SQRT(AR728)</f>
        <v>3.4641016151377546E-2</v>
      </c>
      <c r="FS728" s="15">
        <f t="shared" si="640"/>
        <v>1.0595065312046443</v>
      </c>
      <c r="FT728" s="15">
        <f t="shared" si="641"/>
        <v>0.41000000000000014</v>
      </c>
      <c r="FU728" s="15">
        <f t="shared" si="642"/>
        <v>5.780326312877837E-2</v>
      </c>
      <c r="FV728" s="15">
        <f>((FR728*FR728)/(AR728*FP728*FP728)+(FO728*FO728)/(AR728*FM728*FM728))</f>
        <v>3.1084216346744778E-4</v>
      </c>
      <c r="FX728" s="15">
        <v>16.79</v>
      </c>
      <c r="FY728" s="15">
        <v>0.28999999999999998</v>
      </c>
      <c r="FZ728" s="15">
        <f>FY728*SQRT(AR728)</f>
        <v>0.50229473419497439</v>
      </c>
      <c r="GA728" s="15">
        <v>30.03</v>
      </c>
      <c r="GB728" s="15">
        <v>0.46</v>
      </c>
      <c r="GC728" s="15">
        <f>GB728*SQRT(AR728)</f>
        <v>0.7967433714816835</v>
      </c>
      <c r="GD728" s="15">
        <f t="shared" si="647"/>
        <v>1.7885646217986899</v>
      </c>
      <c r="GE728" s="15">
        <f t="shared" si="648"/>
        <v>13.240000000000002</v>
      </c>
      <c r="GF728" s="15">
        <f t="shared" si="649"/>
        <v>0.5814134109057898</v>
      </c>
      <c r="GG728" s="15">
        <f>((GC728*GC728)/(AR728*GA728*GA728)+(FZ728*FZ728)/(AR728*FX728*FX728))</f>
        <v>5.329699964526823E-4</v>
      </c>
      <c r="HE728" s="15">
        <v>20.5</v>
      </c>
      <c r="HF728" s="15">
        <v>1.07</v>
      </c>
      <c r="HG728" s="15">
        <f>HF728*SQRT(AR418)</f>
        <v>1.8532943640986987</v>
      </c>
      <c r="HH728" s="15">
        <v>28.3</v>
      </c>
      <c r="HI728" s="15">
        <v>0.85</v>
      </c>
      <c r="HJ728" s="15">
        <f>HI728*SQRT(AR418)</f>
        <v>1.4722431864335457</v>
      </c>
      <c r="HK728" s="15">
        <f t="shared" si="650"/>
        <v>1.3804878048780489</v>
      </c>
      <c r="HL728" s="15">
        <f t="shared" si="651"/>
        <v>7.8000000000000007</v>
      </c>
      <c r="HM728" s="15">
        <f t="shared" si="652"/>
        <v>0.32243691850482925</v>
      </c>
      <c r="HN728" s="15">
        <f>((HJ728*HJ728)/(AR418*HH728*HH728)+(HG728*HG728)/(AR418*HE728*HE728))</f>
        <v>3.6264521454563541E-3</v>
      </c>
      <c r="HP728" s="15" t="s">
        <v>1186</v>
      </c>
      <c r="HV728" s="15">
        <f t="shared" si="653"/>
        <v>6280.2982034133001</v>
      </c>
      <c r="HW728" s="15">
        <f t="shared" si="654"/>
        <v>0.32243691850482925</v>
      </c>
      <c r="HX728" s="25">
        <f>DA728</f>
        <v>202500</v>
      </c>
      <c r="HY728" s="25">
        <f>CY728</f>
        <v>67500</v>
      </c>
      <c r="HZ728" s="25">
        <f>CZ728</f>
        <v>86.538461538461533</v>
      </c>
      <c r="IA728" s="25">
        <f>DA728</f>
        <v>202500</v>
      </c>
    </row>
    <row r="729" spans="1:235" s="15" customFormat="1" x14ac:dyDescent="0.25">
      <c r="A729" s="31">
        <v>727</v>
      </c>
      <c r="B729" s="1">
        <v>107</v>
      </c>
      <c r="C729" s="1">
        <v>127</v>
      </c>
      <c r="D729" s="15" t="s">
        <v>1634</v>
      </c>
      <c r="E729" s="1">
        <v>2</v>
      </c>
      <c r="F729" s="15" t="s">
        <v>777</v>
      </c>
      <c r="G729" s="15" t="s">
        <v>2399</v>
      </c>
      <c r="H729" s="15" t="s">
        <v>941</v>
      </c>
      <c r="I729" s="1">
        <v>2020</v>
      </c>
      <c r="J729" s="15" t="s">
        <v>2400</v>
      </c>
      <c r="K729" s="1">
        <v>2018</v>
      </c>
      <c r="L729" s="15" t="s">
        <v>1641</v>
      </c>
      <c r="M729" s="15" t="s">
        <v>480</v>
      </c>
      <c r="N729" s="15" t="s">
        <v>520</v>
      </c>
      <c r="O729" s="31">
        <v>2</v>
      </c>
      <c r="P729" s="15">
        <v>22.86</v>
      </c>
      <c r="Q729" s="15">
        <v>108.29</v>
      </c>
      <c r="S729" s="15">
        <v>1304</v>
      </c>
      <c r="T729" s="15">
        <v>21.6</v>
      </c>
      <c r="U729" s="15" t="s">
        <v>807</v>
      </c>
      <c r="V729" s="31">
        <v>2</v>
      </c>
      <c r="W729" s="15" t="s">
        <v>1169</v>
      </c>
      <c r="X729" s="15" t="s">
        <v>689</v>
      </c>
      <c r="Y729" s="1">
        <v>1</v>
      </c>
      <c r="Z729" s="15">
        <v>6.91</v>
      </c>
      <c r="AA729" s="15" t="s">
        <v>574</v>
      </c>
      <c r="AB729" s="15">
        <f t="shared" si="616"/>
        <v>6.91</v>
      </c>
      <c r="AC729" s="60">
        <v>6</v>
      </c>
      <c r="AD729" s="15">
        <v>16.5</v>
      </c>
      <c r="AM729" s="1"/>
      <c r="AP729" s="15" t="s">
        <v>1334</v>
      </c>
      <c r="AQ729" s="61">
        <v>3</v>
      </c>
      <c r="AR729" s="1">
        <v>3</v>
      </c>
      <c r="CC729" s="15" t="s">
        <v>2401</v>
      </c>
      <c r="CE729" s="15">
        <v>4.5</v>
      </c>
      <c r="CF729" s="15">
        <f t="shared" si="643"/>
        <v>101250</v>
      </c>
      <c r="CG729" s="15" t="s">
        <v>766</v>
      </c>
      <c r="CH729" s="15">
        <v>9.61</v>
      </c>
      <c r="CY729" s="25">
        <f t="shared" si="644"/>
        <v>101250</v>
      </c>
      <c r="CZ729" s="25">
        <f t="shared" si="645"/>
        <v>129.80769230769229</v>
      </c>
      <c r="DA729" s="25">
        <f t="shared" si="646"/>
        <v>303750</v>
      </c>
      <c r="FK729" s="16">
        <f t="shared" si="638"/>
        <v>6.89</v>
      </c>
      <c r="FL729" s="16">
        <f t="shared" si="639"/>
        <v>7.31</v>
      </c>
      <c r="FM729" s="15">
        <v>6.89</v>
      </c>
      <c r="FN729" s="15">
        <v>0.12</v>
      </c>
      <c r="FO729" s="15">
        <f>FN729*SQRT(AR729)</f>
        <v>0.20784609690826525</v>
      </c>
      <c r="FP729" s="15">
        <v>7.31</v>
      </c>
      <c r="FQ729" s="15">
        <v>0.02</v>
      </c>
      <c r="FR729" s="15">
        <f>FQ729*SQRT(AR729)</f>
        <v>3.4641016151377546E-2</v>
      </c>
      <c r="FS729" s="15">
        <f t="shared" si="640"/>
        <v>1.0609579100145137</v>
      </c>
      <c r="FT729" s="15">
        <f t="shared" si="641"/>
        <v>0.41999999999999993</v>
      </c>
      <c r="FU729" s="15">
        <f t="shared" si="642"/>
        <v>5.9172188736120068E-2</v>
      </c>
      <c r="FV729" s="15">
        <f>((FR729*FR729)/(AR729*FP729*FP729)+(FO729*FO729)/(AR729*FM729*FM729))</f>
        <v>3.10821640992551E-4</v>
      </c>
      <c r="FX729" s="15">
        <v>16.79</v>
      </c>
      <c r="FY729" s="15">
        <v>0.28999999999999998</v>
      </c>
      <c r="FZ729" s="15">
        <f>FY729*SQRT(AR729)</f>
        <v>0.50229473419497439</v>
      </c>
      <c r="GA729" s="15">
        <v>37.97</v>
      </c>
      <c r="GB729" s="15">
        <v>1.92</v>
      </c>
      <c r="GC729" s="15">
        <f>GB729*SQRT(AR729)</f>
        <v>3.325537550532244</v>
      </c>
      <c r="GD729" s="15">
        <f t="shared" si="647"/>
        <v>2.2614651578320428</v>
      </c>
      <c r="GE729" s="15">
        <f t="shared" si="648"/>
        <v>21.18</v>
      </c>
      <c r="GF729" s="15">
        <f t="shared" si="649"/>
        <v>0.81601290315426178</v>
      </c>
      <c r="GG729" s="15">
        <f>((GC729*GC729)/(AR729*GA729*GA729)+(FZ729*FZ729)/(AR729*FX729*FX729))</f>
        <v>2.8552726771966927E-3</v>
      </c>
      <c r="HE729" s="15">
        <v>20.5</v>
      </c>
      <c r="HF729" s="15">
        <v>1.07</v>
      </c>
      <c r="HG729" s="15">
        <f>HF729*SQRT(AR419)</f>
        <v>1.8532943640986987</v>
      </c>
      <c r="HH729" s="15">
        <v>25.39</v>
      </c>
      <c r="HI729" s="15">
        <v>0.11</v>
      </c>
      <c r="HJ729" s="15">
        <f>HI729*SQRT(AR419)</f>
        <v>0.1905255888325765</v>
      </c>
      <c r="HK729" s="15">
        <f t="shared" si="650"/>
        <v>1.2385365853658536</v>
      </c>
      <c r="HL729" s="15">
        <f t="shared" si="651"/>
        <v>4.8900000000000006</v>
      </c>
      <c r="HM729" s="15">
        <f t="shared" si="652"/>
        <v>0.21393050957222437</v>
      </c>
      <c r="HN729" s="15">
        <f>((HJ729*HJ729)/(AR419*HH729*HH729)+(HG729*HG729)/(AR419*HE729*HE729))</f>
        <v>2.7431005694845134E-3</v>
      </c>
      <c r="HP729" s="15" t="s">
        <v>1186</v>
      </c>
      <c r="HV729" s="15">
        <f t="shared" si="653"/>
        <v>14198.535805265867</v>
      </c>
      <c r="HW729" s="15">
        <f t="shared" si="654"/>
        <v>0.21393050957222437</v>
      </c>
      <c r="HX729" s="25">
        <f>DA729</f>
        <v>303750</v>
      </c>
      <c r="HY729" s="25">
        <f>CY729</f>
        <v>101250</v>
      </c>
      <c r="HZ729" s="25">
        <f>CZ729</f>
        <v>129.80769230769229</v>
      </c>
      <c r="IA729" s="25">
        <f>DA729</f>
        <v>303750</v>
      </c>
    </row>
    <row r="730" spans="1:235" s="15" customFormat="1" x14ac:dyDescent="0.25">
      <c r="A730" s="31">
        <v>728</v>
      </c>
      <c r="B730" s="1">
        <v>107</v>
      </c>
      <c r="C730" s="1">
        <v>127</v>
      </c>
      <c r="D730" s="15" t="s">
        <v>1635</v>
      </c>
      <c r="E730" s="1">
        <v>2</v>
      </c>
      <c r="F730" s="15" t="s">
        <v>777</v>
      </c>
      <c r="G730" s="15" t="s">
        <v>2399</v>
      </c>
      <c r="H730" s="15" t="s">
        <v>941</v>
      </c>
      <c r="I730" s="1">
        <v>2020</v>
      </c>
      <c r="J730" s="15" t="s">
        <v>2400</v>
      </c>
      <c r="K730" s="1">
        <v>2018</v>
      </c>
      <c r="L730" s="15" t="s">
        <v>1641</v>
      </c>
      <c r="M730" s="15" t="s">
        <v>480</v>
      </c>
      <c r="N730" s="15" t="s">
        <v>520</v>
      </c>
      <c r="O730" s="31">
        <v>2</v>
      </c>
      <c r="P730" s="15">
        <v>22.86</v>
      </c>
      <c r="Q730" s="15">
        <v>108.29</v>
      </c>
      <c r="S730" s="15">
        <v>1304</v>
      </c>
      <c r="T730" s="15">
        <v>21.6</v>
      </c>
      <c r="U730" s="15" t="s">
        <v>807</v>
      </c>
      <c r="V730" s="31">
        <v>2</v>
      </c>
      <c r="W730" s="15" t="s">
        <v>1169</v>
      </c>
      <c r="X730" s="15" t="s">
        <v>689</v>
      </c>
      <c r="Y730" s="1">
        <v>1</v>
      </c>
      <c r="Z730" s="15">
        <v>6.91</v>
      </c>
      <c r="AA730" s="15" t="s">
        <v>574</v>
      </c>
      <c r="AB730" s="15">
        <f t="shared" si="616"/>
        <v>6.91</v>
      </c>
      <c r="AC730" s="60">
        <v>6</v>
      </c>
      <c r="AD730" s="15">
        <v>16.5</v>
      </c>
      <c r="AM730" s="1"/>
      <c r="AP730" s="15" t="s">
        <v>1334</v>
      </c>
      <c r="AQ730" s="61">
        <v>3</v>
      </c>
      <c r="AR730" s="1">
        <v>3</v>
      </c>
      <c r="CC730" s="15" t="s">
        <v>2402</v>
      </c>
      <c r="CE730" s="15">
        <v>1.5</v>
      </c>
      <c r="CF730" s="15">
        <f t="shared" si="643"/>
        <v>33750</v>
      </c>
      <c r="CG730" s="15" t="s">
        <v>766</v>
      </c>
      <c r="CH730" s="15">
        <v>9.4600000000000009</v>
      </c>
      <c r="CY730" s="25">
        <f t="shared" si="644"/>
        <v>33750</v>
      </c>
      <c r="CZ730" s="25">
        <f t="shared" si="645"/>
        <v>43.269230769230766</v>
      </c>
      <c r="DA730" s="25">
        <f t="shared" si="646"/>
        <v>101250</v>
      </c>
      <c r="FK730" s="16">
        <f t="shared" si="638"/>
        <v>6.89</v>
      </c>
      <c r="FL730" s="16">
        <f t="shared" si="639"/>
        <v>7.13</v>
      </c>
      <c r="FM730" s="15">
        <v>6.89</v>
      </c>
      <c r="FN730" s="15">
        <v>0.12</v>
      </c>
      <c r="FO730" s="15">
        <f>FN730*SQRT(AR730)</f>
        <v>0.20784609690826525</v>
      </c>
      <c r="FP730" s="15">
        <v>7.13</v>
      </c>
      <c r="FQ730" s="15">
        <v>0.01</v>
      </c>
      <c r="FR730" s="15">
        <f>FQ730*SQRT(AR730)</f>
        <v>1.7320508075688773E-2</v>
      </c>
      <c r="FS730" s="15">
        <f t="shared" si="640"/>
        <v>1.0348330914368651</v>
      </c>
      <c r="FT730" s="15">
        <f t="shared" si="641"/>
        <v>0.24000000000000021</v>
      </c>
      <c r="FU730" s="15">
        <f t="shared" si="642"/>
        <v>3.4240149400637465E-2</v>
      </c>
      <c r="FV730" s="15">
        <f>((FR730*FR730)/(AR730*FP730*FP730)+(FO730*FO730)/(AR730*FM730*FM730))</f>
        <v>3.0530313985927579E-4</v>
      </c>
      <c r="FX730" s="15">
        <v>16.79</v>
      </c>
      <c r="FY730" s="15">
        <v>0.28999999999999998</v>
      </c>
      <c r="FZ730" s="15">
        <f>FY730*SQRT(AR730)</f>
        <v>0.50229473419497439</v>
      </c>
      <c r="GA730" s="15">
        <v>24.53</v>
      </c>
      <c r="GB730" s="15">
        <v>0.18</v>
      </c>
      <c r="GC730" s="15">
        <f>GB730*SQRT(AR730)</f>
        <v>0.31176914536239786</v>
      </c>
      <c r="GD730" s="15">
        <f t="shared" si="647"/>
        <v>1.4609886837403219</v>
      </c>
      <c r="GE730" s="15">
        <f t="shared" si="648"/>
        <v>7.740000000000002</v>
      </c>
      <c r="GF730" s="15">
        <f t="shared" si="649"/>
        <v>0.37911338718094889</v>
      </c>
      <c r="GG730" s="15">
        <f>((GC730*GC730)/(AR730*GA730*GA730)+(FZ730*FZ730)/(AR730*FX730*FX730))</f>
        <v>3.521739651237858E-4</v>
      </c>
      <c r="HE730" s="15">
        <v>20.5</v>
      </c>
      <c r="HF730" s="15">
        <v>1.07</v>
      </c>
      <c r="HG730" s="15">
        <f>HF730*SQRT(AR420)</f>
        <v>1.8532943640986987</v>
      </c>
      <c r="HH730" s="15">
        <v>25.92</v>
      </c>
      <c r="HI730" s="15">
        <v>0.03</v>
      </c>
      <c r="HJ730" s="15">
        <f>HI730*SQRT(AR420)</f>
        <v>5.1961524227066312E-2</v>
      </c>
      <c r="HK730" s="15">
        <f t="shared" si="650"/>
        <v>1.264390243902439</v>
      </c>
      <c r="HL730" s="15">
        <f t="shared" si="651"/>
        <v>5.4200000000000017</v>
      </c>
      <c r="HM730" s="15">
        <f t="shared" si="652"/>
        <v>0.23458998533971132</v>
      </c>
      <c r="HN730" s="15">
        <f>((HJ730*HJ730)/(AR420*HH730*HH730)+(HG730*HG730)/(AR420*HE730*HE730))</f>
        <v>2.7256703474093989E-3</v>
      </c>
      <c r="HP730" s="15" t="s">
        <v>1186</v>
      </c>
      <c r="HV730" s="15">
        <f t="shared" si="653"/>
        <v>4316.04102167359</v>
      </c>
      <c r="HW730" s="15">
        <f t="shared" si="654"/>
        <v>0.23458998533971132</v>
      </c>
      <c r="HX730" s="25">
        <f>DA730</f>
        <v>101250</v>
      </c>
      <c r="HY730" s="25">
        <f>CY730</f>
        <v>33750</v>
      </c>
      <c r="HZ730" s="25">
        <f>CZ730</f>
        <v>43.269230769230766</v>
      </c>
      <c r="IA730" s="25">
        <f>DA730</f>
        <v>101250</v>
      </c>
    </row>
    <row r="731" spans="1:235" s="15" customFormat="1" x14ac:dyDescent="0.25">
      <c r="A731" s="31">
        <v>729</v>
      </c>
      <c r="B731" s="1">
        <v>107</v>
      </c>
      <c r="C731" s="1">
        <v>127</v>
      </c>
      <c r="D731" s="15" t="s">
        <v>1636</v>
      </c>
      <c r="E731" s="1">
        <v>2</v>
      </c>
      <c r="F731" s="15" t="s">
        <v>777</v>
      </c>
      <c r="G731" s="15" t="s">
        <v>2399</v>
      </c>
      <c r="H731" s="15" t="s">
        <v>941</v>
      </c>
      <c r="I731" s="1">
        <v>2020</v>
      </c>
      <c r="J731" s="15" t="s">
        <v>2400</v>
      </c>
      <c r="K731" s="1">
        <v>2018</v>
      </c>
      <c r="L731" s="15" t="s">
        <v>1641</v>
      </c>
      <c r="M731" s="15" t="s">
        <v>480</v>
      </c>
      <c r="N731" s="15" t="s">
        <v>520</v>
      </c>
      <c r="O731" s="31">
        <v>2</v>
      </c>
      <c r="P731" s="15">
        <v>22.86</v>
      </c>
      <c r="Q731" s="15">
        <v>108.29</v>
      </c>
      <c r="S731" s="15">
        <v>1304</v>
      </c>
      <c r="T731" s="15">
        <v>21.6</v>
      </c>
      <c r="U731" s="15" t="s">
        <v>807</v>
      </c>
      <c r="V731" s="31">
        <v>2</v>
      </c>
      <c r="W731" s="15" t="s">
        <v>1169</v>
      </c>
      <c r="X731" s="15" t="s">
        <v>689</v>
      </c>
      <c r="Y731" s="1">
        <v>1</v>
      </c>
      <c r="Z731" s="15">
        <v>6.91</v>
      </c>
      <c r="AA731" s="15" t="s">
        <v>574</v>
      </c>
      <c r="AB731" s="15">
        <f t="shared" si="616"/>
        <v>6.91</v>
      </c>
      <c r="AC731" s="60">
        <v>6</v>
      </c>
      <c r="AD731" s="15">
        <v>16.5</v>
      </c>
      <c r="AM731" s="1"/>
      <c r="AP731" s="15" t="s">
        <v>1334</v>
      </c>
      <c r="AQ731" s="61">
        <v>3</v>
      </c>
      <c r="AR731" s="1">
        <v>3</v>
      </c>
      <c r="CC731" s="15" t="s">
        <v>2402</v>
      </c>
      <c r="CE731" s="15">
        <v>3</v>
      </c>
      <c r="CF731" s="15">
        <f t="shared" si="643"/>
        <v>67500</v>
      </c>
      <c r="CG731" s="15" t="s">
        <v>766</v>
      </c>
      <c r="CH731" s="15">
        <v>9.4600000000000009</v>
      </c>
      <c r="CY731" s="25">
        <f t="shared" si="644"/>
        <v>67500</v>
      </c>
      <c r="CZ731" s="25">
        <f t="shared" si="645"/>
        <v>86.538461538461533</v>
      </c>
      <c r="DA731" s="25">
        <f t="shared" si="646"/>
        <v>202500</v>
      </c>
      <c r="FK731" s="16">
        <f t="shared" si="638"/>
        <v>6.89</v>
      </c>
      <c r="FL731" s="16">
        <f t="shared" si="639"/>
        <v>7.15</v>
      </c>
      <c r="FM731" s="15">
        <v>6.89</v>
      </c>
      <c r="FN731" s="15">
        <v>0.12</v>
      </c>
      <c r="FO731" s="15">
        <f>FN731*SQRT(AR731)</f>
        <v>0.20784609690826525</v>
      </c>
      <c r="FP731" s="15">
        <v>7.15</v>
      </c>
      <c r="FQ731" s="15">
        <v>0.01</v>
      </c>
      <c r="FR731" s="15">
        <f>FQ731*SQRT(AR731)</f>
        <v>1.7320508075688773E-2</v>
      </c>
      <c r="FS731" s="15">
        <f t="shared" si="640"/>
        <v>1.0377358490566038</v>
      </c>
      <c r="FT731" s="15">
        <f t="shared" si="641"/>
        <v>0.26000000000000068</v>
      </c>
      <c r="FU731" s="15">
        <f t="shared" si="642"/>
        <v>3.7041271680349208E-2</v>
      </c>
      <c r="FV731" s="15">
        <f>((FR731*FR731)/(AR731*FP731*FP731)+(FO731*FO731)/(AR731*FM731*FM731))</f>
        <v>3.0529215063441957E-4</v>
      </c>
      <c r="FX731" s="15">
        <v>16.79</v>
      </c>
      <c r="FY731" s="15">
        <v>0.28999999999999998</v>
      </c>
      <c r="FZ731" s="15">
        <f>FY731*SQRT(AR731)</f>
        <v>0.50229473419497439</v>
      </c>
      <c r="GA731" s="15">
        <v>30.08</v>
      </c>
      <c r="GB731" s="15">
        <v>0.39</v>
      </c>
      <c r="GC731" s="15">
        <f>GB731*SQRT(AR731)</f>
        <v>0.67549981495186218</v>
      </c>
      <c r="GD731" s="15">
        <f t="shared" si="647"/>
        <v>1.7915425848719475</v>
      </c>
      <c r="GE731" s="15">
        <f t="shared" si="648"/>
        <v>13.29</v>
      </c>
      <c r="GF731" s="15">
        <f t="shared" si="649"/>
        <v>0.58307702799218974</v>
      </c>
      <c r="GG731" s="15">
        <f>((GC731*GC731)/(AR731*GA731*GA731)+(FZ731*FZ731)/(AR731*FX731*FX731))</f>
        <v>4.6643066239336102E-4</v>
      </c>
      <c r="HE731" s="15">
        <v>20.5</v>
      </c>
      <c r="HF731" s="15">
        <v>1.07</v>
      </c>
      <c r="HG731" s="15">
        <f>HF731*SQRT(AR421)</f>
        <v>1.8532943640986987</v>
      </c>
      <c r="HH731" s="15">
        <v>26.29</v>
      </c>
      <c r="HI731" s="15">
        <v>0.08</v>
      </c>
      <c r="HJ731" s="15">
        <f>HI731*SQRT(AR421)</f>
        <v>0.13856406460551018</v>
      </c>
      <c r="HK731" s="15">
        <f t="shared" si="650"/>
        <v>1.2824390243902439</v>
      </c>
      <c r="HL731" s="15">
        <f t="shared" si="651"/>
        <v>5.7899999999999991</v>
      </c>
      <c r="HM731" s="15">
        <f t="shared" si="652"/>
        <v>0.24876375259742733</v>
      </c>
      <c r="HN731" s="15">
        <f>((HJ731*HJ731)/(AR421*HH731*HH731)+(HG731*HG731)/(AR421*HE731*HE731))</f>
        <v>2.7335904957004106E-3</v>
      </c>
      <c r="HP731" s="15" t="s">
        <v>1186</v>
      </c>
      <c r="HV731" s="15">
        <f t="shared" si="653"/>
        <v>8140.2534688284886</v>
      </c>
      <c r="HW731" s="15">
        <f t="shared" si="654"/>
        <v>0.24876375259742733</v>
      </c>
      <c r="HX731" s="25">
        <f>DA731</f>
        <v>202500</v>
      </c>
      <c r="HY731" s="25">
        <f>CY731</f>
        <v>67500</v>
      </c>
      <c r="HZ731" s="25">
        <f>CZ731</f>
        <v>86.538461538461533</v>
      </c>
      <c r="IA731" s="25">
        <f>DA731</f>
        <v>202500</v>
      </c>
    </row>
    <row r="732" spans="1:235" s="15" customFormat="1" x14ac:dyDescent="0.25">
      <c r="A732" s="31">
        <v>730</v>
      </c>
      <c r="B732" s="1">
        <v>107</v>
      </c>
      <c r="C732" s="1">
        <v>127</v>
      </c>
      <c r="D732" s="15" t="s">
        <v>1637</v>
      </c>
      <c r="E732" s="1">
        <v>2</v>
      </c>
      <c r="F732" s="15" t="s">
        <v>777</v>
      </c>
      <c r="G732" s="15" t="s">
        <v>2399</v>
      </c>
      <c r="H732" s="15" t="s">
        <v>941</v>
      </c>
      <c r="I732" s="1">
        <v>2020</v>
      </c>
      <c r="J732" s="15" t="s">
        <v>2400</v>
      </c>
      <c r="K732" s="1">
        <v>2018</v>
      </c>
      <c r="L732" s="15" t="s">
        <v>1641</v>
      </c>
      <c r="M732" s="15" t="s">
        <v>480</v>
      </c>
      <c r="N732" s="15" t="s">
        <v>520</v>
      </c>
      <c r="O732" s="31">
        <v>2</v>
      </c>
      <c r="P732" s="15">
        <v>22.86</v>
      </c>
      <c r="Q732" s="15">
        <v>108.29</v>
      </c>
      <c r="S732" s="15">
        <v>1304</v>
      </c>
      <c r="T732" s="15">
        <v>21.6</v>
      </c>
      <c r="U732" s="15" t="s">
        <v>807</v>
      </c>
      <c r="V732" s="31">
        <v>2</v>
      </c>
      <c r="W732" s="15" t="s">
        <v>1169</v>
      </c>
      <c r="X732" s="15" t="s">
        <v>689</v>
      </c>
      <c r="Y732" s="1">
        <v>1</v>
      </c>
      <c r="Z732" s="15">
        <v>6.91</v>
      </c>
      <c r="AA732" s="15" t="s">
        <v>574</v>
      </c>
      <c r="AB732" s="15">
        <f t="shared" si="616"/>
        <v>6.91</v>
      </c>
      <c r="AC732" s="60">
        <v>6</v>
      </c>
      <c r="AD732" s="15">
        <v>16.5</v>
      </c>
      <c r="AM732" s="1"/>
      <c r="AP732" s="15" t="s">
        <v>1334</v>
      </c>
      <c r="AQ732" s="61">
        <v>3</v>
      </c>
      <c r="AR732" s="1">
        <v>3</v>
      </c>
      <c r="CC732" s="15" t="s">
        <v>2402</v>
      </c>
      <c r="CE732" s="15">
        <v>4.5</v>
      </c>
      <c r="CF732" s="15">
        <f t="shared" si="643"/>
        <v>101250</v>
      </c>
      <c r="CG732" s="15" t="s">
        <v>766</v>
      </c>
      <c r="CH732" s="15">
        <v>9.4600000000000009</v>
      </c>
      <c r="CY732" s="25">
        <f t="shared" si="644"/>
        <v>101250</v>
      </c>
      <c r="CZ732" s="25">
        <f t="shared" si="645"/>
        <v>129.80769230769229</v>
      </c>
      <c r="DA732" s="25">
        <f t="shared" si="646"/>
        <v>303750</v>
      </c>
      <c r="FK732" s="16">
        <f t="shared" si="638"/>
        <v>6.89</v>
      </c>
      <c r="FL732" s="16">
        <f t="shared" si="639"/>
        <v>7.22</v>
      </c>
      <c r="FM732" s="15">
        <v>6.89</v>
      </c>
      <c r="FN732" s="15">
        <v>0.12</v>
      </c>
      <c r="FO732" s="15">
        <f>FN732*SQRT(AR732)</f>
        <v>0.20784609690826525</v>
      </c>
      <c r="FP732" s="15">
        <v>7.22</v>
      </c>
      <c r="FQ732" s="15">
        <v>0.02</v>
      </c>
      <c r="FR732" s="15">
        <f>FQ732*SQRT(AR732)</f>
        <v>3.4641016151377546E-2</v>
      </c>
      <c r="FS732" s="15">
        <f t="shared" si="640"/>
        <v>1.0478955007256894</v>
      </c>
      <c r="FT732" s="15">
        <f t="shared" si="641"/>
        <v>0.33000000000000007</v>
      </c>
      <c r="FU732" s="15">
        <f t="shared" si="642"/>
        <v>4.6783867879167662E-2</v>
      </c>
      <c r="FV732" s="15">
        <f>((FR732*FR732)/(AR732*FP732*FP732)+(FO732*FO732)/(AR732*FM732*FM732))</f>
        <v>3.1100942515696747E-4</v>
      </c>
      <c r="FX732" s="15">
        <v>16.79</v>
      </c>
      <c r="FY732" s="15">
        <v>0.28999999999999998</v>
      </c>
      <c r="FZ732" s="15">
        <f>FY732*SQRT(AR732)</f>
        <v>0.50229473419497439</v>
      </c>
      <c r="GA732" s="15">
        <v>38.520000000000003</v>
      </c>
      <c r="GB732" s="15">
        <v>0.82</v>
      </c>
      <c r="GC732" s="15">
        <f>GB732*SQRT(AR732)</f>
        <v>1.4202816622064791</v>
      </c>
      <c r="GD732" s="15">
        <f t="shared" si="647"/>
        <v>2.2942227516378799</v>
      </c>
      <c r="GE732" s="15">
        <f t="shared" si="648"/>
        <v>21.730000000000004</v>
      </c>
      <c r="GF732" s="15">
        <f t="shared" si="649"/>
        <v>0.83039411584047551</v>
      </c>
      <c r="GG732" s="15">
        <f>((GC732*GC732)/(AR732*GA732*GA732)+(FZ732*FZ732)/(AR732*FX732*FX732))</f>
        <v>7.5149213842506013E-4</v>
      </c>
      <c r="HE732" s="15">
        <v>20.5</v>
      </c>
      <c r="HF732" s="15">
        <v>1.07</v>
      </c>
      <c r="HG732" s="15">
        <f>HF732*SQRT(AR422)</f>
        <v>3.7065887281973975</v>
      </c>
      <c r="HH732" s="15">
        <v>17.68</v>
      </c>
      <c r="HI732" s="15">
        <v>0.62</v>
      </c>
      <c r="HJ732" s="15">
        <f>HI732*SQRT(AR422)</f>
        <v>2.1477430013854075</v>
      </c>
      <c r="HK732" s="15">
        <f t="shared" si="650"/>
        <v>0.86243902439024389</v>
      </c>
      <c r="HL732" s="15">
        <f t="shared" si="651"/>
        <v>-2.8200000000000003</v>
      </c>
      <c r="HM732" s="15">
        <f t="shared" si="652"/>
        <v>-0.14799082893486526</v>
      </c>
      <c r="HN732" s="15">
        <f>((HJ732*HJ732)/(AR422*HH732*HH732)+(HG732*HG732)/(AR422*HE732*HE732))</f>
        <v>3.9540864935096792E-3</v>
      </c>
      <c r="HP732" s="15" t="s">
        <v>1186</v>
      </c>
      <c r="HV732" s="15">
        <f t="shared" si="653"/>
        <v>-20524.920509343759</v>
      </c>
      <c r="HW732" s="15">
        <f t="shared" si="654"/>
        <v>-0.14799082893486526</v>
      </c>
      <c r="HX732" s="25">
        <f>DA732</f>
        <v>303750</v>
      </c>
      <c r="HY732" s="25">
        <f>CY732</f>
        <v>101250</v>
      </c>
      <c r="HZ732" s="25">
        <f>CZ732</f>
        <v>129.80769230769229</v>
      </c>
      <c r="IA732" s="25">
        <f>DA732</f>
        <v>303750</v>
      </c>
    </row>
    <row r="733" spans="1:235" s="15" customFormat="1" x14ac:dyDescent="0.25">
      <c r="A733" s="31">
        <v>731</v>
      </c>
      <c r="B733" s="1">
        <v>107</v>
      </c>
      <c r="C733" s="1">
        <v>127</v>
      </c>
      <c r="D733" s="15" t="s">
        <v>1638</v>
      </c>
      <c r="E733" s="1">
        <v>2</v>
      </c>
      <c r="F733" s="15" t="s">
        <v>777</v>
      </c>
      <c r="G733" s="15" t="s">
        <v>2399</v>
      </c>
      <c r="H733" s="15" t="s">
        <v>941</v>
      </c>
      <c r="I733" s="1">
        <v>2020</v>
      </c>
      <c r="J733" s="15" t="s">
        <v>2400</v>
      </c>
      <c r="K733" s="1">
        <v>2018</v>
      </c>
      <c r="L733" s="15" t="s">
        <v>1641</v>
      </c>
      <c r="M733" s="15" t="s">
        <v>480</v>
      </c>
      <c r="N733" s="15" t="s">
        <v>520</v>
      </c>
      <c r="O733" s="31">
        <v>2</v>
      </c>
      <c r="P733" s="15">
        <v>22.86</v>
      </c>
      <c r="Q733" s="15">
        <v>108.29</v>
      </c>
      <c r="S733" s="15">
        <v>1304</v>
      </c>
      <c r="T733" s="15">
        <v>21.6</v>
      </c>
      <c r="U733" s="15" t="s">
        <v>807</v>
      </c>
      <c r="V733" s="31">
        <v>2</v>
      </c>
      <c r="W733" s="15" t="s">
        <v>1169</v>
      </c>
      <c r="X733" s="15" t="s">
        <v>689</v>
      </c>
      <c r="Y733" s="1">
        <v>1</v>
      </c>
      <c r="Z733" s="15">
        <v>6.91</v>
      </c>
      <c r="AA733" s="15" t="s">
        <v>574</v>
      </c>
      <c r="AB733" s="15">
        <f t="shared" si="616"/>
        <v>6.91</v>
      </c>
      <c r="AC733" s="60">
        <v>6</v>
      </c>
      <c r="AD733" s="15">
        <v>16.5</v>
      </c>
      <c r="AM733" s="1"/>
      <c r="AP733" s="15" t="s">
        <v>1334</v>
      </c>
      <c r="AQ733" s="61">
        <v>3</v>
      </c>
      <c r="AR733" s="1">
        <v>3</v>
      </c>
      <c r="CC733" s="15" t="s">
        <v>2403</v>
      </c>
      <c r="CE733" s="15">
        <v>1.5</v>
      </c>
      <c r="CF733" s="15">
        <f t="shared" si="643"/>
        <v>33750</v>
      </c>
      <c r="CG733" s="15" t="s">
        <v>766</v>
      </c>
      <c r="CH733" s="15">
        <v>9.18</v>
      </c>
      <c r="CY733" s="25">
        <f t="shared" si="644"/>
        <v>33750</v>
      </c>
      <c r="CZ733" s="25">
        <f t="shared" si="645"/>
        <v>43.269230769230766</v>
      </c>
      <c r="DA733" s="25">
        <f t="shared" si="646"/>
        <v>101250</v>
      </c>
      <c r="FK733" s="16">
        <f t="shared" si="638"/>
        <v>6.89</v>
      </c>
      <c r="FL733" s="16">
        <f t="shared" si="639"/>
        <v>6.9</v>
      </c>
      <c r="FM733" s="15">
        <v>6.89</v>
      </c>
      <c r="FN733" s="15">
        <v>0.12</v>
      </c>
      <c r="FO733" s="15">
        <f>FN733*SQRT(AR733)</f>
        <v>0.20784609690826525</v>
      </c>
      <c r="FP733" s="15">
        <v>6.9</v>
      </c>
      <c r="FQ733" s="15">
        <v>0.03</v>
      </c>
      <c r="FR733" s="15">
        <f>FQ733*SQRT(AR733)</f>
        <v>5.1961524227066312E-2</v>
      </c>
      <c r="FS733" s="15">
        <f t="shared" si="640"/>
        <v>1.0014513788098696</v>
      </c>
      <c r="FT733" s="15">
        <f t="shared" si="641"/>
        <v>1.0000000000000675E-2</v>
      </c>
      <c r="FU733" s="15">
        <f t="shared" si="642"/>
        <v>1.4503265776466545E-3</v>
      </c>
      <c r="FV733" s="15">
        <f>((FR733*FR733)/(AR733*FP733*FP733)+(FO733*FO733)/(AR733*FM733*FM733))</f>
        <v>3.2223965644466944E-4</v>
      </c>
      <c r="FX733" s="15">
        <v>16.79</v>
      </c>
      <c r="FY733" s="15">
        <v>0.28999999999999998</v>
      </c>
      <c r="FZ733" s="15">
        <f>FY733*SQRT(AR733)</f>
        <v>0.50229473419497439</v>
      </c>
      <c r="GA733" s="15">
        <v>26.12</v>
      </c>
      <c r="GB733" s="15">
        <v>0.98</v>
      </c>
      <c r="GC733" s="15">
        <f>GB733*SQRT(AR733)</f>
        <v>1.6974097914174997</v>
      </c>
      <c r="GD733" s="15">
        <f t="shared" si="647"/>
        <v>1.5556879094699227</v>
      </c>
      <c r="GE733" s="15">
        <f t="shared" si="648"/>
        <v>9.3300000000000018</v>
      </c>
      <c r="GF733" s="15">
        <f t="shared" si="649"/>
        <v>0.44191783331878121</v>
      </c>
      <c r="GG733" s="15">
        <f>((GC733*GC733)/(AR733*GA733*GA733)+(FZ733*FZ733)/(AR733*FX733*FX733))</f>
        <v>1.7060144510720964E-3</v>
      </c>
      <c r="HE733" s="15">
        <v>20.5</v>
      </c>
      <c r="HF733" s="15">
        <v>1.07</v>
      </c>
      <c r="HG733" s="15">
        <f>HF733*SQRT(AR423)</f>
        <v>3.7065887281973975</v>
      </c>
      <c r="HH733" s="15">
        <v>21.14</v>
      </c>
      <c r="HI733" s="15">
        <v>0.21</v>
      </c>
      <c r="HJ733" s="15">
        <f>HI733*SQRT(AR423)</f>
        <v>0.72746133917892841</v>
      </c>
      <c r="HK733" s="15">
        <f t="shared" si="650"/>
        <v>1.031219512195122</v>
      </c>
      <c r="HL733" s="15">
        <f t="shared" si="651"/>
        <v>0.64000000000000057</v>
      </c>
      <c r="HM733" s="15">
        <f t="shared" si="652"/>
        <v>3.0742094297729228E-2</v>
      </c>
      <c r="HN733" s="15">
        <f>((HJ733*HJ733)/(AR423*HH733*HH733)+(HG733*HG733)/(AR423*HE733*HE733))</f>
        <v>2.8230106379639728E-3</v>
      </c>
      <c r="HP733" s="15" t="s">
        <v>1186</v>
      </c>
      <c r="HV733" s="15">
        <f t="shared" si="653"/>
        <v>32935.296801649216</v>
      </c>
      <c r="HW733" s="15">
        <f t="shared" si="654"/>
        <v>3.0742094297729228E-2</v>
      </c>
      <c r="HX733" s="25">
        <f>DA733</f>
        <v>101250</v>
      </c>
      <c r="HY733" s="25">
        <f>CY733</f>
        <v>33750</v>
      </c>
      <c r="HZ733" s="25">
        <f>CZ733</f>
        <v>43.269230769230766</v>
      </c>
      <c r="IA733" s="25">
        <f>DA733</f>
        <v>101250</v>
      </c>
    </row>
    <row r="734" spans="1:235" s="15" customFormat="1" x14ac:dyDescent="0.25">
      <c r="A734" s="31">
        <v>732</v>
      </c>
      <c r="B734" s="1">
        <v>107</v>
      </c>
      <c r="C734" s="1">
        <v>127</v>
      </c>
      <c r="D734" s="15" t="s">
        <v>1639</v>
      </c>
      <c r="E734" s="1">
        <v>2</v>
      </c>
      <c r="F734" s="15" t="s">
        <v>777</v>
      </c>
      <c r="G734" s="15" t="s">
        <v>2399</v>
      </c>
      <c r="H734" s="15" t="s">
        <v>941</v>
      </c>
      <c r="I734" s="1">
        <v>2020</v>
      </c>
      <c r="J734" s="15" t="s">
        <v>2400</v>
      </c>
      <c r="K734" s="1">
        <v>2018</v>
      </c>
      <c r="L734" s="15" t="s">
        <v>1641</v>
      </c>
      <c r="M734" s="15" t="s">
        <v>480</v>
      </c>
      <c r="N734" s="15" t="s">
        <v>520</v>
      </c>
      <c r="O734" s="31">
        <v>2</v>
      </c>
      <c r="P734" s="15">
        <v>22.86</v>
      </c>
      <c r="Q734" s="15">
        <v>108.29</v>
      </c>
      <c r="S734" s="15">
        <v>1304</v>
      </c>
      <c r="T734" s="15">
        <v>21.6</v>
      </c>
      <c r="U734" s="15" t="s">
        <v>807</v>
      </c>
      <c r="V734" s="31">
        <v>2</v>
      </c>
      <c r="W734" s="15" t="s">
        <v>1169</v>
      </c>
      <c r="X734" s="15" t="s">
        <v>689</v>
      </c>
      <c r="Y734" s="1">
        <v>1</v>
      </c>
      <c r="Z734" s="15">
        <v>6.91</v>
      </c>
      <c r="AA734" s="15" t="s">
        <v>574</v>
      </c>
      <c r="AB734" s="15">
        <f t="shared" si="616"/>
        <v>6.91</v>
      </c>
      <c r="AC734" s="60">
        <v>6</v>
      </c>
      <c r="AD734" s="15">
        <v>16.5</v>
      </c>
      <c r="AM734" s="1"/>
      <c r="AP734" s="15" t="s">
        <v>1334</v>
      </c>
      <c r="AQ734" s="61">
        <v>3</v>
      </c>
      <c r="AR734" s="1">
        <v>3</v>
      </c>
      <c r="CC734" s="15" t="s">
        <v>2403</v>
      </c>
      <c r="CE734" s="15">
        <v>3</v>
      </c>
      <c r="CF734" s="15">
        <f t="shared" si="643"/>
        <v>67500</v>
      </c>
      <c r="CG734" s="15" t="s">
        <v>766</v>
      </c>
      <c r="CH734" s="15">
        <v>9.18</v>
      </c>
      <c r="CY734" s="25">
        <f t="shared" si="644"/>
        <v>67500</v>
      </c>
      <c r="CZ734" s="25">
        <f t="shared" si="645"/>
        <v>86.538461538461533</v>
      </c>
      <c r="DA734" s="25">
        <f t="shared" si="646"/>
        <v>202500</v>
      </c>
      <c r="FK734" s="16">
        <f t="shared" si="638"/>
        <v>6.89</v>
      </c>
      <c r="FL734" s="16">
        <f t="shared" si="639"/>
        <v>6.99</v>
      </c>
      <c r="FM734" s="15">
        <v>6.89</v>
      </c>
      <c r="FN734" s="15">
        <v>0.12</v>
      </c>
      <c r="FO734" s="15">
        <f>FN734*SQRT(AR734)</f>
        <v>0.20784609690826525</v>
      </c>
      <c r="FP734" s="15">
        <v>6.99</v>
      </c>
      <c r="FQ734" s="15">
        <v>0.01</v>
      </c>
      <c r="FR734" s="15">
        <f>FQ734*SQRT(AR734)</f>
        <v>1.7320508075688773E-2</v>
      </c>
      <c r="FS734" s="15">
        <f t="shared" si="640"/>
        <v>1.0145137880986939</v>
      </c>
      <c r="FT734" s="15">
        <f t="shared" si="641"/>
        <v>0.10000000000000053</v>
      </c>
      <c r="FU734" s="15">
        <f t="shared" si="642"/>
        <v>1.4409471220151904E-2</v>
      </c>
      <c r="FV734" s="15">
        <f>((FR734*FR734)/(AR734*FP734*FP734)+(FO734*FO734)/(AR734*FM734*FM734))</f>
        <v>3.0538272451120649E-4</v>
      </c>
      <c r="FX734" s="15">
        <v>16.79</v>
      </c>
      <c r="FY734" s="15">
        <v>0.28999999999999998</v>
      </c>
      <c r="FZ734" s="15">
        <f>FY734*SQRT(AR734)</f>
        <v>0.50229473419497439</v>
      </c>
      <c r="GA734" s="15">
        <v>30.1</v>
      </c>
      <c r="GB734" s="15">
        <v>0.56000000000000005</v>
      </c>
      <c r="GC734" s="15">
        <f>GB734*SQRT(AR734)</f>
        <v>0.96994845223857129</v>
      </c>
      <c r="GD734" s="15">
        <f t="shared" si="647"/>
        <v>1.7927337701012509</v>
      </c>
      <c r="GE734" s="15">
        <f t="shared" si="648"/>
        <v>13.310000000000002</v>
      </c>
      <c r="GF734" s="15">
        <f t="shared" si="649"/>
        <v>0.58374170066538067</v>
      </c>
      <c r="GG734" s="15">
        <f>((GC734*GC734)/(AR734*GA734*GA734)+(FZ734*FZ734)/(AR734*FX734*FX734))</f>
        <v>6.4446144805885958E-4</v>
      </c>
      <c r="HE734" s="15">
        <v>20.5</v>
      </c>
      <c r="HF734" s="15">
        <v>1.07</v>
      </c>
      <c r="HG734" s="15">
        <f>HF734*SQRT(AR424)</f>
        <v>3.7065887281973975</v>
      </c>
      <c r="HH734" s="15">
        <v>27.21</v>
      </c>
      <c r="HI734" s="15">
        <v>0.16</v>
      </c>
      <c r="HJ734" s="15">
        <f>HI734*SQRT(AR424)</f>
        <v>0.55425625842204074</v>
      </c>
      <c r="HK734" s="15">
        <f t="shared" si="650"/>
        <v>1.3273170731707318</v>
      </c>
      <c r="HL734" s="15">
        <f t="shared" si="651"/>
        <v>6.7100000000000009</v>
      </c>
      <c r="HM734" s="15">
        <f t="shared" si="652"/>
        <v>0.28315966665079229</v>
      </c>
      <c r="HN734" s="15">
        <f>((HJ734*HJ734)/(AR424*HH734*HH734)+(HG734*HG734)/(AR424*HE734*HE734))</f>
        <v>2.75890740294824E-3</v>
      </c>
      <c r="HP734" s="15" t="s">
        <v>1186</v>
      </c>
      <c r="HV734" s="15">
        <f t="shared" si="653"/>
        <v>7151.4422373485086</v>
      </c>
      <c r="HW734" s="15">
        <f t="shared" si="654"/>
        <v>0.28315966665079229</v>
      </c>
      <c r="HX734" s="25">
        <f>DA734</f>
        <v>202500</v>
      </c>
      <c r="HY734" s="25">
        <f>CY734</f>
        <v>67500</v>
      </c>
      <c r="HZ734" s="25">
        <f>CZ734</f>
        <v>86.538461538461533</v>
      </c>
      <c r="IA734" s="25">
        <f>DA734</f>
        <v>202500</v>
      </c>
    </row>
    <row r="735" spans="1:235" s="15" customFormat="1" x14ac:dyDescent="0.25">
      <c r="A735" s="31">
        <v>733</v>
      </c>
      <c r="B735" s="1">
        <v>107</v>
      </c>
      <c r="C735" s="1">
        <v>127</v>
      </c>
      <c r="D735" s="15" t="s">
        <v>1640</v>
      </c>
      <c r="E735" s="1">
        <v>2</v>
      </c>
      <c r="F735" s="15" t="s">
        <v>777</v>
      </c>
      <c r="G735" s="15" t="s">
        <v>2399</v>
      </c>
      <c r="H735" s="15" t="s">
        <v>941</v>
      </c>
      <c r="I735" s="1">
        <v>2020</v>
      </c>
      <c r="J735" s="15" t="s">
        <v>2400</v>
      </c>
      <c r="K735" s="1">
        <v>2018</v>
      </c>
      <c r="L735" s="15" t="s">
        <v>1641</v>
      </c>
      <c r="M735" s="15" t="s">
        <v>480</v>
      </c>
      <c r="N735" s="15" t="s">
        <v>520</v>
      </c>
      <c r="O735" s="31">
        <v>2</v>
      </c>
      <c r="P735" s="15">
        <v>22.86</v>
      </c>
      <c r="Q735" s="15">
        <v>108.29</v>
      </c>
      <c r="S735" s="15">
        <v>1304</v>
      </c>
      <c r="T735" s="15">
        <v>21.6</v>
      </c>
      <c r="U735" s="15" t="s">
        <v>807</v>
      </c>
      <c r="V735" s="31">
        <v>2</v>
      </c>
      <c r="W735" s="15" t="s">
        <v>1169</v>
      </c>
      <c r="X735" s="15" t="s">
        <v>689</v>
      </c>
      <c r="Y735" s="1">
        <v>1</v>
      </c>
      <c r="Z735" s="15">
        <v>6.91</v>
      </c>
      <c r="AA735" s="15" t="s">
        <v>574</v>
      </c>
      <c r="AB735" s="15">
        <f t="shared" si="616"/>
        <v>6.91</v>
      </c>
      <c r="AC735" s="60">
        <v>6</v>
      </c>
      <c r="AD735" s="15">
        <v>16.5</v>
      </c>
      <c r="AM735" s="1"/>
      <c r="AP735" s="15" t="s">
        <v>1334</v>
      </c>
      <c r="AQ735" s="61">
        <v>3</v>
      </c>
      <c r="AR735" s="1">
        <v>3</v>
      </c>
      <c r="CC735" s="15" t="s">
        <v>2403</v>
      </c>
      <c r="CE735" s="15">
        <v>4.5</v>
      </c>
      <c r="CF735" s="15">
        <f t="shared" si="643"/>
        <v>101250</v>
      </c>
      <c r="CG735" s="15" t="s">
        <v>766</v>
      </c>
      <c r="CH735" s="15">
        <v>9.18</v>
      </c>
      <c r="CY735" s="25">
        <f t="shared" si="644"/>
        <v>101250</v>
      </c>
      <c r="CZ735" s="25">
        <f t="shared" si="645"/>
        <v>129.80769230769229</v>
      </c>
      <c r="DA735" s="25">
        <f t="shared" si="646"/>
        <v>303750</v>
      </c>
      <c r="FK735" s="16">
        <f t="shared" si="638"/>
        <v>6.89</v>
      </c>
      <c r="FL735" s="16">
        <f t="shared" si="639"/>
        <v>7.09</v>
      </c>
      <c r="FM735" s="15">
        <v>6.89</v>
      </c>
      <c r="FN735" s="15">
        <v>0.12</v>
      </c>
      <c r="FO735" s="15">
        <f>FN735*SQRT(AR735)</f>
        <v>0.20784609690826525</v>
      </c>
      <c r="FP735" s="15">
        <v>7.09</v>
      </c>
      <c r="FQ735" s="15">
        <v>0.01</v>
      </c>
      <c r="FR735" s="15">
        <f>FQ735*SQRT(AR735)</f>
        <v>1.7320508075688773E-2</v>
      </c>
      <c r="FS735" s="15">
        <f t="shared" si="640"/>
        <v>1.0290275761973875</v>
      </c>
      <c r="FT735" s="15">
        <f t="shared" si="641"/>
        <v>0.20000000000000018</v>
      </c>
      <c r="FU735" s="15">
        <f t="shared" si="642"/>
        <v>2.8614255518468967E-2</v>
      </c>
      <c r="FV735" s="15">
        <f>((FR735*FR735)/(AR735*FP735*FP735)+(FO735*FO735)/(AR735*FM735*FM735))</f>
        <v>3.0532539795765604E-4</v>
      </c>
      <c r="FX735" s="15">
        <v>16.79</v>
      </c>
      <c r="FY735" s="15">
        <v>0.28999999999999998</v>
      </c>
      <c r="FZ735" s="15">
        <f>FY735*SQRT(AR735)</f>
        <v>0.50229473419497439</v>
      </c>
      <c r="GA735" s="15">
        <v>40.35</v>
      </c>
      <c r="GB735" s="15">
        <v>1.71</v>
      </c>
      <c r="GC735" s="15">
        <f>GB735*SQRT(AR735)</f>
        <v>2.9618068809427798</v>
      </c>
      <c r="GD735" s="15">
        <f t="shared" si="647"/>
        <v>2.4032162001191186</v>
      </c>
      <c r="GE735" s="15">
        <f t="shared" si="648"/>
        <v>23.560000000000002</v>
      </c>
      <c r="GF735" s="15">
        <f t="shared" si="649"/>
        <v>0.8768079236265085</v>
      </c>
      <c r="GG735" s="15">
        <f>((GC735*GC735)/(AR735*GA735*GA735)+(FZ735*FZ735)/(AR735*FX735*FX735))</f>
        <v>2.0943234833925017E-3</v>
      </c>
      <c r="HE735" s="15">
        <v>20.5</v>
      </c>
      <c r="HF735" s="15">
        <v>1.07</v>
      </c>
      <c r="HG735" s="15">
        <f>HF735*SQRT(AR425)</f>
        <v>3.7065887281973975</v>
      </c>
      <c r="HH735" s="15">
        <v>23.77</v>
      </c>
      <c r="HI735" s="15">
        <v>1.73</v>
      </c>
      <c r="HJ735" s="15">
        <f>HI735*SQRT(AR425)</f>
        <v>5.992895794188315</v>
      </c>
      <c r="HK735" s="15">
        <f t="shared" si="650"/>
        <v>1.1595121951219511</v>
      </c>
      <c r="HL735" s="15">
        <f t="shared" si="651"/>
        <v>3.2699999999999996</v>
      </c>
      <c r="HM735" s="15">
        <f t="shared" si="652"/>
        <v>0.14799939522773986</v>
      </c>
      <c r="HN735" s="15">
        <f>((HJ735*HJ735)/(AR425*HH735*HH735)+(HG735*HG735)/(AR425*HE735*HE735))</f>
        <v>8.021377955663947E-3</v>
      </c>
      <c r="HP735" s="15" t="s">
        <v>1186</v>
      </c>
      <c r="HV735" s="15">
        <f t="shared" si="653"/>
        <v>20523.732514757427</v>
      </c>
      <c r="HW735" s="15">
        <f t="shared" si="654"/>
        <v>0.14799939522773986</v>
      </c>
      <c r="HX735" s="25">
        <f>DA735</f>
        <v>303750</v>
      </c>
      <c r="HY735" s="25">
        <f>CY735</f>
        <v>101250</v>
      </c>
      <c r="HZ735" s="25">
        <f>CZ735</f>
        <v>129.80769230769229</v>
      </c>
      <c r="IA735" s="25">
        <f>DA735</f>
        <v>303750</v>
      </c>
    </row>
    <row r="736" spans="1:235" s="15" customFormat="1" x14ac:dyDescent="0.25">
      <c r="A736" s="31">
        <v>734</v>
      </c>
      <c r="B736" s="1">
        <v>108</v>
      </c>
      <c r="C736" s="1">
        <v>128</v>
      </c>
      <c r="D736" s="15" t="s">
        <v>1642</v>
      </c>
      <c r="E736" s="1">
        <v>1</v>
      </c>
      <c r="F736" s="15" t="s">
        <v>761</v>
      </c>
      <c r="G736" s="15" t="s">
        <v>1646</v>
      </c>
      <c r="H736" s="15" t="s">
        <v>1647</v>
      </c>
      <c r="I736" s="1">
        <v>2019</v>
      </c>
      <c r="J736" s="15" t="s">
        <v>1648</v>
      </c>
      <c r="K736" s="1">
        <v>2019</v>
      </c>
      <c r="L736" s="15" t="s">
        <v>1649</v>
      </c>
      <c r="M736" s="15" t="s">
        <v>480</v>
      </c>
      <c r="N736" s="15" t="s">
        <v>520</v>
      </c>
      <c r="O736" s="31">
        <v>2</v>
      </c>
      <c r="P736" s="15">
        <v>28.52</v>
      </c>
      <c r="Q736" s="15">
        <v>115.15</v>
      </c>
      <c r="S736" s="15">
        <v>1650</v>
      </c>
      <c r="T736" s="15">
        <v>17.5</v>
      </c>
      <c r="U736" s="15" t="s">
        <v>549</v>
      </c>
      <c r="V736" s="31">
        <v>1</v>
      </c>
      <c r="W736" s="15" t="s">
        <v>1153</v>
      </c>
      <c r="X736" s="15" t="s">
        <v>689</v>
      </c>
      <c r="Y736" s="1">
        <v>1</v>
      </c>
      <c r="Z736" s="15">
        <v>5.2</v>
      </c>
      <c r="AA736" s="15" t="s">
        <v>574</v>
      </c>
      <c r="AB736" s="15">
        <f t="shared" si="616"/>
        <v>5.2</v>
      </c>
      <c r="AC736" s="1">
        <v>3</v>
      </c>
      <c r="AD736" s="15">
        <v>18.100000000000001</v>
      </c>
      <c r="AJ736" s="15">
        <v>17</v>
      </c>
      <c r="AM736" s="1">
        <v>1</v>
      </c>
      <c r="AN736" s="15">
        <v>1.06</v>
      </c>
      <c r="AP736" s="15" t="s">
        <v>1334</v>
      </c>
      <c r="AQ736" s="61">
        <v>3</v>
      </c>
      <c r="AR736" s="1">
        <v>3</v>
      </c>
      <c r="AT736" s="15" t="s">
        <v>546</v>
      </c>
      <c r="AW736" s="15">
        <v>2100</v>
      </c>
      <c r="AX736" s="15">
        <f>AW736*1.35</f>
        <v>2835</v>
      </c>
      <c r="AY736" s="15" t="s">
        <v>766</v>
      </c>
      <c r="AZ736" s="15">
        <f>AX736</f>
        <v>2835</v>
      </c>
      <c r="BA736" s="15">
        <f>AZ736/2.93/1000</f>
        <v>0.96757679180887357</v>
      </c>
      <c r="BB736" s="15">
        <f>AZ736*0.6</f>
        <v>1701</v>
      </c>
      <c r="FK736" s="16">
        <f t="shared" si="638"/>
        <v>5.27</v>
      </c>
      <c r="FL736" s="16">
        <f t="shared" si="639"/>
        <v>6.09</v>
      </c>
      <c r="FM736" s="15">
        <v>5.27</v>
      </c>
      <c r="FN736" s="15">
        <f>FM736*0.05</f>
        <v>0.26350000000000001</v>
      </c>
      <c r="FO736" s="15">
        <f>FN736*SQRT(AR736)</f>
        <v>0.45639538779439914</v>
      </c>
      <c r="FP736" s="15">
        <v>6.09</v>
      </c>
      <c r="FQ736" s="15">
        <f t="shared" ref="FQ736:FQ746" si="655">FP736*0.05</f>
        <v>0.30449999999999999</v>
      </c>
      <c r="FR736" s="15">
        <f>FQ736*SQRT(AR736)</f>
        <v>0.52740947090472312</v>
      </c>
      <c r="FS736" s="15">
        <f t="shared" si="640"/>
        <v>1.155597722960152</v>
      </c>
      <c r="FT736" s="15">
        <f t="shared" si="641"/>
        <v>0.82000000000000028</v>
      </c>
      <c r="FU736" s="15">
        <f t="shared" si="642"/>
        <v>0.14461771916853472</v>
      </c>
      <c r="FV736" s="15">
        <f>((FR736*FR736)/(AR736*FP736*FP736)+(FO736*FO736)/(AR736*FM736*FM736))</f>
        <v>4.9999999999999992E-3</v>
      </c>
      <c r="HE736" s="15">
        <v>5310</v>
      </c>
      <c r="HF736" s="15">
        <f>HE736*0.05</f>
        <v>265.5</v>
      </c>
      <c r="HG736" s="15">
        <f>HF736*SQRT(AR426)</f>
        <v>919.71897881907375</v>
      </c>
      <c r="HH736" s="15">
        <v>5820</v>
      </c>
      <c r="HI736" s="15">
        <f>HH736*0.05</f>
        <v>291</v>
      </c>
      <c r="HJ736" s="15">
        <f>HI736*SQRT(AR426)</f>
        <v>1008.0535700050865</v>
      </c>
      <c r="HK736" s="15">
        <f t="shared" si="650"/>
        <v>1.0960451977401129</v>
      </c>
      <c r="HL736" s="15">
        <f t="shared" si="651"/>
        <v>510</v>
      </c>
      <c r="HM736" s="15">
        <f t="shared" si="652"/>
        <v>9.1708426489500283E-2</v>
      </c>
      <c r="HN736" s="15">
        <f>((HJ736*HJ736)/(AR426*HH736*HH736)+(HG736*HG736)/(AR426*HE736*HE736))</f>
        <v>4.9999999999999992E-3</v>
      </c>
      <c r="HP736" s="15" t="s">
        <v>766</v>
      </c>
      <c r="HV736" s="15">
        <f t="shared" si="653"/>
        <v>185.47913917100604</v>
      </c>
      <c r="HW736" s="15">
        <f t="shared" si="654"/>
        <v>9.1708426489500283E-2</v>
      </c>
      <c r="HX736" s="15">
        <f>BB736</f>
        <v>1701</v>
      </c>
      <c r="HY736" s="15">
        <f>AZ736</f>
        <v>2835</v>
      </c>
      <c r="HZ736" s="15">
        <f>BA736</f>
        <v>0.96757679180887357</v>
      </c>
      <c r="IA736" s="15">
        <f>BB736</f>
        <v>1701</v>
      </c>
    </row>
    <row r="737" spans="1:235" s="15" customFormat="1" x14ac:dyDescent="0.25">
      <c r="A737" s="31">
        <v>735</v>
      </c>
      <c r="B737" s="1">
        <v>108</v>
      </c>
      <c r="C737" s="1">
        <v>128</v>
      </c>
      <c r="D737" s="15" t="s">
        <v>1643</v>
      </c>
      <c r="E737" s="1">
        <v>1</v>
      </c>
      <c r="F737" s="15" t="s">
        <v>761</v>
      </c>
      <c r="G737" s="15" t="s">
        <v>1646</v>
      </c>
      <c r="H737" s="15" t="s">
        <v>1647</v>
      </c>
      <c r="I737" s="1">
        <v>2019</v>
      </c>
      <c r="J737" s="15" t="s">
        <v>1648</v>
      </c>
      <c r="K737" s="1">
        <v>2019</v>
      </c>
      <c r="L737" s="15" t="s">
        <v>1649</v>
      </c>
      <c r="M737" s="15" t="s">
        <v>480</v>
      </c>
      <c r="N737" s="15" t="s">
        <v>520</v>
      </c>
      <c r="O737" s="31">
        <v>2</v>
      </c>
      <c r="P737" s="15">
        <v>28.52</v>
      </c>
      <c r="Q737" s="15">
        <v>115.15</v>
      </c>
      <c r="S737" s="15">
        <v>1650</v>
      </c>
      <c r="T737" s="15">
        <v>17.5</v>
      </c>
      <c r="U737" s="15" t="s">
        <v>549</v>
      </c>
      <c r="V737" s="31">
        <v>1</v>
      </c>
      <c r="W737" s="15" t="s">
        <v>1153</v>
      </c>
      <c r="X737" s="15" t="s">
        <v>689</v>
      </c>
      <c r="Y737" s="1">
        <v>1</v>
      </c>
      <c r="Z737" s="15">
        <v>5.2</v>
      </c>
      <c r="AA737" s="15" t="s">
        <v>574</v>
      </c>
      <c r="AB737" s="15">
        <f t="shared" si="616"/>
        <v>5.2</v>
      </c>
      <c r="AC737" s="1">
        <v>3</v>
      </c>
      <c r="AD737" s="15">
        <v>18.100000000000001</v>
      </c>
      <c r="AJ737" s="15">
        <v>17</v>
      </c>
      <c r="AM737" s="1">
        <v>1</v>
      </c>
      <c r="AN737" s="15">
        <v>1.06</v>
      </c>
      <c r="AP737" s="15" t="s">
        <v>1334</v>
      </c>
      <c r="AQ737" s="61">
        <v>3</v>
      </c>
      <c r="AR737" s="1">
        <v>3</v>
      </c>
      <c r="AT737" s="15" t="s">
        <v>546</v>
      </c>
      <c r="AW737" s="15">
        <v>2100</v>
      </c>
      <c r="AX737" s="15">
        <f>AW737*1.35</f>
        <v>2835</v>
      </c>
      <c r="AY737" s="15" t="s">
        <v>766</v>
      </c>
      <c r="AZ737" s="15">
        <f>AX737</f>
        <v>2835</v>
      </c>
      <c r="BA737" s="15">
        <f>AZ737/2.93/1000</f>
        <v>0.96757679180887357</v>
      </c>
      <c r="BB737" s="15">
        <f>AZ737*0.6</f>
        <v>1701</v>
      </c>
      <c r="FK737" s="16">
        <f t="shared" si="638"/>
        <v>5.27</v>
      </c>
      <c r="FL737" s="16">
        <f t="shared" si="639"/>
        <v>6.09</v>
      </c>
      <c r="FM737" s="15">
        <v>5.27</v>
      </c>
      <c r="FN737" s="15">
        <f>FM737*0.05</f>
        <v>0.26350000000000001</v>
      </c>
      <c r="FO737" s="15">
        <f>FN737*SQRT(AR737)</f>
        <v>0.45639538779439914</v>
      </c>
      <c r="FP737" s="15">
        <v>6.09</v>
      </c>
      <c r="FQ737" s="15">
        <f t="shared" si="655"/>
        <v>0.30449999999999999</v>
      </c>
      <c r="FR737" s="15">
        <f>FQ737*SQRT(AR737)</f>
        <v>0.52740947090472312</v>
      </c>
      <c r="FS737" s="15">
        <f t="shared" si="640"/>
        <v>1.155597722960152</v>
      </c>
      <c r="FT737" s="15">
        <f t="shared" si="641"/>
        <v>0.82000000000000028</v>
      </c>
      <c r="FU737" s="15">
        <f t="shared" si="642"/>
        <v>0.14461771916853472</v>
      </c>
      <c r="FV737" s="15">
        <f>((FR737*FR737)/(AR737*FP737*FP737)+(FO737*FO737)/(AR737*FM737*FM737))</f>
        <v>4.9999999999999992E-3</v>
      </c>
      <c r="HE737" s="15">
        <v>7430</v>
      </c>
      <c r="HF737" s="15">
        <f>HE737*0.05</f>
        <v>371.5</v>
      </c>
      <c r="HG737" s="15">
        <f>HF737*SQRT(AR427)</f>
        <v>1286.9137500236757</v>
      </c>
      <c r="HH737" s="15">
        <v>9060</v>
      </c>
      <c r="HI737" s="15">
        <f>HH737*0.05</f>
        <v>453</v>
      </c>
      <c r="HJ737" s="15">
        <f>HI737*SQRT(AR427)</f>
        <v>1569.2380316574026</v>
      </c>
      <c r="HK737" s="15">
        <f t="shared" si="650"/>
        <v>1.2193808882907133</v>
      </c>
      <c r="HL737" s="15">
        <f t="shared" si="651"/>
        <v>1630</v>
      </c>
      <c r="HM737" s="15">
        <f t="shared" si="652"/>
        <v>0.19834326132522051</v>
      </c>
      <c r="HN737" s="15">
        <f>((HJ737*HJ737)/(AR427*HH737*HH737)+(HG737*HG737)/(AR427*HE737*HE737))</f>
        <v>4.9999999999999992E-3</v>
      </c>
      <c r="HP737" s="15" t="s">
        <v>766</v>
      </c>
      <c r="HV737" s="15">
        <f t="shared" si="653"/>
        <v>85.760412964617714</v>
      </c>
      <c r="HW737" s="15">
        <f t="shared" si="654"/>
        <v>0.19834326132522051</v>
      </c>
      <c r="HX737" s="15">
        <f>BB737</f>
        <v>1701</v>
      </c>
      <c r="HY737" s="15">
        <f>AZ737</f>
        <v>2835</v>
      </c>
      <c r="HZ737" s="15">
        <f>BA737</f>
        <v>0.96757679180887357</v>
      </c>
      <c r="IA737" s="15">
        <f>BB737</f>
        <v>1701</v>
      </c>
    </row>
    <row r="738" spans="1:235" s="15" customFormat="1" x14ac:dyDescent="0.25">
      <c r="A738" s="31">
        <v>736</v>
      </c>
      <c r="B738" s="1">
        <v>108</v>
      </c>
      <c r="C738" s="1">
        <v>128</v>
      </c>
      <c r="D738" s="15" t="s">
        <v>1644</v>
      </c>
      <c r="E738" s="1">
        <v>2</v>
      </c>
      <c r="F738" s="15" t="s">
        <v>777</v>
      </c>
      <c r="G738" s="15" t="s">
        <v>1646</v>
      </c>
      <c r="H738" s="15" t="s">
        <v>1647</v>
      </c>
      <c r="I738" s="1">
        <v>2019</v>
      </c>
      <c r="J738" s="15" t="s">
        <v>1648</v>
      </c>
      <c r="K738" s="1">
        <v>2019</v>
      </c>
      <c r="L738" s="15" t="s">
        <v>1649</v>
      </c>
      <c r="M738" s="15" t="s">
        <v>480</v>
      </c>
      <c r="N738" s="15" t="s">
        <v>520</v>
      </c>
      <c r="O738" s="31">
        <v>2</v>
      </c>
      <c r="P738" s="15">
        <v>28.52</v>
      </c>
      <c r="Q738" s="15">
        <v>115.15</v>
      </c>
      <c r="S738" s="15">
        <v>1650</v>
      </c>
      <c r="T738" s="15">
        <v>17.5</v>
      </c>
      <c r="U738" s="15" t="s">
        <v>549</v>
      </c>
      <c r="V738" s="31">
        <v>1</v>
      </c>
      <c r="W738" s="15" t="s">
        <v>1153</v>
      </c>
      <c r="X738" s="15" t="s">
        <v>689</v>
      </c>
      <c r="Y738" s="1">
        <v>1</v>
      </c>
      <c r="Z738" s="15">
        <v>5.2</v>
      </c>
      <c r="AA738" s="15" t="s">
        <v>574</v>
      </c>
      <c r="AB738" s="15">
        <f t="shared" si="616"/>
        <v>5.2</v>
      </c>
      <c r="AC738" s="1">
        <v>3</v>
      </c>
      <c r="AD738" s="15">
        <v>18.100000000000001</v>
      </c>
      <c r="AJ738" s="15">
        <v>17</v>
      </c>
      <c r="AM738" s="1">
        <v>1</v>
      </c>
      <c r="AN738" s="15">
        <v>1.06</v>
      </c>
      <c r="AP738" s="15" t="s">
        <v>1334</v>
      </c>
      <c r="AQ738" s="61">
        <v>3</v>
      </c>
      <c r="AR738" s="1">
        <v>3</v>
      </c>
      <c r="CC738" s="15" t="s">
        <v>717</v>
      </c>
      <c r="CE738" s="15">
        <v>20000</v>
      </c>
      <c r="CF738" s="15">
        <f>CE738</f>
        <v>20000</v>
      </c>
      <c r="CG738" s="15" t="s">
        <v>766</v>
      </c>
      <c r="CH738" s="15">
        <v>10.4</v>
      </c>
      <c r="CI738" s="15">
        <v>450</v>
      </c>
      <c r="CY738" s="25">
        <f>CF738</f>
        <v>20000</v>
      </c>
      <c r="CZ738" s="25">
        <f>CY738/0.78/1000</f>
        <v>25.641025641025642</v>
      </c>
      <c r="DA738" s="25">
        <f>CY738*3</f>
        <v>60000</v>
      </c>
      <c r="FK738" s="16">
        <f t="shared" si="638"/>
        <v>5.27</v>
      </c>
      <c r="FL738" s="16">
        <f t="shared" si="639"/>
        <v>5.44</v>
      </c>
      <c r="FM738" s="15">
        <v>5.27</v>
      </c>
      <c r="FN738" s="15">
        <f>FM738*0.05</f>
        <v>0.26350000000000001</v>
      </c>
      <c r="FO738" s="15">
        <f>FN738*SQRT(AR738)</f>
        <v>0.45639538779439914</v>
      </c>
      <c r="FP738" s="15">
        <v>5.44</v>
      </c>
      <c r="FQ738" s="15">
        <f t="shared" si="655"/>
        <v>0.27200000000000002</v>
      </c>
      <c r="FR738" s="15">
        <f>FQ738*SQRT(AR738)</f>
        <v>0.47111781965873462</v>
      </c>
      <c r="FS738" s="15">
        <f t="shared" si="640"/>
        <v>1.0322580645161292</v>
      </c>
      <c r="FT738" s="15">
        <f t="shared" si="641"/>
        <v>0.17000000000000082</v>
      </c>
      <c r="FU738" s="15">
        <f t="shared" si="642"/>
        <v>3.1748698314580492E-2</v>
      </c>
      <c r="FV738" s="15">
        <f>((FR738*FR738)/(AR738*FP738*FP738)+(FO738*FO738)/(AR738*FM738*FM738))</f>
        <v>4.9999999999999992E-3</v>
      </c>
      <c r="HE738" s="15">
        <v>5310</v>
      </c>
      <c r="HF738" s="15">
        <f>HE738*0.05</f>
        <v>265.5</v>
      </c>
      <c r="HG738" s="15">
        <f>HF738*SQRT(AR428)</f>
        <v>650.3395267089337</v>
      </c>
      <c r="HH738" s="15">
        <v>6060</v>
      </c>
      <c r="HI738" s="15">
        <f>HH738*0.05</f>
        <v>303</v>
      </c>
      <c r="HJ738" s="15">
        <f>HI738*SQRT(AR428)</f>
        <v>742.19539206330285</v>
      </c>
      <c r="HK738" s="15">
        <f t="shared" si="650"/>
        <v>1.1412429378531073</v>
      </c>
      <c r="HL738" s="15">
        <f t="shared" si="651"/>
        <v>750</v>
      </c>
      <c r="HM738" s="15">
        <f t="shared" si="652"/>
        <v>0.13211796482737626</v>
      </c>
      <c r="HN738" s="15">
        <f>((HJ738*HJ738)/(AR428*HH738*HH738)+(HG738*HG738)/(AR428*HE738*HE738))</f>
        <v>4.9999999999999992E-3</v>
      </c>
      <c r="HP738" s="15" t="s">
        <v>766</v>
      </c>
      <c r="HV738" s="15">
        <f t="shared" si="653"/>
        <v>4541.3960227434081</v>
      </c>
      <c r="HW738" s="15">
        <f t="shared" si="654"/>
        <v>0.13211796482737626</v>
      </c>
      <c r="HX738" s="25">
        <f>DA738</f>
        <v>60000</v>
      </c>
      <c r="HY738" s="25">
        <f>CY738</f>
        <v>20000</v>
      </c>
      <c r="HZ738" s="25">
        <f>CZ738</f>
        <v>25.641025641025642</v>
      </c>
      <c r="IA738" s="25">
        <f>DA738</f>
        <v>60000</v>
      </c>
    </row>
    <row r="739" spans="1:235" s="15" customFormat="1" x14ac:dyDescent="0.25">
      <c r="A739" s="31">
        <v>737</v>
      </c>
      <c r="B739" s="1">
        <v>108</v>
      </c>
      <c r="C739" s="1">
        <v>128</v>
      </c>
      <c r="D739" s="15" t="s">
        <v>1645</v>
      </c>
      <c r="E739" s="1">
        <v>2</v>
      </c>
      <c r="F739" s="15" t="s">
        <v>777</v>
      </c>
      <c r="G739" s="15" t="s">
        <v>1646</v>
      </c>
      <c r="H739" s="15" t="s">
        <v>1647</v>
      </c>
      <c r="I739" s="1">
        <v>2019</v>
      </c>
      <c r="J739" s="15" t="s">
        <v>1648</v>
      </c>
      <c r="K739" s="1">
        <v>2019</v>
      </c>
      <c r="L739" s="15" t="s">
        <v>1649</v>
      </c>
      <c r="M739" s="15" t="s">
        <v>480</v>
      </c>
      <c r="N739" s="15" t="s">
        <v>520</v>
      </c>
      <c r="O739" s="31">
        <v>2</v>
      </c>
      <c r="P739" s="15">
        <v>28.52</v>
      </c>
      <c r="Q739" s="15">
        <v>115.15</v>
      </c>
      <c r="S739" s="15">
        <v>1650</v>
      </c>
      <c r="T739" s="15">
        <v>17.5</v>
      </c>
      <c r="U739" s="15" t="s">
        <v>549</v>
      </c>
      <c r="V739" s="31">
        <v>1</v>
      </c>
      <c r="W739" s="15" t="s">
        <v>1153</v>
      </c>
      <c r="X739" s="15" t="s">
        <v>689</v>
      </c>
      <c r="Y739" s="1">
        <v>1</v>
      </c>
      <c r="Z739" s="15">
        <v>5.2</v>
      </c>
      <c r="AA739" s="15" t="s">
        <v>574</v>
      </c>
      <c r="AB739" s="15">
        <f t="shared" si="616"/>
        <v>5.2</v>
      </c>
      <c r="AC739" s="1">
        <v>3</v>
      </c>
      <c r="AD739" s="15">
        <v>18.100000000000001</v>
      </c>
      <c r="AJ739" s="15">
        <v>17</v>
      </c>
      <c r="AM739" s="1">
        <v>1</v>
      </c>
      <c r="AN739" s="15">
        <v>1.06</v>
      </c>
      <c r="AP739" s="15" t="s">
        <v>1334</v>
      </c>
      <c r="AQ739" s="61">
        <v>3</v>
      </c>
      <c r="AR739" s="1">
        <v>3</v>
      </c>
      <c r="CC739" s="15" t="s">
        <v>717</v>
      </c>
      <c r="CE739" s="15">
        <v>20000</v>
      </c>
      <c r="CF739" s="15">
        <f>CE739</f>
        <v>20000</v>
      </c>
      <c r="CG739" s="15" t="s">
        <v>766</v>
      </c>
      <c r="CH739" s="15">
        <v>10.4</v>
      </c>
      <c r="CI739" s="15">
        <v>450</v>
      </c>
      <c r="CY739" s="25">
        <f>CF739</f>
        <v>20000</v>
      </c>
      <c r="CZ739" s="25">
        <f>CY739/0.78/1000</f>
        <v>25.641025641025642</v>
      </c>
      <c r="DA739" s="25">
        <f>CY739*3</f>
        <v>60000</v>
      </c>
      <c r="FK739" s="16">
        <f t="shared" si="638"/>
        <v>5.27</v>
      </c>
      <c r="FL739" s="16">
        <f t="shared" si="639"/>
        <v>5.44</v>
      </c>
      <c r="FM739" s="15">
        <v>5.27</v>
      </c>
      <c r="FN739" s="15">
        <f>FM739*0.05</f>
        <v>0.26350000000000001</v>
      </c>
      <c r="FO739" s="15">
        <f>FN739*SQRT(AR739)</f>
        <v>0.45639538779439914</v>
      </c>
      <c r="FP739" s="15">
        <v>5.44</v>
      </c>
      <c r="FQ739" s="15">
        <f t="shared" si="655"/>
        <v>0.27200000000000002</v>
      </c>
      <c r="FR739" s="15">
        <f>FQ739*SQRT(AR739)</f>
        <v>0.47111781965873462</v>
      </c>
      <c r="FS739" s="15">
        <f t="shared" si="640"/>
        <v>1.0322580645161292</v>
      </c>
      <c r="FT739" s="15">
        <f t="shared" si="641"/>
        <v>0.17000000000000082</v>
      </c>
      <c r="FU739" s="15">
        <f t="shared" si="642"/>
        <v>3.1748698314580492E-2</v>
      </c>
      <c r="FV739" s="15">
        <f>((FR739*FR739)/(AR739*FP739*FP739)+(FO739*FO739)/(AR739*FM739*FM739))</f>
        <v>4.9999999999999992E-3</v>
      </c>
      <c r="HE739" s="15">
        <v>7430</v>
      </c>
      <c r="HF739" s="15">
        <f>HE739*0.05</f>
        <v>371.5</v>
      </c>
      <c r="HG739" s="15">
        <f>HF739*SQRT(AR429)</f>
        <v>909.98543944395055</v>
      </c>
      <c r="HH739" s="15">
        <v>8420</v>
      </c>
      <c r="HI739" s="15">
        <f>HH739*0.05</f>
        <v>421</v>
      </c>
      <c r="HJ739" s="15">
        <f>HI739*SQRT(AR429)</f>
        <v>1031.2351817117178</v>
      </c>
      <c r="HK739" s="15">
        <f t="shared" si="650"/>
        <v>1.133243606998654</v>
      </c>
      <c r="HL739" s="15">
        <f t="shared" si="651"/>
        <v>990</v>
      </c>
      <c r="HM739" s="15">
        <f t="shared" si="652"/>
        <v>0.12508396952456735</v>
      </c>
      <c r="HN739" s="15">
        <f>((HJ739*HJ739)/(AR429*HH739*HH739)+(HG739*HG739)/(AR429*HE739*HE739))</f>
        <v>4.9999999999999992E-3</v>
      </c>
      <c r="HP739" s="15" t="s">
        <v>766</v>
      </c>
      <c r="HV739" s="15">
        <f t="shared" si="653"/>
        <v>4796.7777348332065</v>
      </c>
      <c r="HW739" s="15">
        <f t="shared" si="654"/>
        <v>0.12508396952456735</v>
      </c>
      <c r="HX739" s="25">
        <f>DA739</f>
        <v>60000</v>
      </c>
      <c r="HY739" s="25">
        <f>CY739</f>
        <v>20000</v>
      </c>
      <c r="HZ739" s="25">
        <f>CZ739</f>
        <v>25.641025641025642</v>
      </c>
      <c r="IA739" s="25">
        <f>DA739</f>
        <v>60000</v>
      </c>
    </row>
    <row r="740" spans="1:235" s="15" customFormat="1" x14ac:dyDescent="0.25">
      <c r="A740" s="31">
        <v>738</v>
      </c>
      <c r="B740" s="1">
        <v>109</v>
      </c>
      <c r="C740" s="1">
        <v>129</v>
      </c>
      <c r="D740" s="15" t="s">
        <v>1651</v>
      </c>
      <c r="E740" s="1">
        <v>1</v>
      </c>
      <c r="F740" s="15" t="s">
        <v>761</v>
      </c>
      <c r="G740" s="15" t="s">
        <v>1650</v>
      </c>
      <c r="H740" s="15" t="s">
        <v>1658</v>
      </c>
      <c r="I740" s="1">
        <v>2020</v>
      </c>
      <c r="J740" s="15" t="s">
        <v>757</v>
      </c>
      <c r="K740" s="1">
        <v>2020</v>
      </c>
      <c r="L740" s="15" t="s">
        <v>1659</v>
      </c>
      <c r="M740" s="15" t="s">
        <v>764</v>
      </c>
      <c r="N740" s="15" t="s">
        <v>520</v>
      </c>
      <c r="O740" s="31">
        <v>2</v>
      </c>
      <c r="P740" s="15">
        <v>23.14</v>
      </c>
      <c r="Q740" s="15">
        <v>92</v>
      </c>
      <c r="S740" s="15">
        <v>3031</v>
      </c>
      <c r="T740" s="15">
        <v>23</v>
      </c>
      <c r="U740" s="15" t="s">
        <v>807</v>
      </c>
      <c r="V740" s="31">
        <v>2</v>
      </c>
      <c r="W740" s="15" t="s">
        <v>1149</v>
      </c>
      <c r="X740" s="15" t="s">
        <v>731</v>
      </c>
      <c r="Y740" s="1">
        <v>12</v>
      </c>
      <c r="Z740" s="15">
        <v>5.45</v>
      </c>
      <c r="AA740" s="15" t="s">
        <v>574</v>
      </c>
      <c r="AB740" s="15">
        <f t="shared" si="616"/>
        <v>5.45</v>
      </c>
      <c r="AC740" s="1">
        <v>3</v>
      </c>
      <c r="AD740" s="15">
        <v>0.13</v>
      </c>
      <c r="AM740" s="1"/>
      <c r="AQ740" s="1"/>
      <c r="AR740" s="1">
        <v>3</v>
      </c>
      <c r="AT740" s="15" t="s">
        <v>576</v>
      </c>
      <c r="AW740" s="15">
        <v>5</v>
      </c>
      <c r="AX740" s="15">
        <f>AW740*2250</f>
        <v>11250</v>
      </c>
      <c r="AY740" s="15" t="s">
        <v>766</v>
      </c>
      <c r="AZ740" s="15">
        <f>AX740</f>
        <v>11250</v>
      </c>
      <c r="BA740" s="15">
        <f>AZ740/2.93/1000</f>
        <v>3.8395904436860064</v>
      </c>
      <c r="BB740" s="15">
        <f>AZ740*0.6</f>
        <v>6750</v>
      </c>
      <c r="FK740" s="16">
        <f t="shared" si="638"/>
        <v>5.46</v>
      </c>
      <c r="FL740" s="16">
        <f t="shared" si="639"/>
        <v>5.98</v>
      </c>
      <c r="FM740" s="15">
        <v>5.46</v>
      </c>
      <c r="FN740" s="15">
        <f t="shared" ref="FN740:FN746" si="656">FM740*0.06</f>
        <v>0.3276</v>
      </c>
      <c r="FO740" s="15">
        <f>FN740*SQRT(AR740)</f>
        <v>0.56741984455956418</v>
      </c>
      <c r="FP740" s="15">
        <v>5.98</v>
      </c>
      <c r="FQ740" s="15">
        <f t="shared" si="655"/>
        <v>0.29900000000000004</v>
      </c>
      <c r="FR740" s="15">
        <f>FQ740*SQRT(AR740)</f>
        <v>0.51788319146309436</v>
      </c>
      <c r="FS740" s="15">
        <f t="shared" si="640"/>
        <v>1.0952380952380953</v>
      </c>
      <c r="FT740" s="15">
        <f t="shared" si="641"/>
        <v>0.52000000000000046</v>
      </c>
      <c r="FU740" s="15">
        <f t="shared" si="642"/>
        <v>9.0971778205726883E-2</v>
      </c>
      <c r="FV740" s="15">
        <f>((FR740*FR740)/(AR740*FP740*FP740)+(FO740*FO740)/(AR740*FM740*FM740))</f>
        <v>6.0999999999999995E-3</v>
      </c>
      <c r="GI740" s="15">
        <v>5.319</v>
      </c>
      <c r="GJ740" s="15">
        <f t="shared" ref="GJ740:GJ746" si="657">GI740*0.05</f>
        <v>0.26595000000000002</v>
      </c>
      <c r="GK740" s="15">
        <f>GJ740*SQRT(AR151)</f>
        <v>0.4606389122729429</v>
      </c>
      <c r="GL740" s="15">
        <v>4.0129999999999999</v>
      </c>
      <c r="GM740" s="15">
        <f t="shared" ref="GM740:GM746" si="658">GL740*0.05</f>
        <v>0.20065</v>
      </c>
      <c r="GN740" s="15">
        <f>GM740*SQRT(AR151)</f>
        <v>0.34753599453869521</v>
      </c>
      <c r="GO740" s="15">
        <f t="shared" ref="GO740:GO751" si="659">GL740/GI740</f>
        <v>0.7544651250235006</v>
      </c>
      <c r="GP740" s="15">
        <f t="shared" ref="GP740:GP751" si="660">GL740-GI740</f>
        <v>-1.306</v>
      </c>
      <c r="GQ740" s="15">
        <f t="shared" ref="GQ740:GQ751" si="661">LN(GL740)-LN(GI740)</f>
        <v>-0.28174622447540099</v>
      </c>
      <c r="GR740" s="15">
        <f>((GN740*GN740)/(AR151*GL740*GL740)+(GK740*GK740)/(AR151*GI740*GI740))</f>
        <v>4.9999999999999992E-3</v>
      </c>
      <c r="GT740" s="15">
        <f t="shared" ref="GT740:GT746" si="662">(11.1+2.71+2.18)*100/(11.1+2.71+2.18+37.2)</f>
        <v>30.062041737168638</v>
      </c>
      <c r="GU740" s="15">
        <f t="shared" ref="GU740:GU746" si="663">GT740*0.05</f>
        <v>1.5031020868584319</v>
      </c>
      <c r="GV740" s="15">
        <f>GU740*SQRT(AR141)</f>
        <v>2.6034491834016116</v>
      </c>
      <c r="GW740" s="15">
        <f>(16.1+2.29+1.84)*100/(16.1+2.29+1.84+19.9)</f>
        <v>50.411163717916779</v>
      </c>
      <c r="GX740" s="15">
        <f t="shared" ref="GX740:GX746" si="664">GW740*0.05</f>
        <v>2.520558185895839</v>
      </c>
      <c r="GY740" s="15">
        <f>GX740*SQRT(AR141)</f>
        <v>4.3657348414052324</v>
      </c>
      <c r="GZ740" s="15">
        <f t="shared" ref="GZ740:GZ751" si="665">GW740/GT740</f>
        <v>1.6769041889655996</v>
      </c>
      <c r="HA740" s="15">
        <f t="shared" ref="HA740:HA751" si="666">GW740-GT740</f>
        <v>20.349121980748141</v>
      </c>
      <c r="HB740" s="15">
        <f t="shared" ref="HB740:HB751" si="667">LN(GW740)-LN(GT740)</f>
        <v>0.51694934880919208</v>
      </c>
      <c r="HC740" s="15">
        <f>((GY740*GY740)/(AR740*GW740*GW740)+(GV740*GV740)/(AR740*GT740*GT740))</f>
        <v>5.0000000000000001E-3</v>
      </c>
      <c r="HE740" s="15">
        <v>5.92</v>
      </c>
      <c r="HF740" s="15">
        <f t="shared" ref="HF740:HF746" si="668">HE740*0.0741</f>
        <v>0.43867200000000001</v>
      </c>
      <c r="HG740" s="15">
        <f>HF740*SQRT(AR430)</f>
        <v>1.0745225644461822</v>
      </c>
      <c r="HH740" s="15">
        <v>8.1999999999999993</v>
      </c>
      <c r="HI740" s="15">
        <f t="shared" ref="HI740:HI746" si="669">HH740*0.0741</f>
        <v>0.60761999999999994</v>
      </c>
      <c r="HJ740" s="15">
        <f>HI740*SQRT(AR430)</f>
        <v>1.4883589575099143</v>
      </c>
      <c r="HK740" s="15">
        <f t="shared" si="650"/>
        <v>1.3851351351351351</v>
      </c>
      <c r="HL740" s="15">
        <f t="shared" si="651"/>
        <v>2.2799999999999994</v>
      </c>
      <c r="HM740" s="15">
        <f t="shared" si="652"/>
        <v>0.32579770537429309</v>
      </c>
      <c r="HN740" s="15">
        <f>((HJ740*HJ740)/(AR430*HH740*HH740)+(HG740*HG740)/(AR430*HE740*HE740))</f>
        <v>1.0981619999999997E-2</v>
      </c>
      <c r="HP740" s="15" t="s">
        <v>1186</v>
      </c>
      <c r="HV740" s="15">
        <f t="shared" si="653"/>
        <v>207.18377964771895</v>
      </c>
      <c r="HW740" s="15">
        <f t="shared" si="654"/>
        <v>0.32579770537429309</v>
      </c>
      <c r="HX740" s="15">
        <f>BB740</f>
        <v>6750</v>
      </c>
      <c r="HY740" s="15">
        <f>AZ740</f>
        <v>11250</v>
      </c>
      <c r="HZ740" s="15">
        <f>BA740</f>
        <v>3.8395904436860064</v>
      </c>
      <c r="IA740" s="15">
        <f>BB740</f>
        <v>6750</v>
      </c>
    </row>
    <row r="741" spans="1:235" s="15" customFormat="1" x14ac:dyDescent="0.25">
      <c r="A741" s="31">
        <v>739</v>
      </c>
      <c r="B741" s="1">
        <v>109</v>
      </c>
      <c r="C741" s="1">
        <v>129</v>
      </c>
      <c r="D741" s="15" t="s">
        <v>1652</v>
      </c>
      <c r="E741" s="1">
        <v>4</v>
      </c>
      <c r="F741" s="15" t="s">
        <v>1019</v>
      </c>
      <c r="G741" s="15" t="s">
        <v>1650</v>
      </c>
      <c r="H741" s="15" t="s">
        <v>1658</v>
      </c>
      <c r="I741" s="1">
        <v>2020</v>
      </c>
      <c r="J741" s="15" t="s">
        <v>757</v>
      </c>
      <c r="K741" s="1">
        <v>2020</v>
      </c>
      <c r="L741" s="15" t="s">
        <v>1659</v>
      </c>
      <c r="M741" s="15" t="s">
        <v>764</v>
      </c>
      <c r="N741" s="15" t="s">
        <v>520</v>
      </c>
      <c r="O741" s="31">
        <v>2</v>
      </c>
      <c r="P741" s="15">
        <v>23.14</v>
      </c>
      <c r="Q741" s="15">
        <v>92</v>
      </c>
      <c r="S741" s="15">
        <v>3031</v>
      </c>
      <c r="T741" s="15">
        <v>23</v>
      </c>
      <c r="U741" s="15" t="s">
        <v>807</v>
      </c>
      <c r="V741" s="31">
        <v>2</v>
      </c>
      <c r="W741" s="15" t="s">
        <v>1149</v>
      </c>
      <c r="X741" s="15" t="s">
        <v>731</v>
      </c>
      <c r="Y741" s="1">
        <v>12</v>
      </c>
      <c r="Z741" s="15">
        <v>5.45</v>
      </c>
      <c r="AA741" s="15" t="s">
        <v>574</v>
      </c>
      <c r="AB741" s="15">
        <f t="shared" si="616"/>
        <v>5.45</v>
      </c>
      <c r="AC741" s="1">
        <v>3</v>
      </c>
      <c r="AD741" s="15">
        <v>0.13</v>
      </c>
      <c r="AM741" s="1"/>
      <c r="AQ741" s="1"/>
      <c r="AR741" s="1">
        <v>3</v>
      </c>
      <c r="BF741" s="15">
        <v>8.44</v>
      </c>
      <c r="BG741" s="15" t="s">
        <v>1661</v>
      </c>
      <c r="BI741" s="15">
        <v>205</v>
      </c>
      <c r="BS741" s="15">
        <v>5</v>
      </c>
      <c r="BT741" s="15">
        <f>BS741*2250</f>
        <v>11250</v>
      </c>
      <c r="BU741" s="15" t="s">
        <v>766</v>
      </c>
      <c r="BY741" s="15">
        <f>BT741</f>
        <v>11250</v>
      </c>
      <c r="BZ741" s="15">
        <f>BY741/1.1/1000</f>
        <v>10.227272727272727</v>
      </c>
      <c r="CA741" s="15">
        <f>BY741*2</f>
        <v>22500</v>
      </c>
      <c r="FK741" s="16">
        <f t="shared" si="638"/>
        <v>5.46</v>
      </c>
      <c r="FL741" s="16">
        <f t="shared" si="639"/>
        <v>5.75</v>
      </c>
      <c r="FM741" s="15">
        <v>5.46</v>
      </c>
      <c r="FN741" s="15">
        <f t="shared" si="656"/>
        <v>0.3276</v>
      </c>
      <c r="FO741" s="15">
        <f>FN741*SQRT(AR741)</f>
        <v>0.56741984455956418</v>
      </c>
      <c r="FP741" s="15">
        <v>5.75</v>
      </c>
      <c r="FQ741" s="15">
        <f t="shared" si="655"/>
        <v>0.28750000000000003</v>
      </c>
      <c r="FR741" s="15">
        <f>FQ741*SQRT(AR741)</f>
        <v>0.49796460717605223</v>
      </c>
      <c r="FS741" s="15">
        <f t="shared" si="640"/>
        <v>1.0531135531135531</v>
      </c>
      <c r="FT741" s="15">
        <f t="shared" si="641"/>
        <v>0.29000000000000004</v>
      </c>
      <c r="FU741" s="15">
        <f t="shared" si="642"/>
        <v>5.1751065052445533E-2</v>
      </c>
      <c r="FV741" s="15">
        <f>((FR741*FR741)/(AR741*FP741*FP741)+(FO741*FO741)/(AR741*FM741*FM741))</f>
        <v>6.0999999999999995E-3</v>
      </c>
      <c r="GI741" s="15">
        <v>5.319</v>
      </c>
      <c r="GJ741" s="15">
        <f t="shared" si="657"/>
        <v>0.26595000000000002</v>
      </c>
      <c r="GK741" s="15">
        <f>GJ741*SQRT(AR152)</f>
        <v>0.4606389122729429</v>
      </c>
      <c r="GL741" s="15">
        <v>5.5119999999999996</v>
      </c>
      <c r="GM741" s="15">
        <f t="shared" si="658"/>
        <v>0.27560000000000001</v>
      </c>
      <c r="GN741" s="15">
        <f>GM741*SQRT(AR152)</f>
        <v>0.47735320256598257</v>
      </c>
      <c r="GO741" s="15">
        <f t="shared" si="659"/>
        <v>1.0362850159804473</v>
      </c>
      <c r="GP741" s="15">
        <f t="shared" si="660"/>
        <v>0.19299999999999962</v>
      </c>
      <c r="GQ741" s="15">
        <f t="shared" si="661"/>
        <v>3.5642217951176836E-2</v>
      </c>
      <c r="GR741" s="15">
        <f>((GN741*GN741)/(AR152*GL741*GL741)+(GK741*GK741)/(AR152*GI741*GI741))</f>
        <v>5.0000000000000001E-3</v>
      </c>
      <c r="GT741" s="15">
        <f t="shared" si="662"/>
        <v>30.062041737168638</v>
      </c>
      <c r="GU741" s="15">
        <f t="shared" si="663"/>
        <v>1.5031020868584319</v>
      </c>
      <c r="GV741" s="15">
        <f>GU741*SQRT(AR142)</f>
        <v>2.6034491834016116</v>
      </c>
      <c r="GW741" s="15">
        <f>(18.4+5.08+4.04)*100/(18.4+5.08+4.04+27.6)</f>
        <v>49.927431059506524</v>
      </c>
      <c r="GX741" s="15">
        <f t="shared" si="664"/>
        <v>2.4963715529753263</v>
      </c>
      <c r="GY741" s="15">
        <f>GX741*SQRT(AR142)</f>
        <v>4.3238423643228856</v>
      </c>
      <c r="GZ741" s="15">
        <f t="shared" si="665"/>
        <v>1.6608130444372435</v>
      </c>
      <c r="HA741" s="15">
        <f t="shared" si="666"/>
        <v>19.865389322337887</v>
      </c>
      <c r="HB741" s="15">
        <f t="shared" si="667"/>
        <v>0.50730726826810324</v>
      </c>
      <c r="HC741" s="15">
        <f>((GY741*GY741)/(AR741*GW741*GW741)+(GV741*GV741)/(AR741*GT741*GT741))</f>
        <v>4.9999999999999992E-3</v>
      </c>
      <c r="HE741" s="15">
        <v>5.92</v>
      </c>
      <c r="HF741" s="15">
        <f t="shared" si="668"/>
        <v>0.43867200000000001</v>
      </c>
      <c r="HG741" s="15">
        <f>HF741*SQRT(AR431)</f>
        <v>1.0745225644461822</v>
      </c>
      <c r="HH741" s="15">
        <v>13.2</v>
      </c>
      <c r="HI741" s="15">
        <f t="shared" si="669"/>
        <v>0.97811999999999999</v>
      </c>
      <c r="HJ741" s="15">
        <f>HI741*SQRT(AR431)</f>
        <v>2.395894907211082</v>
      </c>
      <c r="HK741" s="15">
        <f t="shared" si="650"/>
        <v>2.2297297297297298</v>
      </c>
      <c r="HL741" s="15">
        <f t="shared" si="651"/>
        <v>7.2799999999999994</v>
      </c>
      <c r="HM741" s="15">
        <f t="shared" si="652"/>
        <v>0.80188038069641077</v>
      </c>
      <c r="HN741" s="15">
        <f>((HJ741*HJ741)/(AR431*HH741*HH741)+(HG741*HG741)/(AR431*HE741*HE741))</f>
        <v>1.0981620000000001E-2</v>
      </c>
      <c r="HP741" s="15" t="s">
        <v>1186</v>
      </c>
      <c r="HV741" s="15">
        <f t="shared" si="653"/>
        <v>280.59047884996733</v>
      </c>
      <c r="HW741" s="15">
        <f t="shared" si="654"/>
        <v>0.80188038069641077</v>
      </c>
      <c r="HX741" s="15">
        <f>CA741</f>
        <v>22500</v>
      </c>
      <c r="HY741" s="15">
        <f>BY741</f>
        <v>11250</v>
      </c>
      <c r="HZ741" s="15">
        <f>BZ741</f>
        <v>10.227272727272727</v>
      </c>
      <c r="IA741" s="15">
        <f>CA741</f>
        <v>22500</v>
      </c>
    </row>
    <row r="742" spans="1:235" s="15" customFormat="1" x14ac:dyDescent="0.25">
      <c r="A742" s="31">
        <v>740</v>
      </c>
      <c r="B742" s="1">
        <v>109</v>
      </c>
      <c r="C742" s="1">
        <v>129</v>
      </c>
      <c r="D742" s="15" t="s">
        <v>1653</v>
      </c>
      <c r="E742" s="1">
        <v>4</v>
      </c>
      <c r="F742" s="15" t="s">
        <v>1019</v>
      </c>
      <c r="G742" s="15" t="s">
        <v>1650</v>
      </c>
      <c r="H742" s="15" t="s">
        <v>1658</v>
      </c>
      <c r="I742" s="1">
        <v>2020</v>
      </c>
      <c r="J742" s="15" t="s">
        <v>757</v>
      </c>
      <c r="K742" s="1">
        <v>2020</v>
      </c>
      <c r="L742" s="15" t="s">
        <v>1659</v>
      </c>
      <c r="M742" s="15" t="s">
        <v>764</v>
      </c>
      <c r="N742" s="15" t="s">
        <v>520</v>
      </c>
      <c r="O742" s="31">
        <v>2</v>
      </c>
      <c r="P742" s="15">
        <v>23.14</v>
      </c>
      <c r="Q742" s="15">
        <v>92</v>
      </c>
      <c r="S742" s="15">
        <v>3031</v>
      </c>
      <c r="T742" s="15">
        <v>23</v>
      </c>
      <c r="U742" s="15" t="s">
        <v>807</v>
      </c>
      <c r="V742" s="31">
        <v>2</v>
      </c>
      <c r="W742" s="15" t="s">
        <v>1149</v>
      </c>
      <c r="X742" s="15" t="s">
        <v>731</v>
      </c>
      <c r="Y742" s="1">
        <v>12</v>
      </c>
      <c r="Z742" s="15">
        <v>5.45</v>
      </c>
      <c r="AA742" s="15" t="s">
        <v>574</v>
      </c>
      <c r="AB742" s="15">
        <f t="shared" si="616"/>
        <v>5.45</v>
      </c>
      <c r="AC742" s="1">
        <v>3</v>
      </c>
      <c r="AD742" s="15">
        <v>0.13</v>
      </c>
      <c r="AM742" s="1"/>
      <c r="AQ742" s="1"/>
      <c r="AR742" s="1">
        <v>3</v>
      </c>
      <c r="BF742" s="15">
        <v>8.44</v>
      </c>
      <c r="BG742" s="15" t="s">
        <v>1661</v>
      </c>
      <c r="BI742" s="15">
        <v>205</v>
      </c>
      <c r="BS742" s="15">
        <v>10</v>
      </c>
      <c r="BT742" s="15">
        <f>BS742*2250</f>
        <v>22500</v>
      </c>
      <c r="BU742" s="15" t="s">
        <v>766</v>
      </c>
      <c r="BY742" s="15">
        <f>BT742</f>
        <v>22500</v>
      </c>
      <c r="BZ742" s="15">
        <f>BY742/1.1/1000</f>
        <v>20.454545454545453</v>
      </c>
      <c r="CA742" s="15">
        <f>BY742*2</f>
        <v>45000</v>
      </c>
      <c r="FK742" s="16">
        <f t="shared" si="638"/>
        <v>5.46</v>
      </c>
      <c r="FL742" s="16">
        <f t="shared" si="639"/>
        <v>6.12</v>
      </c>
      <c r="FM742" s="15">
        <v>5.46</v>
      </c>
      <c r="FN742" s="15">
        <f t="shared" si="656"/>
        <v>0.3276</v>
      </c>
      <c r="FO742" s="15">
        <f>FN742*SQRT(AR742)</f>
        <v>0.56741984455956418</v>
      </c>
      <c r="FP742" s="15">
        <v>6.12</v>
      </c>
      <c r="FQ742" s="15">
        <f t="shared" si="655"/>
        <v>0.30600000000000005</v>
      </c>
      <c r="FR742" s="15">
        <f>FQ742*SQRT(AR742)</f>
        <v>0.53000754711607656</v>
      </c>
      <c r="FS742" s="15">
        <f t="shared" si="640"/>
        <v>1.1208791208791209</v>
      </c>
      <c r="FT742" s="15">
        <f t="shared" si="641"/>
        <v>0.66000000000000014</v>
      </c>
      <c r="FU742" s="15">
        <f t="shared" si="642"/>
        <v>0.11411330676742115</v>
      </c>
      <c r="FV742" s="15">
        <f>((FR742*FR742)/(AR742*FP742*FP742)+(FO742*FO742)/(AR742*FM742*FM742))</f>
        <v>6.1000000000000013E-3</v>
      </c>
      <c r="GI742" s="15">
        <v>5.319</v>
      </c>
      <c r="GJ742" s="15">
        <f t="shared" si="657"/>
        <v>0.26595000000000002</v>
      </c>
      <c r="GK742" s="15">
        <f>GJ742*SQRT(AR153)</f>
        <v>0.4606389122729429</v>
      </c>
      <c r="GL742" s="15">
        <v>5.7670000000000003</v>
      </c>
      <c r="GM742" s="15">
        <f t="shared" si="658"/>
        <v>0.28835000000000005</v>
      </c>
      <c r="GN742" s="15">
        <f>GM742*SQRT(AR153)</f>
        <v>0.49943685036248581</v>
      </c>
      <c r="GO742" s="15">
        <f t="shared" si="659"/>
        <v>1.0842263583380336</v>
      </c>
      <c r="GP742" s="15">
        <f t="shared" si="660"/>
        <v>0.4480000000000004</v>
      </c>
      <c r="GQ742" s="15">
        <f t="shared" si="661"/>
        <v>8.0866698873095055E-2</v>
      </c>
      <c r="GR742" s="15">
        <f>((GN742*GN742)/(AR153*GL742*GL742)+(GK742*GK742)/(AR153*GI742*GI742))</f>
        <v>4.9999999999999992E-3</v>
      </c>
      <c r="GT742" s="15">
        <f t="shared" si="662"/>
        <v>30.062041737168638</v>
      </c>
      <c r="GU742" s="15">
        <f t="shared" si="663"/>
        <v>1.5031020868584319</v>
      </c>
      <c r="GV742" s="15">
        <f>GU742*SQRT(AR143)</f>
        <v>2.6034491834016116</v>
      </c>
      <c r="GW742" s="15">
        <f>(23.8+6.48+5.19)*100/(23.8+6.48+5.19+22.2)</f>
        <v>61.505115311253682</v>
      </c>
      <c r="GX742" s="15">
        <f t="shared" si="664"/>
        <v>3.0752557655626842</v>
      </c>
      <c r="GY742" s="15">
        <f>GX742*SQRT(AR143)</f>
        <v>5.3264992322236928</v>
      </c>
      <c r="GZ742" s="15">
        <f t="shared" si="665"/>
        <v>2.0459393892467692</v>
      </c>
      <c r="HA742" s="15">
        <f t="shared" si="666"/>
        <v>31.443073574085044</v>
      </c>
      <c r="HB742" s="15">
        <f t="shared" si="667"/>
        <v>0.71585704306657272</v>
      </c>
      <c r="HC742" s="15">
        <f>((GY742*GY742)/(AR742*GW742*GW742)+(GV742*GV742)/(AR742*GT742*GT742))</f>
        <v>4.9999999999999992E-3</v>
      </c>
      <c r="HE742" s="15">
        <v>5.92</v>
      </c>
      <c r="HF742" s="15">
        <f t="shared" si="668"/>
        <v>0.43867200000000001</v>
      </c>
      <c r="HG742" s="15">
        <f>HF742*SQRT(AR432)</f>
        <v>1.0745225644461822</v>
      </c>
      <c r="HH742" s="15">
        <v>20.5</v>
      </c>
      <c r="HI742" s="15">
        <f t="shared" si="669"/>
        <v>1.51905</v>
      </c>
      <c r="HJ742" s="15">
        <f>HI742*SQRT(AR432)</f>
        <v>3.7208973937747865</v>
      </c>
      <c r="HK742" s="15">
        <f t="shared" si="650"/>
        <v>3.4628378378378377</v>
      </c>
      <c r="HL742" s="15">
        <f t="shared" si="651"/>
        <v>14.58</v>
      </c>
      <c r="HM742" s="15">
        <f t="shared" si="652"/>
        <v>1.2420884372484482</v>
      </c>
      <c r="HN742" s="15">
        <f>((HJ742*HJ742)/(AR432*HH742*HH742)+(HG742*HG742)/(AR432*HE742*HE742))</f>
        <v>1.0981619999999999E-2</v>
      </c>
      <c r="HP742" s="15" t="s">
        <v>1186</v>
      </c>
      <c r="HV742" s="15">
        <f t="shared" si="653"/>
        <v>362.29304331732453</v>
      </c>
      <c r="HW742" s="15">
        <f t="shared" si="654"/>
        <v>1.2420884372484482</v>
      </c>
      <c r="HX742" s="15">
        <f>CA742</f>
        <v>45000</v>
      </c>
      <c r="HY742" s="15">
        <f>BY742</f>
        <v>22500</v>
      </c>
      <c r="HZ742" s="15">
        <f>BZ742</f>
        <v>20.454545454545453</v>
      </c>
      <c r="IA742" s="15">
        <f>CA742</f>
        <v>45000</v>
      </c>
    </row>
    <row r="743" spans="1:235" s="15" customFormat="1" x14ac:dyDescent="0.25">
      <c r="A743" s="31">
        <v>741</v>
      </c>
      <c r="B743" s="1">
        <v>109</v>
      </c>
      <c r="C743" s="1">
        <v>129</v>
      </c>
      <c r="D743" s="15" t="s">
        <v>1654</v>
      </c>
      <c r="E743" s="1">
        <v>4</v>
      </c>
      <c r="F743" s="15" t="s">
        <v>1019</v>
      </c>
      <c r="G743" s="15" t="s">
        <v>1650</v>
      </c>
      <c r="H743" s="15" t="s">
        <v>1658</v>
      </c>
      <c r="I743" s="1">
        <v>2020</v>
      </c>
      <c r="J743" s="15" t="s">
        <v>757</v>
      </c>
      <c r="K743" s="1">
        <v>2020</v>
      </c>
      <c r="L743" s="15" t="s">
        <v>1659</v>
      </c>
      <c r="M743" s="15" t="s">
        <v>764</v>
      </c>
      <c r="N743" s="15" t="s">
        <v>520</v>
      </c>
      <c r="O743" s="31">
        <v>2</v>
      </c>
      <c r="P743" s="15">
        <v>23.14</v>
      </c>
      <c r="Q743" s="15">
        <v>92</v>
      </c>
      <c r="S743" s="15">
        <v>3031</v>
      </c>
      <c r="T743" s="15">
        <v>23</v>
      </c>
      <c r="U743" s="15" t="s">
        <v>807</v>
      </c>
      <c r="V743" s="31">
        <v>2</v>
      </c>
      <c r="W743" s="15" t="s">
        <v>1149</v>
      </c>
      <c r="X743" s="15" t="s">
        <v>731</v>
      </c>
      <c r="Y743" s="1">
        <v>12</v>
      </c>
      <c r="Z743" s="15">
        <v>5.45</v>
      </c>
      <c r="AA743" s="15" t="s">
        <v>574</v>
      </c>
      <c r="AB743" s="15">
        <f t="shared" si="616"/>
        <v>5.45</v>
      </c>
      <c r="AC743" s="1">
        <v>3</v>
      </c>
      <c r="AD743" s="15">
        <v>0.13</v>
      </c>
      <c r="AM743" s="1"/>
      <c r="AQ743" s="1"/>
      <c r="AR743" s="1">
        <v>3</v>
      </c>
      <c r="BF743" s="15">
        <v>8.44</v>
      </c>
      <c r="BG743" s="15" t="s">
        <v>1661</v>
      </c>
      <c r="BI743" s="15">
        <v>205</v>
      </c>
      <c r="BS743" s="15">
        <v>15</v>
      </c>
      <c r="BT743" s="15">
        <f>BS743*2250</f>
        <v>33750</v>
      </c>
      <c r="BU743" s="15" t="s">
        <v>766</v>
      </c>
      <c r="BY743" s="15">
        <f>BT743</f>
        <v>33750</v>
      </c>
      <c r="BZ743" s="15">
        <f>BY743/1.1/1000</f>
        <v>30.68181818181818</v>
      </c>
      <c r="CA743" s="15">
        <f>BY743*2</f>
        <v>67500</v>
      </c>
      <c r="FK743" s="16">
        <f t="shared" si="638"/>
        <v>5.46</v>
      </c>
      <c r="FL743" s="16">
        <f t="shared" si="639"/>
        <v>6.39</v>
      </c>
      <c r="FM743" s="15">
        <v>5.46</v>
      </c>
      <c r="FN743" s="15">
        <f t="shared" si="656"/>
        <v>0.3276</v>
      </c>
      <c r="FO743" s="15">
        <f>FN743*SQRT(AR743)</f>
        <v>0.56741984455956418</v>
      </c>
      <c r="FP743" s="15">
        <v>6.39</v>
      </c>
      <c r="FQ743" s="15">
        <f t="shared" si="655"/>
        <v>0.31950000000000001</v>
      </c>
      <c r="FR743" s="15">
        <f>FQ743*SQRT(AR743)</f>
        <v>0.55339023301825629</v>
      </c>
      <c r="FS743" s="15">
        <f t="shared" si="640"/>
        <v>1.1703296703296702</v>
      </c>
      <c r="FT743" s="15">
        <f t="shared" si="641"/>
        <v>0.92999999999999972</v>
      </c>
      <c r="FU743" s="15">
        <f t="shared" si="642"/>
        <v>0.15728547863262987</v>
      </c>
      <c r="FV743" s="15">
        <f>((FR743*FR743)/(AR743*FP743*FP743)+(FO743*FO743)/(AR743*FM743*FM743))</f>
        <v>6.1000000000000004E-3</v>
      </c>
      <c r="GI743" s="15">
        <v>5.319</v>
      </c>
      <c r="GJ743" s="15">
        <f t="shared" si="657"/>
        <v>0.26595000000000002</v>
      </c>
      <c r="GK743" s="15">
        <f>GJ743*SQRT(AR154)</f>
        <v>0.4606389122729429</v>
      </c>
      <c r="GL743" s="15">
        <v>6.05</v>
      </c>
      <c r="GM743" s="15">
        <f t="shared" si="658"/>
        <v>0.30249999999999999</v>
      </c>
      <c r="GN743" s="15">
        <f>GM743*SQRT(AR154)</f>
        <v>0.52394536928958535</v>
      </c>
      <c r="GO743" s="15">
        <f t="shared" si="659"/>
        <v>1.1374318480917465</v>
      </c>
      <c r="GP743" s="15">
        <f t="shared" si="660"/>
        <v>0.73099999999999987</v>
      </c>
      <c r="GQ743" s="15">
        <f t="shared" si="661"/>
        <v>0.12877295628256946</v>
      </c>
      <c r="GR743" s="15">
        <f>((GN743*GN743)/(AR154*GL743*GL743)+(GK743*GK743)/(AR154*GI743*GI743))</f>
        <v>4.9999999999999992E-3</v>
      </c>
      <c r="GT743" s="15">
        <f t="shared" si="662"/>
        <v>30.062041737168638</v>
      </c>
      <c r="GU743" s="15">
        <f t="shared" si="663"/>
        <v>1.5031020868584319</v>
      </c>
      <c r="GV743" s="15">
        <f>GU743*SQRT(AR144)</f>
        <v>2.6034491834016116</v>
      </c>
      <c r="GW743" s="15">
        <f>(28.3+8.05+6.45)*100/(28.3+8.05+6.45+17.7)</f>
        <v>70.743801652892557</v>
      </c>
      <c r="GX743" s="15">
        <f t="shared" si="664"/>
        <v>3.5371900826446279</v>
      </c>
      <c r="GY743" s="15">
        <f>GX743*SQRT(AR144)</f>
        <v>6.1265929391692513</v>
      </c>
      <c r="GZ743" s="15">
        <f t="shared" si="665"/>
        <v>2.3532600437256757</v>
      </c>
      <c r="HA743" s="15">
        <f t="shared" si="666"/>
        <v>40.681759915723916</v>
      </c>
      <c r="HB743" s="15">
        <f t="shared" si="667"/>
        <v>0.85580161945931854</v>
      </c>
      <c r="HC743" s="15">
        <f>((GY743*GY743)/(AR743*GW743*GW743)+(GV743*GV743)/(AR743*GT743*GT743))</f>
        <v>4.9999999999999992E-3</v>
      </c>
      <c r="HE743" s="15">
        <v>5.92</v>
      </c>
      <c r="HF743" s="15">
        <f t="shared" si="668"/>
        <v>0.43867200000000001</v>
      </c>
      <c r="HG743" s="15">
        <f>HF743*SQRT(AR433)</f>
        <v>1.0745225644461822</v>
      </c>
      <c r="HH743" s="15">
        <v>26.1</v>
      </c>
      <c r="HI743" s="15">
        <f t="shared" si="669"/>
        <v>1.93401</v>
      </c>
      <c r="HJ743" s="15">
        <f>HI743*SQRT(AR433)</f>
        <v>4.7373376574400936</v>
      </c>
      <c r="HK743" s="15">
        <f t="shared" si="650"/>
        <v>4.4087837837837842</v>
      </c>
      <c r="HL743" s="15">
        <f t="shared" si="651"/>
        <v>20.18</v>
      </c>
      <c r="HM743" s="15">
        <f t="shared" si="652"/>
        <v>1.4835988654327334</v>
      </c>
      <c r="HN743" s="15">
        <f>((HJ743*HJ743)/(AR433*HH743*HH743)+(HG743*HG743)/(AR433*HE743*HE743))</f>
        <v>1.0981619999999997E-2</v>
      </c>
      <c r="HP743" s="15" t="s">
        <v>1186</v>
      </c>
      <c r="HV743" s="15">
        <f t="shared" si="653"/>
        <v>454.97473456419584</v>
      </c>
      <c r="HW743" s="15">
        <f t="shared" si="654"/>
        <v>1.4835988654327334</v>
      </c>
      <c r="HX743" s="15">
        <f>CA743</f>
        <v>67500</v>
      </c>
      <c r="HY743" s="15">
        <f>BY743</f>
        <v>33750</v>
      </c>
      <c r="HZ743" s="15">
        <f>BZ743</f>
        <v>30.68181818181818</v>
      </c>
      <c r="IA743" s="15">
        <f>CA743</f>
        <v>67500</v>
      </c>
    </row>
    <row r="744" spans="1:235" s="15" customFormat="1" x14ac:dyDescent="0.25">
      <c r="A744" s="31">
        <v>742</v>
      </c>
      <c r="B744" s="1">
        <v>109</v>
      </c>
      <c r="C744" s="1">
        <v>129</v>
      </c>
      <c r="D744" s="15" t="s">
        <v>1655</v>
      </c>
      <c r="E744" s="1">
        <v>2</v>
      </c>
      <c r="F744" s="15" t="s">
        <v>777</v>
      </c>
      <c r="G744" s="15" t="s">
        <v>1650</v>
      </c>
      <c r="H744" s="15" t="s">
        <v>1658</v>
      </c>
      <c r="I744" s="1">
        <v>2020</v>
      </c>
      <c r="J744" s="15" t="s">
        <v>757</v>
      </c>
      <c r="K744" s="1">
        <v>2020</v>
      </c>
      <c r="L744" s="15" t="s">
        <v>1659</v>
      </c>
      <c r="M744" s="15" t="s">
        <v>764</v>
      </c>
      <c r="N744" s="15" t="s">
        <v>520</v>
      </c>
      <c r="O744" s="31">
        <v>2</v>
      </c>
      <c r="P744" s="15">
        <v>23.14</v>
      </c>
      <c r="Q744" s="15">
        <v>92</v>
      </c>
      <c r="S744" s="15">
        <v>3031</v>
      </c>
      <c r="T744" s="15">
        <v>23</v>
      </c>
      <c r="U744" s="15" t="s">
        <v>807</v>
      </c>
      <c r="V744" s="31">
        <v>2</v>
      </c>
      <c r="W744" s="15" t="s">
        <v>1149</v>
      </c>
      <c r="X744" s="15" t="s">
        <v>731</v>
      </c>
      <c r="Y744" s="1">
        <v>12</v>
      </c>
      <c r="Z744" s="15">
        <v>5.45</v>
      </c>
      <c r="AA744" s="15" t="s">
        <v>574</v>
      </c>
      <c r="AB744" s="15">
        <f t="shared" si="616"/>
        <v>5.45</v>
      </c>
      <c r="AC744" s="1">
        <v>3</v>
      </c>
      <c r="AD744" s="15">
        <v>0.13</v>
      </c>
      <c r="AM744" s="1"/>
      <c r="AQ744" s="1"/>
      <c r="AR744" s="1">
        <v>3</v>
      </c>
      <c r="CC744" s="15" t="s">
        <v>1660</v>
      </c>
      <c r="CE744" s="15">
        <v>0.5</v>
      </c>
      <c r="CF744" s="15">
        <f>CE744*22500</f>
        <v>11250</v>
      </c>
      <c r="CG744" s="15" t="s">
        <v>766</v>
      </c>
      <c r="CH744" s="15">
        <v>9.89</v>
      </c>
      <c r="CK744" s="15">
        <v>235</v>
      </c>
      <c r="CY744" s="25">
        <f>CF744</f>
        <v>11250</v>
      </c>
      <c r="CZ744" s="25">
        <f>CY744/0.78/1000</f>
        <v>14.423076923076922</v>
      </c>
      <c r="DA744" s="25">
        <f>CY744*3</f>
        <v>33750</v>
      </c>
      <c r="FK744" s="16">
        <f t="shared" si="638"/>
        <v>5.46</v>
      </c>
      <c r="FL744" s="16">
        <f t="shared" si="639"/>
        <v>5.76</v>
      </c>
      <c r="FM744" s="15">
        <v>5.46</v>
      </c>
      <c r="FN744" s="15">
        <f t="shared" si="656"/>
        <v>0.3276</v>
      </c>
      <c r="FO744" s="15">
        <f>FN744*SQRT(AR744)</f>
        <v>0.56741984455956418</v>
      </c>
      <c r="FP744" s="15">
        <v>5.76</v>
      </c>
      <c r="FQ744" s="15">
        <f t="shared" si="655"/>
        <v>0.28799999999999998</v>
      </c>
      <c r="FR744" s="15">
        <f>FQ744*SQRT(AR744)</f>
        <v>0.49883063257983662</v>
      </c>
      <c r="FS744" s="15">
        <f t="shared" si="640"/>
        <v>1.054945054945055</v>
      </c>
      <c r="FT744" s="15">
        <f t="shared" si="641"/>
        <v>0.29999999999999982</v>
      </c>
      <c r="FU744" s="15">
        <f t="shared" si="642"/>
        <v>5.3488684950986354E-2</v>
      </c>
      <c r="FV744" s="15">
        <f>((FR744*FR744)/(AR744*FP744*FP744)+(FO744*FO744)/(AR744*FM744*FM744))</f>
        <v>6.0999999999999995E-3</v>
      </c>
      <c r="GI744" s="15">
        <v>5.319</v>
      </c>
      <c r="GJ744" s="15">
        <f t="shared" si="657"/>
        <v>0.26595000000000002</v>
      </c>
      <c r="GK744" s="15">
        <f>GJ744*SQRT(AR155)</f>
        <v>0.4606389122729429</v>
      </c>
      <c r="GL744" s="15">
        <v>4.8599999999999994</v>
      </c>
      <c r="GM744" s="15">
        <f t="shared" si="658"/>
        <v>0.24299999999999999</v>
      </c>
      <c r="GN744" s="15">
        <f>GM744*SQRT(AR155)</f>
        <v>0.42088834623923715</v>
      </c>
      <c r="GO744" s="15">
        <f t="shared" si="659"/>
        <v>0.91370558375634503</v>
      </c>
      <c r="GP744" s="15">
        <f t="shared" si="660"/>
        <v>-0.45900000000000052</v>
      </c>
      <c r="GQ744" s="15">
        <f t="shared" si="661"/>
        <v>-9.0246877847778295E-2</v>
      </c>
      <c r="GR744" s="15">
        <f>((GN744*GN744)/(AR155*GL744*GL744)+(GK744*GK744)/(AR155*GI744*GI744))</f>
        <v>4.9999999999999992E-3</v>
      </c>
      <c r="GT744" s="15">
        <f t="shared" si="662"/>
        <v>30.062041737168638</v>
      </c>
      <c r="GU744" s="15">
        <f t="shared" si="663"/>
        <v>1.5031020868584319</v>
      </c>
      <c r="GV744" s="15">
        <f>GU744*SQRT(AR145)</f>
        <v>2.6034491834016116</v>
      </c>
      <c r="GW744" s="15">
        <f>(18.9+5.99+4.81)*100/(18.9+5.99+4.81+18.9)</f>
        <v>61.111111111111121</v>
      </c>
      <c r="GX744" s="15">
        <f t="shared" si="664"/>
        <v>3.0555555555555562</v>
      </c>
      <c r="GY744" s="15">
        <f>GX744*SQRT(AR145)</f>
        <v>5.29237746757157</v>
      </c>
      <c r="GZ744" s="15">
        <f t="shared" si="665"/>
        <v>2.0328330206378991</v>
      </c>
      <c r="HA744" s="15">
        <f t="shared" si="666"/>
        <v>31.049069373942483</v>
      </c>
      <c r="HB744" s="15">
        <f t="shared" si="667"/>
        <v>0.70943039681056907</v>
      </c>
      <c r="HC744" s="15">
        <f>((GY744*GY744)/(AR744*GW744*GW744)+(GV744*GV744)/(AR744*GT744*GT744))</f>
        <v>4.9999999999999992E-3</v>
      </c>
      <c r="HE744" s="15">
        <v>5.92</v>
      </c>
      <c r="HF744" s="15">
        <f t="shared" si="668"/>
        <v>0.43867200000000001</v>
      </c>
      <c r="HG744" s="15">
        <f>HF744*SQRT(AR434)</f>
        <v>1.0745225644461822</v>
      </c>
      <c r="HH744" s="15">
        <v>22.9</v>
      </c>
      <c r="HI744" s="15">
        <f t="shared" si="669"/>
        <v>1.6968899999999998</v>
      </c>
      <c r="HJ744" s="15">
        <f>HI744*SQRT(AR434)</f>
        <v>4.1565146496313465</v>
      </c>
      <c r="HK744" s="15">
        <f t="shared" si="650"/>
        <v>3.868243243243243</v>
      </c>
      <c r="HL744" s="15">
        <f t="shared" si="651"/>
        <v>16.979999999999997</v>
      </c>
      <c r="HM744" s="15">
        <f t="shared" si="652"/>
        <v>1.3528004616642797</v>
      </c>
      <c r="HN744" s="15">
        <f>((HJ744*HJ744)/(AR434*HH744*HH744)+(HG744*HG744)/(AR434*HE744*HE744))</f>
        <v>1.0981619999999999E-2</v>
      </c>
      <c r="HP744" s="15" t="s">
        <v>1186</v>
      </c>
      <c r="HV744" s="15">
        <f t="shared" si="653"/>
        <v>249.48246956154301</v>
      </c>
      <c r="HW744" s="15">
        <f t="shared" si="654"/>
        <v>1.3528004616642797</v>
      </c>
      <c r="HX744" s="25">
        <f>DA744</f>
        <v>33750</v>
      </c>
      <c r="HY744" s="25">
        <f>CY744</f>
        <v>11250</v>
      </c>
      <c r="HZ744" s="25">
        <f>CZ744</f>
        <v>14.423076923076922</v>
      </c>
      <c r="IA744" s="25">
        <f>DA744</f>
        <v>33750</v>
      </c>
    </row>
    <row r="745" spans="1:235" s="15" customFormat="1" x14ac:dyDescent="0.25">
      <c r="A745" s="31">
        <v>743</v>
      </c>
      <c r="B745" s="1">
        <v>109</v>
      </c>
      <c r="C745" s="1">
        <v>129</v>
      </c>
      <c r="D745" s="15" t="s">
        <v>1656</v>
      </c>
      <c r="E745" s="1">
        <v>2</v>
      </c>
      <c r="F745" s="15" t="s">
        <v>777</v>
      </c>
      <c r="G745" s="15" t="s">
        <v>1650</v>
      </c>
      <c r="H745" s="15" t="s">
        <v>1658</v>
      </c>
      <c r="I745" s="1">
        <v>2020</v>
      </c>
      <c r="J745" s="15" t="s">
        <v>757</v>
      </c>
      <c r="K745" s="1">
        <v>2020</v>
      </c>
      <c r="L745" s="15" t="s">
        <v>1659</v>
      </c>
      <c r="M745" s="15" t="s">
        <v>764</v>
      </c>
      <c r="N745" s="15" t="s">
        <v>520</v>
      </c>
      <c r="O745" s="31">
        <v>2</v>
      </c>
      <c r="P745" s="15">
        <v>23.14</v>
      </c>
      <c r="Q745" s="15">
        <v>92</v>
      </c>
      <c r="S745" s="15">
        <v>3031</v>
      </c>
      <c r="T745" s="15">
        <v>23</v>
      </c>
      <c r="U745" s="15" t="s">
        <v>807</v>
      </c>
      <c r="V745" s="31">
        <v>2</v>
      </c>
      <c r="W745" s="15" t="s">
        <v>1149</v>
      </c>
      <c r="X745" s="15" t="s">
        <v>731</v>
      </c>
      <c r="Y745" s="1">
        <v>12</v>
      </c>
      <c r="Z745" s="15">
        <v>5.45</v>
      </c>
      <c r="AA745" s="15" t="s">
        <v>574</v>
      </c>
      <c r="AB745" s="15">
        <f t="shared" si="616"/>
        <v>5.45</v>
      </c>
      <c r="AC745" s="1">
        <v>3</v>
      </c>
      <c r="AD745" s="15">
        <v>0.13</v>
      </c>
      <c r="AM745" s="1"/>
      <c r="AQ745" s="1"/>
      <c r="AR745" s="1">
        <v>3</v>
      </c>
      <c r="CC745" s="15" t="s">
        <v>1660</v>
      </c>
      <c r="CE745" s="15">
        <v>1</v>
      </c>
      <c r="CF745" s="15">
        <f>CE745*22500</f>
        <v>22500</v>
      </c>
      <c r="CG745" s="15" t="s">
        <v>766</v>
      </c>
      <c r="CH745" s="15">
        <v>9.89</v>
      </c>
      <c r="CK745" s="15">
        <v>235</v>
      </c>
      <c r="CY745" s="25">
        <f>CF745</f>
        <v>22500</v>
      </c>
      <c r="CZ745" s="25">
        <f>CY745/0.78/1000</f>
        <v>28.846153846153843</v>
      </c>
      <c r="DA745" s="25">
        <f>CY745*3</f>
        <v>67500</v>
      </c>
      <c r="FK745" s="16">
        <f t="shared" si="638"/>
        <v>5.46</v>
      </c>
      <c r="FL745" s="16">
        <f t="shared" si="639"/>
        <v>6.16</v>
      </c>
      <c r="FM745" s="15">
        <v>5.46</v>
      </c>
      <c r="FN745" s="15">
        <f t="shared" si="656"/>
        <v>0.3276</v>
      </c>
      <c r="FO745" s="15">
        <f>FN745*SQRT(AR745)</f>
        <v>0.56741984455956418</v>
      </c>
      <c r="FP745" s="15">
        <v>6.16</v>
      </c>
      <c r="FQ745" s="15">
        <f t="shared" si="655"/>
        <v>0.30800000000000005</v>
      </c>
      <c r="FR745" s="15">
        <f>FQ745*SQRT(AR745)</f>
        <v>0.53347164873121422</v>
      </c>
      <c r="FS745" s="15">
        <f t="shared" si="640"/>
        <v>1.1282051282051282</v>
      </c>
      <c r="FT745" s="15">
        <f t="shared" si="641"/>
        <v>0.70000000000000018</v>
      </c>
      <c r="FU745" s="15">
        <f t="shared" si="642"/>
        <v>0.12062798778861494</v>
      </c>
      <c r="FV745" s="15">
        <f>((FR745*FR745)/(AR745*FP745*FP745)+(FO745*FO745)/(AR745*FM745*FM745))</f>
        <v>6.0999999999999995E-3</v>
      </c>
      <c r="GI745" s="15">
        <v>5.319</v>
      </c>
      <c r="GJ745" s="15">
        <f t="shared" si="657"/>
        <v>0.26595000000000002</v>
      </c>
      <c r="GK745" s="15">
        <f>GJ745*SQRT(AR156)</f>
        <v>0.4606389122729429</v>
      </c>
      <c r="GL745" s="15">
        <v>5.4700000000000006</v>
      </c>
      <c r="GM745" s="15">
        <f t="shared" si="658"/>
        <v>0.27350000000000002</v>
      </c>
      <c r="GN745" s="15">
        <f>GM745*SQRT(AR156)</f>
        <v>0.47371589587008794</v>
      </c>
      <c r="GO745" s="15">
        <f t="shared" si="659"/>
        <v>1.0283887948862569</v>
      </c>
      <c r="GP745" s="15">
        <f t="shared" si="660"/>
        <v>0.15100000000000069</v>
      </c>
      <c r="GQ745" s="15">
        <f t="shared" si="661"/>
        <v>2.799330067370942E-2</v>
      </c>
      <c r="GR745" s="15">
        <f>((GN745*GN745)/(AR156*GL745*GL745)+(GK745*GK745)/(AR156*GI745*GI745))</f>
        <v>4.9999999999999992E-3</v>
      </c>
      <c r="GT745" s="15">
        <f t="shared" si="662"/>
        <v>30.062041737168638</v>
      </c>
      <c r="GU745" s="15">
        <f t="shared" si="663"/>
        <v>1.5031020868584319</v>
      </c>
      <c r="GV745" s="15">
        <f>GU745*SQRT(AR146)</f>
        <v>2.6034491834016116</v>
      </c>
      <c r="GW745" s="15">
        <f>(23.5+8.83+7.07)*100/(23.5+8.83+7.07+15.3)</f>
        <v>72.029250457038387</v>
      </c>
      <c r="GX745" s="15">
        <f t="shared" si="664"/>
        <v>3.6014625228519197</v>
      </c>
      <c r="GY745" s="15">
        <f>GX745*SQRT(AR146)</f>
        <v>6.2379160711347135</v>
      </c>
      <c r="GZ745" s="15">
        <f t="shared" si="665"/>
        <v>2.3960199073232471</v>
      </c>
      <c r="HA745" s="15">
        <f t="shared" si="666"/>
        <v>41.967208719869745</v>
      </c>
      <c r="HB745" s="15">
        <f t="shared" si="667"/>
        <v>0.87380898878431568</v>
      </c>
      <c r="HC745" s="15">
        <f>((GY745*GY745)/(AR745*GW745*GW745)+(GV745*GV745)/(AR745*GT745*GT745))</f>
        <v>5.0000000000000001E-3</v>
      </c>
      <c r="HE745" s="15">
        <v>5.92</v>
      </c>
      <c r="HF745" s="15">
        <f t="shared" si="668"/>
        <v>0.43867200000000001</v>
      </c>
      <c r="HG745" s="15">
        <f>HF745*SQRT(AR435)</f>
        <v>1.0745225644461822</v>
      </c>
      <c r="HH745" s="15">
        <v>23.6</v>
      </c>
      <c r="HI745" s="15">
        <f t="shared" si="669"/>
        <v>1.7487600000000001</v>
      </c>
      <c r="HJ745" s="15">
        <f>HI745*SQRT(AR435)</f>
        <v>4.2835696825895102</v>
      </c>
      <c r="HK745" s="15">
        <f t="shared" si="650"/>
        <v>3.9864864864864868</v>
      </c>
      <c r="HL745" s="15">
        <f t="shared" si="651"/>
        <v>17.68</v>
      </c>
      <c r="HM745" s="15">
        <f t="shared" si="652"/>
        <v>1.3829102631356502</v>
      </c>
      <c r="HN745" s="15">
        <f>((HJ745*HJ745)/(AR435*HH745*HH745)+(HG745*HG745)/(AR435*HE745*HE745))</f>
        <v>1.0981619999999997E-2</v>
      </c>
      <c r="HP745" s="15" t="s">
        <v>1186</v>
      </c>
      <c r="HV745" s="15">
        <f t="shared" si="653"/>
        <v>488.10108507654411</v>
      </c>
      <c r="HW745" s="15">
        <f t="shared" si="654"/>
        <v>1.3829102631356502</v>
      </c>
      <c r="HX745" s="25">
        <f>DA745</f>
        <v>67500</v>
      </c>
      <c r="HY745" s="25">
        <f>CY745</f>
        <v>22500</v>
      </c>
      <c r="HZ745" s="25">
        <f>CZ745</f>
        <v>28.846153846153843</v>
      </c>
      <c r="IA745" s="25">
        <f>DA745</f>
        <v>67500</v>
      </c>
    </row>
    <row r="746" spans="1:235" s="15" customFormat="1" x14ac:dyDescent="0.25">
      <c r="A746" s="31">
        <v>744</v>
      </c>
      <c r="B746" s="1">
        <v>109</v>
      </c>
      <c r="C746" s="1">
        <v>129</v>
      </c>
      <c r="D746" s="15" t="s">
        <v>1657</v>
      </c>
      <c r="E746" s="1">
        <v>2</v>
      </c>
      <c r="F746" s="15" t="s">
        <v>777</v>
      </c>
      <c r="G746" s="15" t="s">
        <v>1650</v>
      </c>
      <c r="H746" s="15" t="s">
        <v>1658</v>
      </c>
      <c r="I746" s="1">
        <v>2020</v>
      </c>
      <c r="J746" s="15" t="s">
        <v>757</v>
      </c>
      <c r="K746" s="1">
        <v>2020</v>
      </c>
      <c r="L746" s="15" t="s">
        <v>1659</v>
      </c>
      <c r="M746" s="15" t="s">
        <v>764</v>
      </c>
      <c r="N746" s="15" t="s">
        <v>520</v>
      </c>
      <c r="O746" s="31">
        <v>2</v>
      </c>
      <c r="P746" s="15">
        <v>23.14</v>
      </c>
      <c r="Q746" s="15">
        <v>92</v>
      </c>
      <c r="S746" s="15">
        <v>3031</v>
      </c>
      <c r="T746" s="15">
        <v>23</v>
      </c>
      <c r="U746" s="15" t="s">
        <v>807</v>
      </c>
      <c r="V746" s="31">
        <v>2</v>
      </c>
      <c r="W746" s="15" t="s">
        <v>1149</v>
      </c>
      <c r="X746" s="15" t="s">
        <v>731</v>
      </c>
      <c r="Y746" s="1">
        <v>12</v>
      </c>
      <c r="Z746" s="15">
        <v>5.45</v>
      </c>
      <c r="AA746" s="15" t="s">
        <v>574</v>
      </c>
      <c r="AB746" s="15">
        <f t="shared" si="616"/>
        <v>5.45</v>
      </c>
      <c r="AC746" s="1">
        <v>3</v>
      </c>
      <c r="AD746" s="15">
        <v>0.13</v>
      </c>
      <c r="AM746" s="1"/>
      <c r="AQ746" s="1"/>
      <c r="AR746" s="1">
        <v>3</v>
      </c>
      <c r="CC746" s="15" t="s">
        <v>1660</v>
      </c>
      <c r="CE746" s="15">
        <v>1.5</v>
      </c>
      <c r="CF746" s="15">
        <f>CE746*22500</f>
        <v>33750</v>
      </c>
      <c r="CG746" s="15" t="s">
        <v>766</v>
      </c>
      <c r="CH746" s="15">
        <v>9.89</v>
      </c>
      <c r="CK746" s="15">
        <v>235</v>
      </c>
      <c r="CY746" s="25">
        <f>CF746</f>
        <v>33750</v>
      </c>
      <c r="CZ746" s="25">
        <f>CY746/0.78/1000</f>
        <v>43.269230769230766</v>
      </c>
      <c r="DA746" s="25">
        <f>CY746*3</f>
        <v>101250</v>
      </c>
      <c r="FK746" s="16">
        <f t="shared" si="638"/>
        <v>5.46</v>
      </c>
      <c r="FL746" s="16">
        <f t="shared" si="639"/>
        <v>6.66</v>
      </c>
      <c r="FM746" s="15">
        <v>5.46</v>
      </c>
      <c r="FN746" s="15">
        <f t="shared" si="656"/>
        <v>0.3276</v>
      </c>
      <c r="FO746" s="15">
        <f>FN746*SQRT(AR746)</f>
        <v>0.56741984455956418</v>
      </c>
      <c r="FP746" s="15">
        <v>6.66</v>
      </c>
      <c r="FQ746" s="15">
        <f t="shared" si="655"/>
        <v>0.33300000000000002</v>
      </c>
      <c r="FR746" s="15">
        <f>FQ746*SQRT(AR746)</f>
        <v>0.57677291892043614</v>
      </c>
      <c r="FS746" s="15">
        <f t="shared" si="640"/>
        <v>1.2197802197802199</v>
      </c>
      <c r="FT746" s="15">
        <f t="shared" si="641"/>
        <v>1.2000000000000002</v>
      </c>
      <c r="FU746" s="15">
        <f t="shared" si="642"/>
        <v>0.19867069479548416</v>
      </c>
      <c r="FV746" s="15">
        <f>((FR746*FR746)/(AR746*FP746*FP746)+(FO746*FO746)/(AR746*FM746*FM746))</f>
        <v>6.0999999999999995E-3</v>
      </c>
      <c r="GI746" s="15">
        <v>5.319</v>
      </c>
      <c r="GJ746" s="15">
        <f t="shared" si="657"/>
        <v>0.26595000000000002</v>
      </c>
      <c r="GK746" s="15">
        <f>GJ746*SQRT(AR157)</f>
        <v>0.4606389122729429</v>
      </c>
      <c r="GL746" s="15">
        <v>5.4700000000000006</v>
      </c>
      <c r="GM746" s="15">
        <f t="shared" si="658"/>
        <v>0.27350000000000002</v>
      </c>
      <c r="GN746" s="15">
        <f>GM746*SQRT(AR157)</f>
        <v>0.47371589587008794</v>
      </c>
      <c r="GO746" s="15">
        <f t="shared" si="659"/>
        <v>1.0283887948862569</v>
      </c>
      <c r="GP746" s="15">
        <f t="shared" si="660"/>
        <v>0.15100000000000069</v>
      </c>
      <c r="GQ746" s="15">
        <f t="shared" si="661"/>
        <v>2.799330067370942E-2</v>
      </c>
      <c r="GR746" s="15">
        <f>((GN746*GN746)/(AR157*GL746*GL746)+(GK746*GK746)/(AR157*GI746*GI746))</f>
        <v>4.9999999999999992E-3</v>
      </c>
      <c r="GT746" s="15">
        <f t="shared" si="662"/>
        <v>30.062041737168638</v>
      </c>
      <c r="GU746" s="15">
        <f t="shared" si="663"/>
        <v>1.5031020868584319</v>
      </c>
      <c r="GV746" s="15">
        <f>GU746*SQRT(AR147)</f>
        <v>2.6034491834016116</v>
      </c>
      <c r="GW746" s="15">
        <f>(23.5+8.83+7.07)*100/(23.5+8.83+7.07+15.3)</f>
        <v>72.029250457038387</v>
      </c>
      <c r="GX746" s="15">
        <f t="shared" si="664"/>
        <v>3.6014625228519197</v>
      </c>
      <c r="GY746" s="15">
        <f>GX746*SQRT(AR147)</f>
        <v>6.2379160711347135</v>
      </c>
      <c r="GZ746" s="15">
        <f t="shared" si="665"/>
        <v>2.3960199073232471</v>
      </c>
      <c r="HA746" s="15">
        <f t="shared" si="666"/>
        <v>41.967208719869745</v>
      </c>
      <c r="HB746" s="15">
        <f t="shared" si="667"/>
        <v>0.87380898878431568</v>
      </c>
      <c r="HC746" s="15">
        <f>((GY746*GY746)/(AR746*GW746*GW746)+(GV746*GV746)/(AR746*GT746*GT746))</f>
        <v>5.0000000000000001E-3</v>
      </c>
      <c r="HE746" s="15">
        <v>5.92</v>
      </c>
      <c r="HF746" s="15">
        <f t="shared" si="668"/>
        <v>0.43867200000000001</v>
      </c>
      <c r="HG746" s="15">
        <f>HF746*SQRT(AR436)</f>
        <v>1.0745225644461822</v>
      </c>
      <c r="HH746" s="15">
        <v>25.7</v>
      </c>
      <c r="HI746" s="15">
        <f t="shared" si="669"/>
        <v>1.9043699999999999</v>
      </c>
      <c r="HJ746" s="15">
        <f>HI746*SQRT(AR436)</f>
        <v>4.6647347814640003</v>
      </c>
      <c r="HK746" s="15">
        <f t="shared" si="650"/>
        <v>4.3412162162162158</v>
      </c>
      <c r="HL746" s="15">
        <f t="shared" si="651"/>
        <v>19.78</v>
      </c>
      <c r="HM746" s="15">
        <f t="shared" si="652"/>
        <v>1.4681545430052598</v>
      </c>
      <c r="HN746" s="15">
        <f>((HJ746*HJ746)/(AR436*HH746*HH746)+(HG746*HG746)/(AR436*HE746*HE746))</f>
        <v>1.0981619999999999E-2</v>
      </c>
      <c r="HP746" s="15" t="s">
        <v>1186</v>
      </c>
      <c r="HV746" s="15">
        <f t="shared" si="653"/>
        <v>689.64129479683299</v>
      </c>
      <c r="HW746" s="15">
        <f t="shared" si="654"/>
        <v>1.4681545430052598</v>
      </c>
      <c r="HX746" s="25">
        <f>DA746</f>
        <v>101250</v>
      </c>
      <c r="HY746" s="25">
        <f>CY746</f>
        <v>33750</v>
      </c>
      <c r="HZ746" s="25">
        <f>CZ746</f>
        <v>43.269230769230766</v>
      </c>
      <c r="IA746" s="25">
        <f>DA746</f>
        <v>101250</v>
      </c>
    </row>
    <row r="747" spans="1:235" s="15" customFormat="1" x14ac:dyDescent="0.25">
      <c r="A747" s="31">
        <v>745</v>
      </c>
      <c r="B747" s="1">
        <v>110</v>
      </c>
      <c r="C747" s="1">
        <v>130</v>
      </c>
      <c r="D747" s="15" t="s">
        <v>1662</v>
      </c>
      <c r="E747" s="1">
        <v>1</v>
      </c>
      <c r="F747" s="15" t="s">
        <v>761</v>
      </c>
      <c r="G747" s="15" t="s">
        <v>1667</v>
      </c>
      <c r="H747" s="15" t="s">
        <v>1668</v>
      </c>
      <c r="I747" s="1">
        <v>2014</v>
      </c>
      <c r="J747" s="15" t="s">
        <v>1120</v>
      </c>
      <c r="K747" s="1">
        <v>2012</v>
      </c>
      <c r="L747" s="15" t="s">
        <v>1669</v>
      </c>
      <c r="M747" s="15" t="s">
        <v>648</v>
      </c>
      <c r="N747" s="15" t="s">
        <v>1125</v>
      </c>
      <c r="O747" s="31">
        <v>2</v>
      </c>
      <c r="P747" s="15">
        <v>-23.56</v>
      </c>
      <c r="Q747" s="15">
        <v>-46.59</v>
      </c>
      <c r="T747" s="15">
        <v>20</v>
      </c>
      <c r="U747" s="15" t="s">
        <v>807</v>
      </c>
      <c r="V747" s="31">
        <v>2</v>
      </c>
      <c r="W747" s="15" t="s">
        <v>1169</v>
      </c>
      <c r="X747" s="15" t="s">
        <v>1147</v>
      </c>
      <c r="Y747" s="1">
        <v>5</v>
      </c>
      <c r="Z747" s="15">
        <v>5.5</v>
      </c>
      <c r="AA747" s="15" t="s">
        <v>663</v>
      </c>
      <c r="AB747" s="15">
        <f>Z747+0.77</f>
        <v>6.27</v>
      </c>
      <c r="AC747" s="1">
        <v>5</v>
      </c>
      <c r="AF747" s="15">
        <v>1.1499999999999999</v>
      </c>
      <c r="AH747" s="15">
        <v>25.79</v>
      </c>
      <c r="AJ747" s="15">
        <v>73.400000000000006</v>
      </c>
      <c r="AK747" s="15">
        <v>10</v>
      </c>
      <c r="AL747" s="15">
        <v>16.600000000000001</v>
      </c>
      <c r="AM747" s="1">
        <v>1</v>
      </c>
      <c r="AP747" s="15" t="s">
        <v>1670</v>
      </c>
      <c r="AQ747" s="1">
        <v>1</v>
      </c>
      <c r="AR747" s="1">
        <v>4</v>
      </c>
      <c r="AT747" s="15" t="s">
        <v>993</v>
      </c>
      <c r="AU747" s="15">
        <v>33</v>
      </c>
      <c r="AV747" s="15">
        <v>14</v>
      </c>
      <c r="AW747" s="15">
        <v>0.71</v>
      </c>
      <c r="AX747" s="15">
        <f>AW747*1000*4*1.09/1.8</f>
        <v>1719.7777777777778</v>
      </c>
      <c r="AY747" s="15" t="s">
        <v>766</v>
      </c>
      <c r="AZ747" s="15">
        <f t="shared" ref="AZ747:AZ754" si="670">AX747</f>
        <v>1719.7777777777778</v>
      </c>
      <c r="BA747" s="15">
        <f t="shared" ref="BA747:BA754" si="671">AZ747/2.93/1000</f>
        <v>0.5869548729616989</v>
      </c>
      <c r="BB747" s="15">
        <f t="shared" ref="BB747:BB754" si="672">AZ747*0.6</f>
        <v>1031.8666666666666</v>
      </c>
      <c r="FK747" s="16">
        <f>FM747+0.77</f>
        <v>5.4</v>
      </c>
      <c r="FL747" s="16">
        <f>FP747+0.77</f>
        <v>5.84</v>
      </c>
      <c r="FM747" s="15">
        <v>4.63</v>
      </c>
      <c r="FN747" s="15">
        <f>FM747*0.02</f>
        <v>9.2600000000000002E-2</v>
      </c>
      <c r="FO747" s="15">
        <f>FN747*SQRT(AR747)</f>
        <v>0.1852</v>
      </c>
      <c r="FP747" s="15">
        <v>5.07</v>
      </c>
      <c r="FQ747" s="15">
        <f>FP747*0.02</f>
        <v>0.1014</v>
      </c>
      <c r="FR747" s="15">
        <f>FQ747*SQRT(AR747)</f>
        <v>0.20280000000000001</v>
      </c>
      <c r="FS747" s="15">
        <f t="shared" si="640"/>
        <v>1.0950323974082075</v>
      </c>
      <c r="FT747" s="15">
        <f t="shared" si="641"/>
        <v>0.44000000000000039</v>
      </c>
      <c r="FU747" s="15">
        <f t="shared" si="642"/>
        <v>9.0783949504949168E-2</v>
      </c>
      <c r="FV747" s="15">
        <f>((FR747*FR747)/(AR747*FP747*FP747)+(FO747*FO747)/(AR747*FM747*FM747))</f>
        <v>8.0000000000000015E-4</v>
      </c>
      <c r="GI747" s="15">
        <v>1.1499999999999999</v>
      </c>
      <c r="GJ747" s="15">
        <f>GI747*0.0903</f>
        <v>0.10384499999999999</v>
      </c>
      <c r="GK747" s="15">
        <f>GJ747*SQRT(AR158)</f>
        <v>0.17986481611199004</v>
      </c>
      <c r="GL747" s="15">
        <v>2.11</v>
      </c>
      <c r="GM747" s="15">
        <f>GL747*0.0903</f>
        <v>0.19053300000000001</v>
      </c>
      <c r="GN747" s="15">
        <f>GM747*SQRT(AR158)</f>
        <v>0.33001283651852087</v>
      </c>
      <c r="GO747" s="15">
        <f t="shared" si="659"/>
        <v>1.8347826086956522</v>
      </c>
      <c r="GP747" s="15">
        <f t="shared" si="660"/>
        <v>0.96</v>
      </c>
      <c r="GQ747" s="15">
        <f t="shared" si="661"/>
        <v>0.60692600511281647</v>
      </c>
      <c r="GR747" s="15">
        <f>((GN747*GN747)/(AR158*GL747*GL747)+(GK747*GK747)/(AR158*GI747*GI747))</f>
        <v>1.6308179999999999E-2</v>
      </c>
      <c r="GT747" s="15">
        <v>25.79</v>
      </c>
      <c r="GU747" s="15">
        <f>GT747*0.0513</f>
        <v>1.323027</v>
      </c>
      <c r="GV747" s="15">
        <f>GU747*SQRT(AR148)</f>
        <v>2.291549983785429</v>
      </c>
      <c r="GW747" s="15">
        <v>41.27</v>
      </c>
      <c r="GX747" s="15">
        <f>GW747*0.0513</f>
        <v>2.1171510000000002</v>
      </c>
      <c r="GY747" s="15">
        <f>GX747*SQRT(AR148)</f>
        <v>3.6670130992952563</v>
      </c>
      <c r="GZ747" s="15">
        <f t="shared" si="665"/>
        <v>1.6002326483132998</v>
      </c>
      <c r="HA747" s="15">
        <f t="shared" si="666"/>
        <v>15.480000000000004</v>
      </c>
      <c r="HB747" s="15">
        <f t="shared" si="667"/>
        <v>0.47014902387123714</v>
      </c>
      <c r="HC747" s="15">
        <f>((GY747*GY747)/(AR747*GW747*GW747)+(GV747*GV747)/(AR747*GT747*GT747))</f>
        <v>3.9475349999999994E-3</v>
      </c>
      <c r="HE747" s="15">
        <v>6.33</v>
      </c>
      <c r="HF747" s="15">
        <f>HE747*0.0815</f>
        <v>0.51589499999999999</v>
      </c>
      <c r="HG747" s="15">
        <f>HF747*SQRT(AR437)</f>
        <v>1.2636795108531276</v>
      </c>
      <c r="HH747" s="15">
        <v>8.58</v>
      </c>
      <c r="HI747" s="15">
        <f>HH747*0.0815</f>
        <v>0.69927000000000006</v>
      </c>
      <c r="HJ747" s="15">
        <f>HI747*SQRT(AR437)</f>
        <v>1.7128546924359929</v>
      </c>
      <c r="HK747" s="15">
        <f t="shared" si="650"/>
        <v>1.3554502369668247</v>
      </c>
      <c r="HL747" s="15">
        <f t="shared" si="651"/>
        <v>2.25</v>
      </c>
      <c r="HM747" s="15">
        <f t="shared" si="652"/>
        <v>0.30413367734378616</v>
      </c>
      <c r="HN747" s="15">
        <f>((HJ747*HJ747)/(AR437*HH747*HH747)+(HG747*HG747)/(AR437*HE747*HE747))</f>
        <v>1.3284499999999998E-2</v>
      </c>
      <c r="HP747" s="15" t="s">
        <v>1186</v>
      </c>
      <c r="HV747" s="15">
        <f t="shared" si="653"/>
        <v>33.928063333159479</v>
      </c>
      <c r="HW747" s="15">
        <f t="shared" si="654"/>
        <v>0.30413367734378616</v>
      </c>
      <c r="HX747" s="15">
        <f>BB747</f>
        <v>1031.8666666666666</v>
      </c>
      <c r="HY747" s="15">
        <f>AZ747</f>
        <v>1719.7777777777778</v>
      </c>
      <c r="HZ747" s="15">
        <f>BA747</f>
        <v>0.5869548729616989</v>
      </c>
      <c r="IA747" s="15">
        <f>BB747</f>
        <v>1031.8666666666666</v>
      </c>
    </row>
    <row r="748" spans="1:235" s="15" customFormat="1" x14ac:dyDescent="0.25">
      <c r="A748" s="31">
        <v>746</v>
      </c>
      <c r="B748" s="1">
        <v>110</v>
      </c>
      <c r="C748" s="1">
        <v>130</v>
      </c>
      <c r="D748" s="15" t="s">
        <v>1663</v>
      </c>
      <c r="E748" s="1">
        <v>1</v>
      </c>
      <c r="F748" s="15" t="s">
        <v>761</v>
      </c>
      <c r="G748" s="15" t="s">
        <v>1667</v>
      </c>
      <c r="H748" s="15" t="s">
        <v>1668</v>
      </c>
      <c r="I748" s="1">
        <v>2014</v>
      </c>
      <c r="J748" s="15" t="s">
        <v>1120</v>
      </c>
      <c r="K748" s="1">
        <v>2012</v>
      </c>
      <c r="L748" s="15" t="s">
        <v>1669</v>
      </c>
      <c r="M748" s="15" t="s">
        <v>648</v>
      </c>
      <c r="N748" s="15" t="s">
        <v>1125</v>
      </c>
      <c r="O748" s="31">
        <v>2</v>
      </c>
      <c r="P748" s="15">
        <v>-23.56</v>
      </c>
      <c r="Q748" s="15">
        <v>-46.59</v>
      </c>
      <c r="T748" s="15">
        <v>20</v>
      </c>
      <c r="U748" s="15" t="s">
        <v>807</v>
      </c>
      <c r="V748" s="31">
        <v>2</v>
      </c>
      <c r="W748" s="15" t="s">
        <v>1169</v>
      </c>
      <c r="X748" s="15" t="s">
        <v>1147</v>
      </c>
      <c r="Y748" s="1">
        <v>5</v>
      </c>
      <c r="Z748" s="15">
        <v>5.5</v>
      </c>
      <c r="AA748" s="15" t="s">
        <v>663</v>
      </c>
      <c r="AB748" s="15">
        <f>Z748+0.77</f>
        <v>6.27</v>
      </c>
      <c r="AC748" s="1">
        <v>5</v>
      </c>
      <c r="AF748" s="15">
        <v>1.1499999999999999</v>
      </c>
      <c r="AH748" s="15">
        <v>25.79</v>
      </c>
      <c r="AJ748" s="15">
        <v>73.400000000000006</v>
      </c>
      <c r="AK748" s="15">
        <v>10</v>
      </c>
      <c r="AL748" s="15">
        <v>16.600000000000001</v>
      </c>
      <c r="AM748" s="1">
        <v>1</v>
      </c>
      <c r="AP748" s="15" t="s">
        <v>1670</v>
      </c>
      <c r="AQ748" s="1">
        <v>1</v>
      </c>
      <c r="AR748" s="1">
        <v>4</v>
      </c>
      <c r="AT748" s="15" t="s">
        <v>993</v>
      </c>
      <c r="AU748" s="15">
        <v>33</v>
      </c>
      <c r="AV748" s="15">
        <v>14</v>
      </c>
      <c r="AW748" s="15">
        <v>1.42</v>
      </c>
      <c r="AX748" s="15">
        <f>AW748*1000*4*1.09/1.8</f>
        <v>3439.5555555555557</v>
      </c>
      <c r="AY748" s="15" t="s">
        <v>766</v>
      </c>
      <c r="AZ748" s="15">
        <f t="shared" si="670"/>
        <v>3439.5555555555557</v>
      </c>
      <c r="BA748" s="15">
        <f t="shared" si="671"/>
        <v>1.1739097459233978</v>
      </c>
      <c r="BB748" s="15">
        <f t="shared" si="672"/>
        <v>2063.7333333333331</v>
      </c>
      <c r="FK748" s="16">
        <f>FM748+0.77</f>
        <v>5.4</v>
      </c>
      <c r="FL748" s="16">
        <f>FP748+0.77</f>
        <v>6.4399999999999995</v>
      </c>
      <c r="FM748" s="15">
        <v>4.63</v>
      </c>
      <c r="FN748" s="15">
        <f>FM748*0.02</f>
        <v>9.2600000000000002E-2</v>
      </c>
      <c r="FO748" s="15">
        <f>FN748*SQRT(AR748)</f>
        <v>0.1852</v>
      </c>
      <c r="FP748" s="15">
        <v>5.67</v>
      </c>
      <c r="FQ748" s="15">
        <f>FP748*0.02</f>
        <v>0.1134</v>
      </c>
      <c r="FR748" s="15">
        <f>FQ748*SQRT(AR748)</f>
        <v>0.2268</v>
      </c>
      <c r="FS748" s="15">
        <f t="shared" si="640"/>
        <v>1.224622030237581</v>
      </c>
      <c r="FT748" s="15">
        <f t="shared" si="641"/>
        <v>1.04</v>
      </c>
      <c r="FU748" s="15">
        <f t="shared" si="642"/>
        <v>0.20263224964151805</v>
      </c>
      <c r="FV748" s="15">
        <f>((FR748*FR748)/(AR748*FP748*FP748)+(FO748*FO748)/(AR748*FM748*FM748))</f>
        <v>8.0000000000000015E-4</v>
      </c>
      <c r="GI748" s="15">
        <v>1.1499999999999999</v>
      </c>
      <c r="GJ748" s="15">
        <f>GI748*0.0903</f>
        <v>0.10384499999999999</v>
      </c>
      <c r="GK748" s="15">
        <f>GJ748*SQRT(AR159)</f>
        <v>0.17986481611199004</v>
      </c>
      <c r="GL748" s="15">
        <v>3.3</v>
      </c>
      <c r="GM748" s="15">
        <f>GL748*0.0903</f>
        <v>0.29798999999999998</v>
      </c>
      <c r="GN748" s="15">
        <f>GM748*SQRT(AR159)</f>
        <v>0.51613382014744968</v>
      </c>
      <c r="GO748" s="15">
        <f t="shared" si="659"/>
        <v>2.8695652173913042</v>
      </c>
      <c r="GP748" s="15">
        <f t="shared" si="660"/>
        <v>2.15</v>
      </c>
      <c r="GQ748" s="15">
        <f t="shared" si="661"/>
        <v>1.054160526097276</v>
      </c>
      <c r="GR748" s="15">
        <f>((GN748*GN748)/(AR159*GL748*GL748)+(GK748*GK748)/(AR159*GI748*GI748))</f>
        <v>1.6308179999999999E-2</v>
      </c>
      <c r="GT748" s="15">
        <v>25.79</v>
      </c>
      <c r="GU748" s="15">
        <f>GT748*0.0513</f>
        <v>1.323027</v>
      </c>
      <c r="GV748" s="15">
        <f>GU748*SQRT(AR149)</f>
        <v>2.291549983785429</v>
      </c>
      <c r="GW748" s="15">
        <v>60.49</v>
      </c>
      <c r="GX748" s="15">
        <f>GW748*0.0513</f>
        <v>3.1031369999999998</v>
      </c>
      <c r="GY748" s="15">
        <f>GX748*SQRT(AR149)</f>
        <v>5.3747909468468622</v>
      </c>
      <c r="GZ748" s="15">
        <f t="shared" si="665"/>
        <v>2.3454827452500973</v>
      </c>
      <c r="HA748" s="15">
        <f t="shared" si="666"/>
        <v>34.700000000000003</v>
      </c>
      <c r="HB748" s="15">
        <f t="shared" si="667"/>
        <v>0.85249124222556905</v>
      </c>
      <c r="HC748" s="15">
        <f>((GY748*GY748)/(AR748*GW748*GW748)+(GV748*GV748)/(AR748*GT748*GT748))</f>
        <v>3.9475349999999985E-3</v>
      </c>
      <c r="HE748" s="15">
        <v>7.33</v>
      </c>
      <c r="HF748" s="15">
        <f>HE748*0.0815</f>
        <v>0.59739500000000001</v>
      </c>
      <c r="HG748" s="15">
        <f>HF748*SQRT(AR438)</f>
        <v>1.4633129248899566</v>
      </c>
      <c r="HH748" s="15">
        <v>8.86</v>
      </c>
      <c r="HI748" s="15">
        <f>HH748*0.0815</f>
        <v>0.72209000000000001</v>
      </c>
      <c r="HJ748" s="15">
        <f>HI748*SQRT(AR438)</f>
        <v>1.7687520483663048</v>
      </c>
      <c r="HK748" s="15">
        <f t="shared" si="650"/>
        <v>1.2087312414733968</v>
      </c>
      <c r="HL748" s="15">
        <f t="shared" si="651"/>
        <v>1.5299999999999994</v>
      </c>
      <c r="HM748" s="15">
        <f t="shared" si="652"/>
        <v>0.18957124871842956</v>
      </c>
      <c r="HN748" s="15">
        <f>((HJ748*HJ748)/(AR438*HH748*HH748)+(HG748*HG748)/(AR438*HE748*HE748))</f>
        <v>1.3284499999999996E-2</v>
      </c>
      <c r="HP748" s="15" t="s">
        <v>1186</v>
      </c>
      <c r="HV748" s="15">
        <f t="shared" si="653"/>
        <v>108.86320300598955</v>
      </c>
      <c r="HW748" s="15">
        <f t="shared" si="654"/>
        <v>0.18957124871842956</v>
      </c>
      <c r="HX748" s="15">
        <f>BB748</f>
        <v>2063.7333333333331</v>
      </c>
      <c r="HY748" s="15">
        <f>AZ748</f>
        <v>3439.5555555555557</v>
      </c>
      <c r="HZ748" s="15">
        <f>BA748</f>
        <v>1.1739097459233978</v>
      </c>
      <c r="IA748" s="15">
        <f>BB748</f>
        <v>2063.7333333333331</v>
      </c>
    </row>
    <row r="749" spans="1:235" s="15" customFormat="1" x14ac:dyDescent="0.25">
      <c r="A749" s="31">
        <v>747</v>
      </c>
      <c r="B749" s="1">
        <v>110</v>
      </c>
      <c r="C749" s="1">
        <v>130</v>
      </c>
      <c r="D749" s="15" t="s">
        <v>1664</v>
      </c>
      <c r="E749" s="1">
        <v>1</v>
      </c>
      <c r="F749" s="15" t="s">
        <v>761</v>
      </c>
      <c r="G749" s="15" t="s">
        <v>1667</v>
      </c>
      <c r="H749" s="15" t="s">
        <v>1668</v>
      </c>
      <c r="I749" s="1">
        <v>2014</v>
      </c>
      <c r="J749" s="15" t="s">
        <v>1120</v>
      </c>
      <c r="K749" s="1">
        <v>2012</v>
      </c>
      <c r="L749" s="15" t="s">
        <v>1669</v>
      </c>
      <c r="M749" s="15" t="s">
        <v>648</v>
      </c>
      <c r="N749" s="15" t="s">
        <v>1125</v>
      </c>
      <c r="O749" s="31">
        <v>2</v>
      </c>
      <c r="P749" s="15">
        <v>-23.56</v>
      </c>
      <c r="Q749" s="15">
        <v>-46.59</v>
      </c>
      <c r="T749" s="15">
        <v>20</v>
      </c>
      <c r="U749" s="15" t="s">
        <v>807</v>
      </c>
      <c r="V749" s="31">
        <v>2</v>
      </c>
      <c r="W749" s="15" t="s">
        <v>1169</v>
      </c>
      <c r="X749" s="15" t="s">
        <v>1147</v>
      </c>
      <c r="Y749" s="1">
        <v>5</v>
      </c>
      <c r="Z749" s="15">
        <v>5.5</v>
      </c>
      <c r="AA749" s="15" t="s">
        <v>663</v>
      </c>
      <c r="AB749" s="15">
        <f>Z749+0.77</f>
        <v>6.27</v>
      </c>
      <c r="AC749" s="1">
        <v>5</v>
      </c>
      <c r="AF749" s="15">
        <v>1.1499999999999999</v>
      </c>
      <c r="AH749" s="15">
        <v>25.79</v>
      </c>
      <c r="AJ749" s="15">
        <v>73.400000000000006</v>
      </c>
      <c r="AK749" s="15">
        <v>10</v>
      </c>
      <c r="AL749" s="15">
        <v>16.600000000000001</v>
      </c>
      <c r="AM749" s="1">
        <v>1</v>
      </c>
      <c r="AP749" s="15" t="s">
        <v>1670</v>
      </c>
      <c r="AQ749" s="1">
        <v>1</v>
      </c>
      <c r="AR749" s="1">
        <v>4</v>
      </c>
      <c r="AT749" s="15" t="s">
        <v>993</v>
      </c>
      <c r="AU749" s="15">
        <v>33</v>
      </c>
      <c r="AV749" s="15">
        <v>14</v>
      </c>
      <c r="AW749" s="15">
        <v>2.14</v>
      </c>
      <c r="AX749" s="15">
        <f>AW749*1000*4*1.09/1.8</f>
        <v>5183.5555555555566</v>
      </c>
      <c r="AY749" s="15" t="s">
        <v>766</v>
      </c>
      <c r="AZ749" s="15">
        <f t="shared" si="670"/>
        <v>5183.5555555555566</v>
      </c>
      <c r="BA749" s="15">
        <f t="shared" si="671"/>
        <v>1.7691315889268109</v>
      </c>
      <c r="BB749" s="15">
        <f t="shared" si="672"/>
        <v>3110.1333333333337</v>
      </c>
      <c r="FK749" s="16">
        <f>FM749+0.77</f>
        <v>5.4</v>
      </c>
      <c r="FL749" s="16">
        <f>FP749+0.77</f>
        <v>6.84</v>
      </c>
      <c r="FM749" s="15">
        <v>4.63</v>
      </c>
      <c r="FN749" s="15">
        <f>FM749*0.02</f>
        <v>9.2600000000000002E-2</v>
      </c>
      <c r="FO749" s="15">
        <f>FN749*SQRT(AR749)</f>
        <v>0.1852</v>
      </c>
      <c r="FP749" s="15">
        <v>6.07</v>
      </c>
      <c r="FQ749" s="15">
        <f>FP749*0.02</f>
        <v>0.12140000000000001</v>
      </c>
      <c r="FR749" s="15">
        <f>FQ749*SQRT(AR749)</f>
        <v>0.24280000000000002</v>
      </c>
      <c r="FS749" s="15">
        <f t="shared" si="640"/>
        <v>1.3110151187904968</v>
      </c>
      <c r="FT749" s="15">
        <f t="shared" si="641"/>
        <v>1.4400000000000004</v>
      </c>
      <c r="FU749" s="15">
        <f t="shared" si="642"/>
        <v>0.27080173697326426</v>
      </c>
      <c r="FV749" s="15">
        <f>((FR749*FR749)/(AR749*FP749*FP749)+(FO749*FO749)/(AR749*FM749*FM749))</f>
        <v>8.0000000000000015E-4</v>
      </c>
      <c r="GI749" s="15">
        <v>1.1499999999999999</v>
      </c>
      <c r="GJ749" s="15">
        <f>GI749*0.0903</f>
        <v>0.10384499999999999</v>
      </c>
      <c r="GK749" s="15">
        <f>GJ749*SQRT(AR160)</f>
        <v>0.17986481611199004</v>
      </c>
      <c r="GL749" s="15">
        <v>3.68</v>
      </c>
      <c r="GM749" s="15">
        <f>GL749*0.0903</f>
        <v>0.33230400000000004</v>
      </c>
      <c r="GN749" s="15">
        <f>GM749*SQRT(AR160)</f>
        <v>0.57556741155836821</v>
      </c>
      <c r="GO749" s="15">
        <f t="shared" si="659"/>
        <v>3.2</v>
      </c>
      <c r="GP749" s="15">
        <f t="shared" si="660"/>
        <v>2.5300000000000002</v>
      </c>
      <c r="GQ749" s="15">
        <f t="shared" si="661"/>
        <v>1.1631508098056811</v>
      </c>
      <c r="GR749" s="15">
        <f>((GN749*GN749)/(AR160*GL749*GL749)+(GK749*GK749)/(AR160*GI749*GI749))</f>
        <v>1.6308179999999999E-2</v>
      </c>
      <c r="GT749" s="15">
        <v>25.79</v>
      </c>
      <c r="GU749" s="15">
        <f>GT749*0.0513</f>
        <v>1.323027</v>
      </c>
      <c r="GV749" s="15">
        <f>GU749*SQRT(AR150)</f>
        <v>2.291549983785429</v>
      </c>
      <c r="GW749" s="15">
        <v>69.67</v>
      </c>
      <c r="GX749" s="15">
        <f>GW749*0.0513</f>
        <v>3.574071</v>
      </c>
      <c r="GY749" s="15">
        <f>GX749*SQRT(AR150)</f>
        <v>6.1904725618585044</v>
      </c>
      <c r="GZ749" s="15">
        <f t="shared" si="665"/>
        <v>2.7014346645986818</v>
      </c>
      <c r="HA749" s="15">
        <f t="shared" si="666"/>
        <v>43.88</v>
      </c>
      <c r="HB749" s="15">
        <f t="shared" si="667"/>
        <v>0.99378298914877394</v>
      </c>
      <c r="HC749" s="15">
        <f>((GY749*GY749)/(AR749*GW749*GW749)+(GV749*GV749)/(AR749*GT749*GT749))</f>
        <v>3.9475349999999994E-3</v>
      </c>
      <c r="HE749" s="15">
        <v>8.33</v>
      </c>
      <c r="HF749" s="15">
        <f>HE749*0.0815</f>
        <v>0.67889500000000003</v>
      </c>
      <c r="HG749" s="15">
        <f>HF749*SQRT(AR439)</f>
        <v>1.6629463389267856</v>
      </c>
      <c r="HH749" s="15">
        <v>9.26</v>
      </c>
      <c r="HI749" s="15">
        <f>HH749*0.0815</f>
        <v>0.75468999999999997</v>
      </c>
      <c r="HJ749" s="15">
        <f>HI749*SQRT(AR439)</f>
        <v>1.8486054139810364</v>
      </c>
      <c r="HK749" s="15">
        <f t="shared" si="650"/>
        <v>1.1116446578631451</v>
      </c>
      <c r="HL749" s="15">
        <f t="shared" si="651"/>
        <v>0.92999999999999972</v>
      </c>
      <c r="HM749" s="15">
        <f t="shared" si="652"/>
        <v>0.10584059247933686</v>
      </c>
      <c r="HN749" s="15">
        <f>((HJ749*HJ749)/(AR439*HH749*HH749)+(HG749*HG749)/(AR439*HE749*HE749))</f>
        <v>1.3284499999999998E-2</v>
      </c>
      <c r="HP749" s="15" t="s">
        <v>1186</v>
      </c>
      <c r="HV749" s="15">
        <f t="shared" si="653"/>
        <v>293.85071081688449</v>
      </c>
      <c r="HW749" s="15">
        <f t="shared" si="654"/>
        <v>0.10584059247933686</v>
      </c>
      <c r="HX749" s="15">
        <f>BB749</f>
        <v>3110.1333333333337</v>
      </c>
      <c r="HY749" s="15">
        <f>AZ749</f>
        <v>5183.5555555555566</v>
      </c>
      <c r="HZ749" s="15">
        <f>BA749</f>
        <v>1.7691315889268109</v>
      </c>
      <c r="IA749" s="15">
        <f>BB749</f>
        <v>3110.1333333333337</v>
      </c>
    </row>
    <row r="750" spans="1:235" s="15" customFormat="1" x14ac:dyDescent="0.25">
      <c r="A750" s="31">
        <v>748</v>
      </c>
      <c r="B750" s="1">
        <v>110</v>
      </c>
      <c r="C750" s="1">
        <v>130</v>
      </c>
      <c r="D750" s="15" t="s">
        <v>1665</v>
      </c>
      <c r="E750" s="1">
        <v>1</v>
      </c>
      <c r="F750" s="15" t="s">
        <v>761</v>
      </c>
      <c r="G750" s="15" t="s">
        <v>1667</v>
      </c>
      <c r="H750" s="15" t="s">
        <v>1668</v>
      </c>
      <c r="I750" s="1">
        <v>2014</v>
      </c>
      <c r="J750" s="15" t="s">
        <v>1120</v>
      </c>
      <c r="K750" s="1">
        <v>2012</v>
      </c>
      <c r="L750" s="15" t="s">
        <v>1669</v>
      </c>
      <c r="M750" s="15" t="s">
        <v>648</v>
      </c>
      <c r="N750" s="15" t="s">
        <v>1125</v>
      </c>
      <c r="O750" s="31">
        <v>2</v>
      </c>
      <c r="P750" s="15">
        <v>-23.56</v>
      </c>
      <c r="Q750" s="15">
        <v>-46.59</v>
      </c>
      <c r="T750" s="15">
        <v>20</v>
      </c>
      <c r="U750" s="15" t="s">
        <v>807</v>
      </c>
      <c r="V750" s="31">
        <v>2</v>
      </c>
      <c r="W750" s="15" t="s">
        <v>1169</v>
      </c>
      <c r="X750" s="15" t="s">
        <v>1147</v>
      </c>
      <c r="Y750" s="1">
        <v>5</v>
      </c>
      <c r="Z750" s="15">
        <v>5.5</v>
      </c>
      <c r="AA750" s="15" t="s">
        <v>663</v>
      </c>
      <c r="AB750" s="15">
        <f>Z750+0.77</f>
        <v>6.27</v>
      </c>
      <c r="AC750" s="1">
        <v>5</v>
      </c>
      <c r="AF750" s="15">
        <v>1.1499999999999999</v>
      </c>
      <c r="AH750" s="15">
        <v>25.79</v>
      </c>
      <c r="AJ750" s="15">
        <v>73.400000000000006</v>
      </c>
      <c r="AK750" s="15">
        <v>10</v>
      </c>
      <c r="AL750" s="15">
        <v>16.600000000000001</v>
      </c>
      <c r="AM750" s="1">
        <v>1</v>
      </c>
      <c r="AP750" s="15" t="s">
        <v>1670</v>
      </c>
      <c r="AQ750" s="1">
        <v>1</v>
      </c>
      <c r="AR750" s="1">
        <v>4</v>
      </c>
      <c r="AT750" s="15" t="s">
        <v>993</v>
      </c>
      <c r="AU750" s="15">
        <v>33</v>
      </c>
      <c r="AV750" s="15">
        <v>14</v>
      </c>
      <c r="AW750" s="15">
        <v>2.85</v>
      </c>
      <c r="AX750" s="15">
        <f>AW750*1000*4*1.09/1.8</f>
        <v>6903.3333333333339</v>
      </c>
      <c r="AY750" s="15" t="s">
        <v>766</v>
      </c>
      <c r="AZ750" s="15">
        <f t="shared" si="670"/>
        <v>6903.3333333333339</v>
      </c>
      <c r="BA750" s="15">
        <f t="shared" si="671"/>
        <v>2.35608646188851</v>
      </c>
      <c r="BB750" s="15">
        <f t="shared" si="672"/>
        <v>4142</v>
      </c>
      <c r="FK750" s="16">
        <f>FM750+0.77</f>
        <v>5.4</v>
      </c>
      <c r="FL750" s="16">
        <f>FP750+0.77</f>
        <v>7.17</v>
      </c>
      <c r="FM750" s="15">
        <v>4.63</v>
      </c>
      <c r="FN750" s="15">
        <f>FM750*0.02</f>
        <v>9.2600000000000002E-2</v>
      </c>
      <c r="FO750" s="15">
        <f>FN750*SQRT(AR750)</f>
        <v>0.1852</v>
      </c>
      <c r="FP750" s="15">
        <v>6.4</v>
      </c>
      <c r="FQ750" s="15">
        <f>FP750*0.02</f>
        <v>0.128</v>
      </c>
      <c r="FR750" s="15">
        <f>FQ750*SQRT(AR750)</f>
        <v>0.25600000000000001</v>
      </c>
      <c r="FS750" s="15">
        <f t="shared" si="640"/>
        <v>1.3822894168466524</v>
      </c>
      <c r="FT750" s="15">
        <f t="shared" si="641"/>
        <v>1.7700000000000005</v>
      </c>
      <c r="FU750" s="15">
        <f t="shared" si="642"/>
        <v>0.32374112226748353</v>
      </c>
      <c r="FV750" s="15">
        <f>((FR750*FR750)/(AR750*FP750*FP750)+(FO750*FO750)/(AR750*FM750*FM750))</f>
        <v>7.9999999999999993E-4</v>
      </c>
      <c r="GI750" s="15">
        <v>1.1499999999999999</v>
      </c>
      <c r="GJ750" s="15">
        <f>GI750*0.0903</f>
        <v>0.10384499999999999</v>
      </c>
      <c r="GK750" s="15">
        <f>GJ750*SQRT(AR161)</f>
        <v>0.17986481611199004</v>
      </c>
      <c r="GL750" s="15">
        <v>4.55</v>
      </c>
      <c r="GM750" s="15">
        <f>GL750*0.0903</f>
        <v>0.41086499999999998</v>
      </c>
      <c r="GN750" s="15">
        <f>GM750*SQRT(AR161)</f>
        <v>0.71163905505178671</v>
      </c>
      <c r="GO750" s="15">
        <f t="shared" si="659"/>
        <v>3.956521739130435</v>
      </c>
      <c r="GP750" s="15">
        <f t="shared" si="660"/>
        <v>3.4</v>
      </c>
      <c r="GQ750" s="15">
        <f t="shared" si="661"/>
        <v>1.3753652905877005</v>
      </c>
      <c r="GR750" s="15">
        <f>((GN750*GN750)/(AR161*GL750*GL750)+(GK750*GK750)/(AR161*GI750*GI750))</f>
        <v>1.6308179999999999E-2</v>
      </c>
      <c r="GT750" s="15">
        <v>25.79</v>
      </c>
      <c r="GU750" s="15">
        <f>GT750*0.0513</f>
        <v>1.323027</v>
      </c>
      <c r="GV750" s="15">
        <f>GU750*SQRT(AR151)</f>
        <v>2.291549983785429</v>
      </c>
      <c r="GW750" s="15">
        <v>82.85</v>
      </c>
      <c r="GX750" s="15">
        <f>GW750*0.0513</f>
        <v>4.2502049999999993</v>
      </c>
      <c r="GY750" s="15">
        <f>GX750*SQRT(AR151)</f>
        <v>7.3615710025832781</v>
      </c>
      <c r="GZ750" s="15">
        <f t="shared" si="665"/>
        <v>3.2124854594804186</v>
      </c>
      <c r="HA750" s="15">
        <f t="shared" si="666"/>
        <v>57.059999999999995</v>
      </c>
      <c r="HB750" s="15">
        <f t="shared" si="667"/>
        <v>1.1670449239793186</v>
      </c>
      <c r="HC750" s="15">
        <f>((GY750*GY750)/(AR750*GW750*GW750)+(GV750*GV750)/(AR750*GT750*GT750))</f>
        <v>3.9475349999999985E-3</v>
      </c>
      <c r="HE750" s="15">
        <v>9.33</v>
      </c>
      <c r="HF750" s="15">
        <f>HE750*0.0815</f>
        <v>0.76039500000000004</v>
      </c>
      <c r="HG750" s="15">
        <f>HF750*SQRT(AR440)</f>
        <v>1.8625797529636146</v>
      </c>
      <c r="HH750" s="15">
        <v>6.25</v>
      </c>
      <c r="HI750" s="15">
        <f>HH750*0.0815</f>
        <v>0.50937500000000002</v>
      </c>
      <c r="HJ750" s="15">
        <f>HI750*SQRT(AR440)</f>
        <v>1.2477088377301813</v>
      </c>
      <c r="HK750" s="15">
        <f t="shared" si="650"/>
        <v>0.66988210075026799</v>
      </c>
      <c r="HL750" s="15">
        <f t="shared" si="651"/>
        <v>-3.08</v>
      </c>
      <c r="HM750" s="15">
        <f t="shared" si="652"/>
        <v>-0.40065355111094236</v>
      </c>
      <c r="HN750" s="15">
        <f>((HJ750*HJ750)/(AR440*HH750*HH750)+(HG750*HG750)/(AR440*HE750*HE750))</f>
        <v>1.3284499999999998E-2</v>
      </c>
      <c r="HP750" s="15" t="s">
        <v>1186</v>
      </c>
      <c r="HV750" s="15">
        <f t="shared" si="653"/>
        <v>-103.38108793781952</v>
      </c>
      <c r="HW750" s="15">
        <f t="shared" si="654"/>
        <v>-0.40065355111094236</v>
      </c>
      <c r="HX750" s="15">
        <f>BB750</f>
        <v>4142</v>
      </c>
      <c r="HY750" s="15">
        <f>AZ750</f>
        <v>6903.3333333333339</v>
      </c>
      <c r="HZ750" s="15">
        <f>BA750</f>
        <v>2.35608646188851</v>
      </c>
      <c r="IA750" s="15">
        <f>BB750</f>
        <v>4142</v>
      </c>
    </row>
    <row r="751" spans="1:235" s="15" customFormat="1" x14ac:dyDescent="0.25">
      <c r="A751" s="31">
        <v>749</v>
      </c>
      <c r="B751" s="1">
        <v>110</v>
      </c>
      <c r="C751" s="1">
        <v>130</v>
      </c>
      <c r="D751" s="15" t="s">
        <v>1666</v>
      </c>
      <c r="E751" s="1">
        <v>1</v>
      </c>
      <c r="F751" s="15" t="s">
        <v>761</v>
      </c>
      <c r="G751" s="15" t="s">
        <v>1667</v>
      </c>
      <c r="H751" s="15" t="s">
        <v>1668</v>
      </c>
      <c r="I751" s="1">
        <v>2014</v>
      </c>
      <c r="J751" s="15" t="s">
        <v>1120</v>
      </c>
      <c r="K751" s="1">
        <v>2012</v>
      </c>
      <c r="L751" s="15" t="s">
        <v>1669</v>
      </c>
      <c r="M751" s="15" t="s">
        <v>648</v>
      </c>
      <c r="N751" s="15" t="s">
        <v>1125</v>
      </c>
      <c r="O751" s="31">
        <v>2</v>
      </c>
      <c r="P751" s="15">
        <v>-23.56</v>
      </c>
      <c r="Q751" s="15">
        <v>-46.59</v>
      </c>
      <c r="T751" s="15">
        <v>20</v>
      </c>
      <c r="U751" s="15" t="s">
        <v>807</v>
      </c>
      <c r="V751" s="31">
        <v>2</v>
      </c>
      <c r="W751" s="15" t="s">
        <v>1169</v>
      </c>
      <c r="X751" s="15" t="s">
        <v>1147</v>
      </c>
      <c r="Y751" s="1">
        <v>5</v>
      </c>
      <c r="Z751" s="15">
        <v>5.5</v>
      </c>
      <c r="AA751" s="15" t="s">
        <v>663</v>
      </c>
      <c r="AB751" s="15">
        <f>Z751+0.77</f>
        <v>6.27</v>
      </c>
      <c r="AC751" s="1">
        <v>5</v>
      </c>
      <c r="AF751" s="15">
        <v>1.1499999999999999</v>
      </c>
      <c r="AH751" s="15">
        <v>25.79</v>
      </c>
      <c r="AJ751" s="15">
        <v>73.400000000000006</v>
      </c>
      <c r="AK751" s="15">
        <v>10</v>
      </c>
      <c r="AL751" s="15">
        <v>16.600000000000001</v>
      </c>
      <c r="AM751" s="1">
        <v>1</v>
      </c>
      <c r="AP751" s="15" t="s">
        <v>1670</v>
      </c>
      <c r="AQ751" s="1">
        <v>1</v>
      </c>
      <c r="AR751" s="1">
        <v>4</v>
      </c>
      <c r="AT751" s="15" t="s">
        <v>993</v>
      </c>
      <c r="AU751" s="15">
        <v>33</v>
      </c>
      <c r="AV751" s="15">
        <v>14</v>
      </c>
      <c r="AW751" s="15">
        <v>4.28</v>
      </c>
      <c r="AX751" s="15">
        <f>AW751*1000*4*1.09/1.8</f>
        <v>10367.111111111113</v>
      </c>
      <c r="AY751" s="15" t="s">
        <v>766</v>
      </c>
      <c r="AZ751" s="15">
        <f t="shared" si="670"/>
        <v>10367.111111111113</v>
      </c>
      <c r="BA751" s="15">
        <f t="shared" si="671"/>
        <v>3.5382631778536218</v>
      </c>
      <c r="BB751" s="15">
        <f t="shared" si="672"/>
        <v>6220.2666666666673</v>
      </c>
      <c r="FK751" s="16">
        <f>FM751+0.77</f>
        <v>5.4</v>
      </c>
      <c r="FL751" s="16">
        <f>FP751+0.77</f>
        <v>7.4</v>
      </c>
      <c r="FM751" s="15">
        <v>4.63</v>
      </c>
      <c r="FN751" s="15">
        <f>FM751*0.02</f>
        <v>9.2600000000000002E-2</v>
      </c>
      <c r="FO751" s="15">
        <f>FN751*SQRT(AR751)</f>
        <v>0.1852</v>
      </c>
      <c r="FP751" s="15">
        <v>6.63</v>
      </c>
      <c r="FQ751" s="15">
        <f>FP751*0.02</f>
        <v>0.1326</v>
      </c>
      <c r="FR751" s="15">
        <f>FQ751*SQRT(AR751)</f>
        <v>0.26519999999999999</v>
      </c>
      <c r="FS751" s="15">
        <f t="shared" si="640"/>
        <v>1.4319654427645789</v>
      </c>
      <c r="FT751" s="15">
        <f t="shared" si="641"/>
        <v>2</v>
      </c>
      <c r="FU751" s="15">
        <f t="shared" si="642"/>
        <v>0.35904793609962837</v>
      </c>
      <c r="FV751" s="15">
        <f>((FR751*FR751)/(AR751*FP751*FP751)+(FO751*FO751)/(AR751*FM751*FM751))</f>
        <v>8.0000000000000015E-4</v>
      </c>
      <c r="GI751" s="15">
        <v>1.1499999999999999</v>
      </c>
      <c r="GJ751" s="15">
        <f>GI751*0.0903</f>
        <v>0.10384499999999999</v>
      </c>
      <c r="GK751" s="15">
        <f>GJ751*SQRT(AR162)</f>
        <v>0.17986481611199004</v>
      </c>
      <c r="GL751" s="15">
        <v>5.24</v>
      </c>
      <c r="GM751" s="15">
        <f>GL751*0.0903</f>
        <v>0.47317200000000004</v>
      </c>
      <c r="GN751" s="15">
        <f>GM751*SQRT(AR162)</f>
        <v>0.8195579447189808</v>
      </c>
      <c r="GO751" s="15">
        <f t="shared" si="659"/>
        <v>4.5565217391304351</v>
      </c>
      <c r="GP751" s="15">
        <f t="shared" si="660"/>
        <v>4.09</v>
      </c>
      <c r="GQ751" s="15">
        <f t="shared" si="661"/>
        <v>1.5165595559577922</v>
      </c>
      <c r="GR751" s="15">
        <f>((GN751*GN751)/(AR162*GL751*GL751)+(GK751*GK751)/(AR162*GI751*GI751))</f>
        <v>1.6308179999999999E-2</v>
      </c>
      <c r="GT751" s="15">
        <v>25.79</v>
      </c>
      <c r="GU751" s="15">
        <f>GT751*0.0513</f>
        <v>1.323027</v>
      </c>
      <c r="GV751" s="15">
        <f>GU751*SQRT(AR152)</f>
        <v>2.291549983785429</v>
      </c>
      <c r="GW751" s="15">
        <v>92.42</v>
      </c>
      <c r="GX751" s="15">
        <f>GW751*0.0513</f>
        <v>4.7411459999999996</v>
      </c>
      <c r="GY751" s="15">
        <f>GX751*SQRT(AR152)</f>
        <v>8.2119057581019508</v>
      </c>
      <c r="GZ751" s="15">
        <f t="shared" si="665"/>
        <v>3.5835595191934861</v>
      </c>
      <c r="HA751" s="15">
        <f t="shared" si="666"/>
        <v>66.63</v>
      </c>
      <c r="HB751" s="15">
        <f t="shared" si="667"/>
        <v>1.276356585548867</v>
      </c>
      <c r="HC751" s="15">
        <f>((GY751*GY751)/(AR751*GW751*GW751)+(GV751*GV751)/(AR751*GT751*GT751))</f>
        <v>3.9475349999999985E-3</v>
      </c>
      <c r="HE751" s="15">
        <v>10.33</v>
      </c>
      <c r="HF751" s="15">
        <f>HE751*0.0815</f>
        <v>0.84189500000000006</v>
      </c>
      <c r="HG751" s="15">
        <f>HF751*SQRT(AR441)</f>
        <v>2.0622131670004435</v>
      </c>
      <c r="HH751" s="15">
        <v>2.67</v>
      </c>
      <c r="HI751" s="15">
        <f>HH751*0.0815</f>
        <v>0.21760499999999999</v>
      </c>
      <c r="HJ751" s="15">
        <f>HI751*SQRT(AR441)</f>
        <v>0.53302121547833337</v>
      </c>
      <c r="HK751" s="15">
        <f t="shared" si="650"/>
        <v>0.25847047434656339</v>
      </c>
      <c r="HL751" s="15">
        <f t="shared" si="651"/>
        <v>-7.66</v>
      </c>
      <c r="HM751" s="15">
        <f t="shared" si="652"/>
        <v>-1.3529738107193889</v>
      </c>
      <c r="HN751" s="15">
        <f>((HJ751*HJ751)/(AR441*HH751*HH751)+(HG751*HG751)/(AR441*HE751*HE751))</f>
        <v>1.3284499999999998E-2</v>
      </c>
      <c r="HP751" s="15" t="s">
        <v>1186</v>
      </c>
      <c r="HV751" s="15">
        <f t="shared" si="653"/>
        <v>-45.974775101960716</v>
      </c>
      <c r="HW751" s="15">
        <f t="shared" si="654"/>
        <v>-1.3529738107193889</v>
      </c>
      <c r="HX751" s="15">
        <f>BB751</f>
        <v>6220.2666666666673</v>
      </c>
      <c r="HY751" s="15">
        <f>AZ751</f>
        <v>10367.111111111113</v>
      </c>
      <c r="HZ751" s="15">
        <f>BA751</f>
        <v>3.5382631778536218</v>
      </c>
      <c r="IA751" s="15">
        <f>BB751</f>
        <v>6220.2666666666673</v>
      </c>
    </row>
    <row r="752" spans="1:235" s="15" customFormat="1" x14ac:dyDescent="0.25">
      <c r="A752" s="31">
        <v>750</v>
      </c>
      <c r="B752" s="1">
        <v>111</v>
      </c>
      <c r="C752" s="1">
        <v>131</v>
      </c>
      <c r="D752" s="15" t="s">
        <v>1671</v>
      </c>
      <c r="E752" s="1">
        <v>1</v>
      </c>
      <c r="F752" s="15" t="s">
        <v>761</v>
      </c>
      <c r="G752" s="15" t="s">
        <v>1674</v>
      </c>
      <c r="H752" s="15" t="s">
        <v>1359</v>
      </c>
      <c r="I752" s="1">
        <v>2018</v>
      </c>
      <c r="J752" s="15" t="s">
        <v>1675</v>
      </c>
      <c r="K752" s="1">
        <v>2017</v>
      </c>
      <c r="L752" s="15" t="s">
        <v>1641</v>
      </c>
      <c r="M752" s="15" t="s">
        <v>480</v>
      </c>
      <c r="N752" s="15" t="s">
        <v>520</v>
      </c>
      <c r="O752" s="31">
        <v>2</v>
      </c>
      <c r="P752" s="15">
        <v>22.84</v>
      </c>
      <c r="Q752" s="15">
        <v>108.29</v>
      </c>
      <c r="S752" s="15">
        <v>1300</v>
      </c>
      <c r="T752" s="15">
        <v>21.7</v>
      </c>
      <c r="U752" s="15" t="s">
        <v>549</v>
      </c>
      <c r="V752" s="31">
        <v>1</v>
      </c>
      <c r="W752" s="15" t="s">
        <v>1219</v>
      </c>
      <c r="X752" s="15" t="s">
        <v>1676</v>
      </c>
      <c r="Y752" s="1">
        <v>2</v>
      </c>
      <c r="Z752" s="15">
        <v>5.14</v>
      </c>
      <c r="AA752" s="15" t="s">
        <v>574</v>
      </c>
      <c r="AB752" s="15">
        <f>Z752</f>
        <v>5.14</v>
      </c>
      <c r="AC752" s="1">
        <v>3</v>
      </c>
      <c r="AD752" s="15">
        <v>18.78</v>
      </c>
      <c r="AM752" s="1">
        <v>1</v>
      </c>
      <c r="AP752" s="15" t="s">
        <v>697</v>
      </c>
      <c r="AQ752" s="1">
        <v>1</v>
      </c>
      <c r="AR752" s="1">
        <v>3</v>
      </c>
      <c r="AT752" s="15" t="s">
        <v>546</v>
      </c>
      <c r="AW752" s="15">
        <v>2375</v>
      </c>
      <c r="AX752" s="15">
        <f>AW752*1.35</f>
        <v>3206.25</v>
      </c>
      <c r="AY752" s="15" t="s">
        <v>766</v>
      </c>
      <c r="AZ752" s="15">
        <f t="shared" si="670"/>
        <v>3206.25</v>
      </c>
      <c r="BA752" s="15">
        <f t="shared" si="671"/>
        <v>1.0942832764505119</v>
      </c>
      <c r="BB752" s="15">
        <f t="shared" si="672"/>
        <v>1923.75</v>
      </c>
      <c r="FK752" s="16">
        <f>FM752</f>
        <v>5.09</v>
      </c>
      <c r="FL752" s="16">
        <f>FP752</f>
        <v>6.33</v>
      </c>
      <c r="FM752" s="15">
        <v>5.09</v>
      </c>
      <c r="FN752" s="15">
        <v>0.06</v>
      </c>
      <c r="FO752" s="15">
        <f>FN752*SQRT(AR752)</f>
        <v>0.10392304845413262</v>
      </c>
      <c r="FP752" s="15">
        <v>6.33</v>
      </c>
      <c r="FQ752" s="15">
        <v>0.01</v>
      </c>
      <c r="FR752" s="15">
        <f>FQ752*SQRT(AR752)</f>
        <v>1.7320508075688773E-2</v>
      </c>
      <c r="FS752" s="15">
        <f t="shared" si="640"/>
        <v>1.2436149312377212</v>
      </c>
      <c r="FT752" s="15">
        <f t="shared" si="641"/>
        <v>1.2400000000000002</v>
      </c>
      <c r="FU752" s="15">
        <f t="shared" si="642"/>
        <v>0.21802240559365349</v>
      </c>
      <c r="FV752" s="15">
        <f>((FR752*FR752)/(AR752*FP752*FP752)+(FO752*FO752)/(AR752*FM752*FM752))</f>
        <v>1.4144838390648719E-4</v>
      </c>
      <c r="HY752" s="15">
        <f>AZ752</f>
        <v>3206.25</v>
      </c>
      <c r="HZ752" s="15">
        <f>BA752</f>
        <v>1.0942832764505119</v>
      </c>
      <c r="IA752" s="15">
        <f>BB752</f>
        <v>1923.75</v>
      </c>
    </row>
    <row r="753" spans="1:235" s="15" customFormat="1" x14ac:dyDescent="0.25">
      <c r="A753" s="31">
        <v>751</v>
      </c>
      <c r="B753" s="1">
        <v>111</v>
      </c>
      <c r="C753" s="1">
        <v>131</v>
      </c>
      <c r="D753" s="15" t="s">
        <v>1672</v>
      </c>
      <c r="E753" s="1">
        <v>6</v>
      </c>
      <c r="F753" s="15" t="s">
        <v>1673</v>
      </c>
      <c r="G753" s="15" t="s">
        <v>1674</v>
      </c>
      <c r="H753" s="15" t="s">
        <v>1359</v>
      </c>
      <c r="I753" s="1">
        <v>2018</v>
      </c>
      <c r="J753" s="15" t="s">
        <v>1675</v>
      </c>
      <c r="K753" s="1">
        <v>2017</v>
      </c>
      <c r="L753" s="15" t="s">
        <v>1641</v>
      </c>
      <c r="M753" s="15" t="s">
        <v>480</v>
      </c>
      <c r="N753" s="15" t="s">
        <v>520</v>
      </c>
      <c r="O753" s="31">
        <v>2</v>
      </c>
      <c r="P753" s="15">
        <v>22.84</v>
      </c>
      <c r="Q753" s="15">
        <v>108.29</v>
      </c>
      <c r="S753" s="15">
        <v>1300</v>
      </c>
      <c r="T753" s="15">
        <v>21.7</v>
      </c>
      <c r="U753" s="15" t="s">
        <v>549</v>
      </c>
      <c r="V753" s="31">
        <v>1</v>
      </c>
      <c r="W753" s="15" t="s">
        <v>1219</v>
      </c>
      <c r="X753" s="15" t="s">
        <v>1676</v>
      </c>
      <c r="Y753" s="1">
        <v>2</v>
      </c>
      <c r="Z753" s="15">
        <v>5.14</v>
      </c>
      <c r="AA753" s="15" t="s">
        <v>574</v>
      </c>
      <c r="AB753" s="15">
        <f>Z753</f>
        <v>5.14</v>
      </c>
      <c r="AC753" s="1">
        <v>3</v>
      </c>
      <c r="AD753" s="15">
        <v>18.78</v>
      </c>
      <c r="AM753" s="1">
        <v>1</v>
      </c>
      <c r="AP753" s="15" t="s">
        <v>697</v>
      </c>
      <c r="AQ753" s="1">
        <v>1</v>
      </c>
      <c r="AR753" s="1">
        <v>3</v>
      </c>
      <c r="AT753" s="15" t="s">
        <v>546</v>
      </c>
      <c r="AW753" s="15">
        <v>2375</v>
      </c>
      <c r="AX753" s="15">
        <f>AW753*1.35</f>
        <v>3206.25</v>
      </c>
      <c r="AY753" s="15" t="s">
        <v>766</v>
      </c>
      <c r="AZ753" s="15">
        <f t="shared" si="670"/>
        <v>3206.25</v>
      </c>
      <c r="BA753" s="15">
        <f t="shared" si="671"/>
        <v>1.0942832764505119</v>
      </c>
      <c r="BB753" s="15">
        <f t="shared" si="672"/>
        <v>1923.75</v>
      </c>
      <c r="BG753" s="15" t="s">
        <v>1677</v>
      </c>
      <c r="BI753" s="15">
        <f>30*17.4</f>
        <v>522</v>
      </c>
      <c r="BS753" s="15">
        <v>15000</v>
      </c>
      <c r="BT753" s="15">
        <f>BS753</f>
        <v>15000</v>
      </c>
      <c r="BU753" s="15" t="s">
        <v>766</v>
      </c>
      <c r="BY753" s="15">
        <f>BT753</f>
        <v>15000</v>
      </c>
      <c r="BZ753" s="15">
        <f>BY753/1.1/1000</f>
        <v>13.636363636363637</v>
      </c>
      <c r="CA753" s="15">
        <f>BY753*2</f>
        <v>30000</v>
      </c>
      <c r="EW753" s="46">
        <f>AX753+BT753+CF753+DE753+DY753</f>
        <v>18206.25</v>
      </c>
      <c r="EX753" s="46">
        <f>BA753+BZ753+CZ753+DT753+ET753</f>
        <v>14.730646912814148</v>
      </c>
      <c r="EY753" s="46">
        <f>BB753+CA753+DA753+DU753+EU753</f>
        <v>31923.75</v>
      </c>
      <c r="FK753" s="16">
        <f>FM753</f>
        <v>5.09</v>
      </c>
      <c r="FL753" s="16">
        <f>FP753</f>
        <v>6.77</v>
      </c>
      <c r="FM753" s="15">
        <v>5.09</v>
      </c>
      <c r="FN753" s="15">
        <v>0.06</v>
      </c>
      <c r="FO753" s="15">
        <f>FN753*SQRT(AR753)</f>
        <v>0.10392304845413262</v>
      </c>
      <c r="FP753" s="15">
        <v>6.77</v>
      </c>
      <c r="FQ753" s="15">
        <v>7.0000000000000007E-2</v>
      </c>
      <c r="FR753" s="15">
        <f>FQ753*SQRT(AR753)</f>
        <v>0.12124355652982141</v>
      </c>
      <c r="FS753" s="15">
        <f t="shared" si="640"/>
        <v>1.3300589390962672</v>
      </c>
      <c r="FT753" s="15">
        <f t="shared" si="641"/>
        <v>1.6799999999999997</v>
      </c>
      <c r="FU753" s="15">
        <f t="shared" si="642"/>
        <v>0.28522325636175228</v>
      </c>
      <c r="FV753" s="15">
        <f>((FR753*FR753)/(AR753*FP753*FP753)+(FO753*FO753)/(AR753*FM753*FM753))</f>
        <v>2.458627844472332E-4</v>
      </c>
      <c r="HY753" s="15">
        <f>EW753</f>
        <v>18206.25</v>
      </c>
      <c r="HZ753" s="15">
        <f>EX753</f>
        <v>14.730646912814148</v>
      </c>
      <c r="IA753" s="15">
        <f>EY753</f>
        <v>31923.75</v>
      </c>
    </row>
    <row r="754" spans="1:235" s="15" customFormat="1" x14ac:dyDescent="0.25">
      <c r="A754" s="31">
        <v>752</v>
      </c>
      <c r="B754" s="1">
        <v>112</v>
      </c>
      <c r="C754" s="1">
        <v>132</v>
      </c>
      <c r="D754" s="15" t="s">
        <v>1681</v>
      </c>
      <c r="E754" s="1">
        <v>1</v>
      </c>
      <c r="F754" s="15" t="s">
        <v>761</v>
      </c>
      <c r="G754" s="15" t="s">
        <v>1680</v>
      </c>
      <c r="H754" s="15" t="s">
        <v>1679</v>
      </c>
      <c r="I754" s="1">
        <v>1996</v>
      </c>
      <c r="J754" s="15" t="s">
        <v>1678</v>
      </c>
      <c r="K754" s="1" t="s">
        <v>1691</v>
      </c>
      <c r="L754" s="15" t="s">
        <v>1682</v>
      </c>
      <c r="M754" s="15" t="s">
        <v>884</v>
      </c>
      <c r="N754" s="15" t="s">
        <v>1100</v>
      </c>
      <c r="O754" s="31">
        <v>3</v>
      </c>
      <c r="P754" s="15">
        <v>55.17</v>
      </c>
      <c r="Q754" s="15">
        <v>-119.5</v>
      </c>
      <c r="S754" s="15">
        <v>2400</v>
      </c>
      <c r="T754" s="15">
        <v>15</v>
      </c>
      <c r="U754" s="15" t="s">
        <v>549</v>
      </c>
      <c r="V754" s="31">
        <v>1</v>
      </c>
      <c r="W754" s="15" t="s">
        <v>1179</v>
      </c>
      <c r="X754" s="15" t="s">
        <v>1684</v>
      </c>
      <c r="Y754" s="1">
        <v>3</v>
      </c>
      <c r="Z754" s="15">
        <v>5.0999999999999996</v>
      </c>
      <c r="AA754" s="15" t="s">
        <v>663</v>
      </c>
      <c r="AB754" s="15">
        <f>Z754+0.77</f>
        <v>5.8699999999999992</v>
      </c>
      <c r="AC754" s="1">
        <v>4</v>
      </c>
      <c r="AF754" s="15">
        <v>35.6</v>
      </c>
      <c r="AH754" s="15">
        <v>80</v>
      </c>
      <c r="AJ754" s="15">
        <v>40</v>
      </c>
      <c r="AK754" s="15">
        <v>40</v>
      </c>
      <c r="AL754" s="15">
        <v>20</v>
      </c>
      <c r="AM754" s="1">
        <v>1</v>
      </c>
      <c r="AP754" s="15" t="s">
        <v>1683</v>
      </c>
      <c r="AQ754" s="1">
        <v>5</v>
      </c>
      <c r="AR754" s="1">
        <v>3</v>
      </c>
      <c r="AT754" s="15" t="s">
        <v>576</v>
      </c>
      <c r="AW754" s="15">
        <v>2500</v>
      </c>
      <c r="AX754" s="15">
        <f>AW754</f>
        <v>2500</v>
      </c>
      <c r="AY754" s="15" t="s">
        <v>766</v>
      </c>
      <c r="AZ754" s="15">
        <f t="shared" si="670"/>
        <v>2500</v>
      </c>
      <c r="BA754" s="15">
        <f t="shared" si="671"/>
        <v>0.85324232081911255</v>
      </c>
      <c r="BB754" s="15">
        <f t="shared" si="672"/>
        <v>1500</v>
      </c>
      <c r="EZ754" s="15">
        <v>1.1299999999999999</v>
      </c>
      <c r="FA754" s="15">
        <f>EZ754*0.05</f>
        <v>5.6499999999999995E-2</v>
      </c>
      <c r="FB754" s="15">
        <f>FA754*SQRT(AR754)</f>
        <v>9.7860870627641552E-2</v>
      </c>
      <c r="FC754" s="15">
        <v>1.1499999999999999</v>
      </c>
      <c r="FD754" s="15">
        <f>FC754*0.05</f>
        <v>5.7499999999999996E-2</v>
      </c>
      <c r="FE754" s="15">
        <f>FD754*SQRT(AR754)</f>
        <v>9.9592921435210424E-2</v>
      </c>
      <c r="FF754" s="15">
        <f>FC754/EZ754</f>
        <v>1.0176991150442478</v>
      </c>
      <c r="FG754" s="15">
        <f>FC754-EZ754</f>
        <v>2.0000000000000018E-2</v>
      </c>
      <c r="FH754" s="15">
        <f>LN(FC754)-LN(EZ754)</f>
        <v>1.7544309650909515E-2</v>
      </c>
      <c r="FI754" s="15">
        <f>((FE754*FE754)/(AR754*FC754*FC754)+(FB754*FB754)/(AR754*EZ754*EZ754))</f>
        <v>4.9999999999999992E-3</v>
      </c>
      <c r="FK754" s="16">
        <f>FM754+0.77</f>
        <v>5.77</v>
      </c>
      <c r="FL754" s="16">
        <f>FP754+0.77</f>
        <v>6.3699999999999992</v>
      </c>
      <c r="FM754" s="15">
        <v>5</v>
      </c>
      <c r="FN754" s="15">
        <f>FM754*0.05</f>
        <v>0.25</v>
      </c>
      <c r="FO754" s="15">
        <f>FN754*SQRT(AR754)</f>
        <v>0.4330127018922193</v>
      </c>
      <c r="FP754" s="15">
        <v>5.6</v>
      </c>
      <c r="FQ754" s="15">
        <f>FP754*0.05</f>
        <v>0.27999999999999997</v>
      </c>
      <c r="FR754" s="15">
        <f>FQ754*SQRT(AR754)</f>
        <v>0.48497422611928559</v>
      </c>
      <c r="FS754" s="15">
        <f t="shared" si="640"/>
        <v>1.1199999999999999</v>
      </c>
      <c r="FT754" s="15">
        <f t="shared" si="641"/>
        <v>0.59999999999999964</v>
      </c>
      <c r="FU754" s="15">
        <f t="shared" si="642"/>
        <v>0.11332868530700324</v>
      </c>
      <c r="FV754" s="15">
        <f>((FR754*FR754)/(AR754*FP754*FP754)+(FO754*FO754)/(AR754*FM754*FM754))</f>
        <v>4.9999999999999992E-3</v>
      </c>
      <c r="HE754" s="15">
        <v>2240</v>
      </c>
      <c r="HF754" s="15">
        <f>HE754*0.05</f>
        <v>112</v>
      </c>
      <c r="HG754" s="15">
        <f>HF754*SQRT(AR444)</f>
        <v>224</v>
      </c>
      <c r="HH754" s="15">
        <v>2740</v>
      </c>
      <c r="HI754" s="15">
        <f>HH754*0.05</f>
        <v>137</v>
      </c>
      <c r="HJ754" s="15">
        <f>HI754*SQRT(AR444)</f>
        <v>274</v>
      </c>
      <c r="HK754" s="15">
        <f>HH754/HE754</f>
        <v>1.2232142857142858</v>
      </c>
      <c r="HL754" s="15">
        <f>HH754-HE754</f>
        <v>500</v>
      </c>
      <c r="HM754" s="15">
        <f>LN(HH754)-LN(HE754)</f>
        <v>0.20148205453303003</v>
      </c>
      <c r="HN754" s="15">
        <f>((HJ754*HJ754)/(AR444*HH754*HH754)+(HG754*HG754)/(AR444*HE754*HE754))</f>
        <v>5.0000000000000001E-3</v>
      </c>
      <c r="HP754" s="15" t="s">
        <v>766</v>
      </c>
      <c r="HV754" s="15">
        <f>HX754/HW754/100</f>
        <v>74.448317666628569</v>
      </c>
      <c r="HW754" s="15">
        <f>HM754</f>
        <v>0.20148205453303003</v>
      </c>
      <c r="HX754" s="15">
        <f>BB754</f>
        <v>1500</v>
      </c>
      <c r="HY754" s="15">
        <f>AZ754</f>
        <v>2500</v>
      </c>
      <c r="HZ754" s="15">
        <f>BA754</f>
        <v>0.85324232081911255</v>
      </c>
      <c r="IA754" s="15">
        <f>BB754</f>
        <v>1500</v>
      </c>
    </row>
    <row r="755" spans="1:235" s="15" customFormat="1" x14ac:dyDescent="0.25">
      <c r="A755" s="31">
        <v>753</v>
      </c>
      <c r="B755" s="1">
        <v>113</v>
      </c>
      <c r="C755" s="1">
        <v>133</v>
      </c>
      <c r="D755" s="15" t="s">
        <v>1685</v>
      </c>
      <c r="E755" s="1">
        <v>2</v>
      </c>
      <c r="F755" s="15" t="s">
        <v>777</v>
      </c>
      <c r="G755" s="15" t="s">
        <v>1689</v>
      </c>
      <c r="H755" s="15" t="s">
        <v>1690</v>
      </c>
      <c r="I755" s="1">
        <v>2017</v>
      </c>
      <c r="J755" s="15" t="s">
        <v>1692</v>
      </c>
      <c r="K755" s="1" t="s">
        <v>1693</v>
      </c>
      <c r="L755" s="15" t="s">
        <v>1694</v>
      </c>
      <c r="M755" s="15" t="s">
        <v>648</v>
      </c>
      <c r="N755" s="15" t="s">
        <v>1125</v>
      </c>
      <c r="O755" s="31">
        <v>1</v>
      </c>
      <c r="P755" s="15">
        <v>-14.593</v>
      </c>
      <c r="Q755" s="15">
        <v>-52.4</v>
      </c>
      <c r="S755" s="15">
        <v>1400</v>
      </c>
      <c r="T755" s="15">
        <v>26</v>
      </c>
      <c r="U755" s="15" t="s">
        <v>549</v>
      </c>
      <c r="V755" s="31">
        <v>1</v>
      </c>
      <c r="W755" s="15" t="s">
        <v>1164</v>
      </c>
      <c r="X755" s="15" t="s">
        <v>1147</v>
      </c>
      <c r="Y755" s="1">
        <v>5</v>
      </c>
      <c r="Z755" s="15">
        <v>5.6</v>
      </c>
      <c r="AA755" s="15" t="s">
        <v>574</v>
      </c>
      <c r="AB755" s="15">
        <f t="shared" ref="AB755:AB818" si="673">Z755</f>
        <v>5.6</v>
      </c>
      <c r="AC755" s="1">
        <v>4</v>
      </c>
      <c r="AD755" s="15">
        <f>11.9*1.74</f>
        <v>20.706</v>
      </c>
      <c r="AF755" s="15">
        <f>1.6+1.4+0.4+0.18</f>
        <v>3.58</v>
      </c>
      <c r="AJ755" s="15">
        <v>31</v>
      </c>
      <c r="AK755" s="15">
        <v>7</v>
      </c>
      <c r="AL755" s="15">
        <v>62</v>
      </c>
      <c r="AM755" s="1">
        <v>3</v>
      </c>
      <c r="AP755" s="15" t="s">
        <v>697</v>
      </c>
      <c r="AQ755" s="1">
        <v>1</v>
      </c>
      <c r="AR755" s="1">
        <v>3</v>
      </c>
      <c r="CC755" s="15" t="s">
        <v>1695</v>
      </c>
      <c r="CE755" s="15">
        <v>2000</v>
      </c>
      <c r="CF755" s="15">
        <f>CE755</f>
        <v>2000</v>
      </c>
      <c r="CG755" s="15" t="s">
        <v>766</v>
      </c>
      <c r="CH755" s="15">
        <v>7.9</v>
      </c>
      <c r="CK755" s="15">
        <v>510</v>
      </c>
      <c r="CP755" s="15">
        <v>4.3</v>
      </c>
      <c r="CQ755" s="15">
        <v>0.6</v>
      </c>
      <c r="CR755" s="15">
        <v>2.5</v>
      </c>
      <c r="CY755" s="25">
        <f t="shared" ref="CY755:CY771" si="674">CF755</f>
        <v>2000</v>
      </c>
      <c r="CZ755" s="25">
        <f t="shared" ref="CZ755:CZ771" si="675">CY755/0.78/1000</f>
        <v>2.5641025641025639</v>
      </c>
      <c r="DA755" s="25">
        <f t="shared" ref="DA755:DA771" si="676">CY755*3</f>
        <v>6000</v>
      </c>
      <c r="FK755" s="16">
        <f t="shared" ref="FK755:FK818" si="677">FM755</f>
        <v>5.6</v>
      </c>
      <c r="FL755" s="16">
        <f t="shared" ref="FL755:FL818" si="678">FP755</f>
        <v>5.63</v>
      </c>
      <c r="FM755" s="15">
        <v>5.6</v>
      </c>
      <c r="FN755" s="15">
        <v>0.1</v>
      </c>
      <c r="FO755" s="15">
        <f>FN755*SQRT(AR755)</f>
        <v>0.17320508075688773</v>
      </c>
      <c r="FP755" s="15">
        <v>5.63</v>
      </c>
      <c r="FQ755" s="15">
        <v>0.1</v>
      </c>
      <c r="FR755" s="15">
        <f>FQ755*SQRT(AR755)</f>
        <v>0.17320508075688773</v>
      </c>
      <c r="FS755" s="15">
        <f t="shared" si="640"/>
        <v>1.0053571428571428</v>
      </c>
      <c r="FT755" s="15">
        <f t="shared" si="641"/>
        <v>3.0000000000000249E-2</v>
      </c>
      <c r="FU755" s="15">
        <f t="shared" si="642"/>
        <v>5.3428444104954842E-3</v>
      </c>
      <c r="FV755" s="15">
        <f>((FR755*FR755)/(AR755*FP755*FP755)+(FO755*FO755)/(AR755*FM755*FM755))</f>
        <v>6.3436581643437607E-4</v>
      </c>
      <c r="FX755" s="15">
        <v>38.854199999999999</v>
      </c>
      <c r="FY755" s="15">
        <v>3.1320000000000001</v>
      </c>
      <c r="FZ755" s="15">
        <f>FY755*SQRT(AR755)</f>
        <v>5.4247831293057232</v>
      </c>
      <c r="GA755" s="15">
        <v>39.845999999999997</v>
      </c>
      <c r="GB755" s="15">
        <v>2.7840000000000003</v>
      </c>
      <c r="GC755" s="15">
        <f>GB755*SQRT(AR755)</f>
        <v>4.8220294482717545</v>
      </c>
      <c r="GD755" s="15">
        <f t="shared" ref="GD755:GD779" si="679">GA755/FX755</f>
        <v>1.025526197939991</v>
      </c>
      <c r="GE755" s="15">
        <f t="shared" ref="GE755:GE779" si="680">GA755-FX755</f>
        <v>0.99179999999999779</v>
      </c>
      <c r="GF755" s="15">
        <f t="shared" ref="GF755:GF779" si="681">LN(GA755)-LN(FX755)</f>
        <v>2.5205844708127145E-2</v>
      </c>
      <c r="GG755" s="15">
        <f>((GC755*GC755)/(AR755*GA755*GA755)+(FZ755*FZ755)/(AR755*FX755*FX755))</f>
        <v>1.1379494868180358E-2</v>
      </c>
      <c r="HE755" s="15">
        <v>2856</v>
      </c>
      <c r="HF755" s="15">
        <v>45</v>
      </c>
      <c r="HG755" s="15">
        <f>HF755*SQRT(AR445)</f>
        <v>90</v>
      </c>
      <c r="HH755" s="15">
        <v>2890</v>
      </c>
      <c r="HI755" s="15">
        <v>40</v>
      </c>
      <c r="HJ755" s="15">
        <f>HI755*SQRT(AR445)</f>
        <v>80</v>
      </c>
      <c r="HK755" s="15">
        <f>HH755/HE755</f>
        <v>1.0119047619047619</v>
      </c>
      <c r="HL755" s="15">
        <f>HH755-HE755</f>
        <v>34</v>
      </c>
      <c r="HM755" s="15">
        <f>LN(HH755)-LN(HE755)</f>
        <v>1.1834457647003305E-2</v>
      </c>
      <c r="HN755" s="15">
        <f>((HJ755*HJ755)/(AR445*HH755*HH755)+(HG755*HG755)/(AR445*HE755*HE755))</f>
        <v>4.3982965667439377E-4</v>
      </c>
      <c r="HP755" s="15" t="s">
        <v>766</v>
      </c>
      <c r="HV755" s="15">
        <f>HX755/HW755/100</f>
        <v>5069.9408278496876</v>
      </c>
      <c r="HW755" s="15">
        <f>HM755</f>
        <v>1.1834457647003305E-2</v>
      </c>
      <c r="HX755" s="25">
        <f>DA755</f>
        <v>6000</v>
      </c>
      <c r="HY755" s="25">
        <f>CY755</f>
        <v>2000</v>
      </c>
      <c r="HZ755" s="25">
        <f>CZ755</f>
        <v>2.5641025641025639</v>
      </c>
      <c r="IA755" s="25">
        <f>DA755</f>
        <v>6000</v>
      </c>
    </row>
    <row r="756" spans="1:235" s="15" customFormat="1" x14ac:dyDescent="0.25">
      <c r="A756" s="31">
        <v>754</v>
      </c>
      <c r="B756" s="1">
        <v>113</v>
      </c>
      <c r="C756" s="1">
        <v>133</v>
      </c>
      <c r="D756" s="15" t="s">
        <v>1686</v>
      </c>
      <c r="E756" s="1">
        <v>2</v>
      </c>
      <c r="F756" s="15" t="s">
        <v>777</v>
      </c>
      <c r="G756" s="15" t="s">
        <v>1689</v>
      </c>
      <c r="H756" s="15" t="s">
        <v>1690</v>
      </c>
      <c r="I756" s="1">
        <v>2017</v>
      </c>
      <c r="J756" s="15" t="s">
        <v>1692</v>
      </c>
      <c r="K756" s="1" t="s">
        <v>1693</v>
      </c>
      <c r="L756" s="15" t="s">
        <v>1694</v>
      </c>
      <c r="M756" s="15" t="s">
        <v>648</v>
      </c>
      <c r="N756" s="15" t="s">
        <v>1125</v>
      </c>
      <c r="O756" s="31">
        <v>1</v>
      </c>
      <c r="P756" s="15">
        <v>-14.593</v>
      </c>
      <c r="Q756" s="15">
        <v>-52.4</v>
      </c>
      <c r="S756" s="15">
        <v>1400</v>
      </c>
      <c r="T756" s="15">
        <v>26</v>
      </c>
      <c r="U756" s="15" t="s">
        <v>549</v>
      </c>
      <c r="V756" s="31">
        <v>1</v>
      </c>
      <c r="W756" s="15" t="s">
        <v>1164</v>
      </c>
      <c r="X756" s="15" t="s">
        <v>1147</v>
      </c>
      <c r="Y756" s="1">
        <v>5</v>
      </c>
      <c r="Z756" s="15">
        <v>5.6</v>
      </c>
      <c r="AA756" s="15" t="s">
        <v>574</v>
      </c>
      <c r="AB756" s="15">
        <f t="shared" si="673"/>
        <v>5.6</v>
      </c>
      <c r="AC756" s="1">
        <v>4</v>
      </c>
      <c r="AD756" s="15">
        <f>11.9*1.74</f>
        <v>20.706</v>
      </c>
      <c r="AF756" s="15">
        <f>1.6+1.4+0.4+0.18</f>
        <v>3.58</v>
      </c>
      <c r="AJ756" s="15">
        <v>31</v>
      </c>
      <c r="AK756" s="15">
        <v>7</v>
      </c>
      <c r="AL756" s="15">
        <v>62</v>
      </c>
      <c r="AM756" s="1">
        <v>3</v>
      </c>
      <c r="AP756" s="15" t="s">
        <v>697</v>
      </c>
      <c r="AQ756" s="1">
        <v>1</v>
      </c>
      <c r="AR756" s="1">
        <v>3</v>
      </c>
      <c r="CC756" s="15" t="s">
        <v>1695</v>
      </c>
      <c r="CE756" s="15">
        <v>4000</v>
      </c>
      <c r="CF756" s="15">
        <f>CE756</f>
        <v>4000</v>
      </c>
      <c r="CG756" s="15" t="s">
        <v>766</v>
      </c>
      <c r="CH756" s="15">
        <v>7.9</v>
      </c>
      <c r="CK756" s="15">
        <v>510</v>
      </c>
      <c r="CP756" s="15">
        <v>4.3</v>
      </c>
      <c r="CQ756" s="15">
        <v>0.6</v>
      </c>
      <c r="CR756" s="15">
        <v>2.5</v>
      </c>
      <c r="CY756" s="25">
        <f t="shared" si="674"/>
        <v>4000</v>
      </c>
      <c r="CZ756" s="25">
        <f t="shared" si="675"/>
        <v>5.1282051282051277</v>
      </c>
      <c r="DA756" s="25">
        <f t="shared" si="676"/>
        <v>12000</v>
      </c>
      <c r="FK756" s="16">
        <f t="shared" si="677"/>
        <v>5.6</v>
      </c>
      <c r="FL756" s="16">
        <f t="shared" si="678"/>
        <v>5.71</v>
      </c>
      <c r="FM756" s="15">
        <v>5.6</v>
      </c>
      <c r="FN756" s="15">
        <v>0.1</v>
      </c>
      <c r="FO756" s="15">
        <f>FN756*SQRT(AR756)</f>
        <v>0.17320508075688773</v>
      </c>
      <c r="FP756" s="15">
        <v>5.71</v>
      </c>
      <c r="FQ756" s="15">
        <v>0.08</v>
      </c>
      <c r="FR756" s="15">
        <f>FQ756*SQRT(AR756)</f>
        <v>0.13856406460551018</v>
      </c>
      <c r="FS756" s="15">
        <f t="shared" si="640"/>
        <v>1.0196428571428573</v>
      </c>
      <c r="FT756" s="15">
        <f t="shared" si="641"/>
        <v>0.11000000000000032</v>
      </c>
      <c r="FU756" s="15">
        <f t="shared" si="642"/>
        <v>1.9452425926815398E-2</v>
      </c>
      <c r="FV756" s="15">
        <f>((FR756*FR756)/(AR756*FP756*FP756)+(FO756*FO756)/(AR756*FM756*FM756))</f>
        <v>5.1517188210146862E-4</v>
      </c>
      <c r="FX756" s="15">
        <v>38.854199999999999</v>
      </c>
      <c r="FY756" s="15">
        <v>3.1320000000000001</v>
      </c>
      <c r="FZ756" s="15">
        <f>FY756*SQRT(AR756)</f>
        <v>5.4247831293057232</v>
      </c>
      <c r="GA756" s="15">
        <v>40.194000000000003</v>
      </c>
      <c r="GB756" s="15">
        <v>2.9057999999999997</v>
      </c>
      <c r="GC756" s="15">
        <f>GB756*SQRT(AR756)</f>
        <v>5.0329932366336427</v>
      </c>
      <c r="GD756" s="15">
        <f t="shared" si="679"/>
        <v>1.0344827586206897</v>
      </c>
      <c r="GE756" s="15">
        <f t="shared" si="680"/>
        <v>1.3398000000000039</v>
      </c>
      <c r="GF756" s="15">
        <f t="shared" si="681"/>
        <v>3.3901551675681318E-2</v>
      </c>
      <c r="GG756" s="15">
        <f>((GC756*GC756)/(AR756*GA756*GA756)+(FZ756*FZ756)/(AR756*FX756*FX756))</f>
        <v>1.1724294582827246E-2</v>
      </c>
      <c r="HE756" s="15">
        <v>2856</v>
      </c>
      <c r="HF756" s="15">
        <v>45</v>
      </c>
      <c r="HG756" s="15">
        <f>HF756*SQRT(AR446)</f>
        <v>90</v>
      </c>
      <c r="HH756" s="15">
        <v>2935</v>
      </c>
      <c r="HI756" s="15">
        <v>42</v>
      </c>
      <c r="HJ756" s="15">
        <f>HI756*SQRT(AR446)</f>
        <v>84</v>
      </c>
      <c r="HK756" s="15">
        <f>HH756/HE756</f>
        <v>1.0276610644257702</v>
      </c>
      <c r="HL756" s="15">
        <f>HH756-HE756</f>
        <v>79</v>
      </c>
      <c r="HM756" s="15">
        <f>LN(HH756)-LN(HE756)</f>
        <v>2.7285408802721456E-2</v>
      </c>
      <c r="HN756" s="15">
        <f>((HJ756*HJ756)/(AR446*HH756*HH756)+(HG756*HG756)/(AR446*HE756*HE756))</f>
        <v>4.5303863182780016E-4</v>
      </c>
      <c r="HP756" s="15" t="s">
        <v>766</v>
      </c>
      <c r="HV756" s="15">
        <f>HX756/HW756/100</f>
        <v>4397.9549973988724</v>
      </c>
      <c r="HW756" s="15">
        <f>HM756</f>
        <v>2.7285408802721456E-2</v>
      </c>
      <c r="HX756" s="25">
        <f>DA756</f>
        <v>12000</v>
      </c>
      <c r="HY756" s="25">
        <f>CY756</f>
        <v>4000</v>
      </c>
      <c r="HZ756" s="25">
        <f>CZ756</f>
        <v>5.1282051282051277</v>
      </c>
      <c r="IA756" s="25">
        <f>DA756</f>
        <v>12000</v>
      </c>
    </row>
    <row r="757" spans="1:235" s="15" customFormat="1" x14ac:dyDescent="0.25">
      <c r="A757" s="31">
        <v>755</v>
      </c>
      <c r="B757" s="1">
        <v>113</v>
      </c>
      <c r="C757" s="1">
        <v>133</v>
      </c>
      <c r="D757" s="15" t="s">
        <v>1687</v>
      </c>
      <c r="E757" s="1">
        <v>2</v>
      </c>
      <c r="F757" s="15" t="s">
        <v>777</v>
      </c>
      <c r="G757" s="15" t="s">
        <v>1689</v>
      </c>
      <c r="H757" s="15" t="s">
        <v>1690</v>
      </c>
      <c r="I757" s="1">
        <v>2017</v>
      </c>
      <c r="J757" s="15" t="s">
        <v>1692</v>
      </c>
      <c r="K757" s="1" t="s">
        <v>1693</v>
      </c>
      <c r="L757" s="15" t="s">
        <v>1694</v>
      </c>
      <c r="M757" s="15" t="s">
        <v>648</v>
      </c>
      <c r="N757" s="15" t="s">
        <v>1125</v>
      </c>
      <c r="O757" s="31">
        <v>1</v>
      </c>
      <c r="P757" s="15">
        <v>-14.593</v>
      </c>
      <c r="Q757" s="15">
        <v>-52.4</v>
      </c>
      <c r="S757" s="15">
        <v>1400</v>
      </c>
      <c r="T757" s="15">
        <v>26</v>
      </c>
      <c r="U757" s="15" t="s">
        <v>549</v>
      </c>
      <c r="V757" s="31">
        <v>1</v>
      </c>
      <c r="W757" s="15" t="s">
        <v>1164</v>
      </c>
      <c r="X757" s="15" t="s">
        <v>1147</v>
      </c>
      <c r="Y757" s="1">
        <v>5</v>
      </c>
      <c r="Z757" s="15">
        <v>5.6</v>
      </c>
      <c r="AA757" s="15" t="s">
        <v>574</v>
      </c>
      <c r="AB757" s="15">
        <f t="shared" si="673"/>
        <v>5.6</v>
      </c>
      <c r="AC757" s="1">
        <v>4</v>
      </c>
      <c r="AD757" s="15">
        <f>11.9*1.74</f>
        <v>20.706</v>
      </c>
      <c r="AF757" s="15">
        <f>1.6+1.4+0.4+0.18</f>
        <v>3.58</v>
      </c>
      <c r="AJ757" s="15">
        <v>31</v>
      </c>
      <c r="AK757" s="15">
        <v>7</v>
      </c>
      <c r="AL757" s="15">
        <v>62</v>
      </c>
      <c r="AM757" s="1">
        <v>3</v>
      </c>
      <c r="AP757" s="15" t="s">
        <v>697</v>
      </c>
      <c r="AQ757" s="1">
        <v>1</v>
      </c>
      <c r="AR757" s="1">
        <v>3</v>
      </c>
      <c r="CC757" s="15" t="s">
        <v>1695</v>
      </c>
      <c r="CE757" s="15">
        <v>8000</v>
      </c>
      <c r="CF757" s="15">
        <f>CE757</f>
        <v>8000</v>
      </c>
      <c r="CG757" s="15" t="s">
        <v>766</v>
      </c>
      <c r="CH757" s="15">
        <v>7.9</v>
      </c>
      <c r="CK757" s="15">
        <v>510</v>
      </c>
      <c r="CP757" s="15">
        <v>4.3</v>
      </c>
      <c r="CQ757" s="15">
        <v>0.6</v>
      </c>
      <c r="CR757" s="15">
        <v>2.5</v>
      </c>
      <c r="CY757" s="25">
        <f t="shared" si="674"/>
        <v>8000</v>
      </c>
      <c r="CZ757" s="25">
        <f t="shared" si="675"/>
        <v>10.256410256410255</v>
      </c>
      <c r="DA757" s="25">
        <f t="shared" si="676"/>
        <v>24000</v>
      </c>
      <c r="FK757" s="16">
        <f t="shared" si="677"/>
        <v>5.6</v>
      </c>
      <c r="FL757" s="16">
        <f t="shared" si="678"/>
        <v>5.74</v>
      </c>
      <c r="FM757" s="15">
        <v>5.6</v>
      </c>
      <c r="FN757" s="15">
        <v>0.1</v>
      </c>
      <c r="FO757" s="15">
        <f>FN757*SQRT(AR757)</f>
        <v>0.17320508075688773</v>
      </c>
      <c r="FP757" s="15">
        <v>5.74</v>
      </c>
      <c r="FQ757" s="15">
        <v>7.0000000000000007E-2</v>
      </c>
      <c r="FR757" s="15">
        <f>FQ757*SQRT(AR757)</f>
        <v>0.12124355652982141</v>
      </c>
      <c r="FS757" s="15">
        <f t="shared" si="640"/>
        <v>1.0250000000000001</v>
      </c>
      <c r="FT757" s="15">
        <f t="shared" si="641"/>
        <v>0.14000000000000057</v>
      </c>
      <c r="FU757" s="15">
        <f t="shared" si="642"/>
        <v>2.4692612590371477E-2</v>
      </c>
      <c r="FV757" s="15">
        <f>((FR757*FR757)/(AR757*FP757*FP757)+(FO757*FO757)/(AR757*FM757*FM757))</f>
        <v>4.6759855042552423E-4</v>
      </c>
      <c r="FX757" s="15">
        <v>38.854199999999999</v>
      </c>
      <c r="FY757" s="15">
        <v>3.1320000000000001</v>
      </c>
      <c r="FZ757" s="15">
        <f>FY757*SQRT(AR757)</f>
        <v>5.4247831293057232</v>
      </c>
      <c r="GA757" s="15">
        <v>40.89</v>
      </c>
      <c r="GB757" s="15">
        <v>2.9927999999999999</v>
      </c>
      <c r="GC757" s="15">
        <f>GB757*SQRT(AR757)</f>
        <v>5.1836816568921353</v>
      </c>
      <c r="GD757" s="15">
        <f t="shared" si="679"/>
        <v>1.0523958799820869</v>
      </c>
      <c r="GE757" s="15">
        <f t="shared" si="680"/>
        <v>2.0358000000000018</v>
      </c>
      <c r="GF757" s="15">
        <f t="shared" si="681"/>
        <v>5.106935529804657E-2</v>
      </c>
      <c r="GG757" s="15">
        <f>((GC757*GC757)/(AR757*GA757*GA757)+(FZ757*FZ757)/(AR757*FX757*FX757))</f>
        <v>1.1854812432374098E-2</v>
      </c>
      <c r="HE757" s="15">
        <v>2856</v>
      </c>
      <c r="HF757" s="15">
        <v>45</v>
      </c>
      <c r="HG757" s="15">
        <f>HF757*SQRT(AR447)</f>
        <v>90</v>
      </c>
      <c r="HH757" s="15">
        <v>3116</v>
      </c>
      <c r="HI757" s="15">
        <v>54</v>
      </c>
      <c r="HJ757" s="15">
        <f>HI757*SQRT(AR447)</f>
        <v>108</v>
      </c>
      <c r="HK757" s="15">
        <f>HH757/HE757</f>
        <v>1.0910364145658262</v>
      </c>
      <c r="HL757" s="15">
        <f>HH757-HE757</f>
        <v>260</v>
      </c>
      <c r="HM757" s="15">
        <f>LN(HH757)-LN(HE757)</f>
        <v>8.7128083531163192E-2</v>
      </c>
      <c r="HN757" s="15">
        <f>((HJ757*HJ757)/(AR447*HH757*HH757)+(HG757*HG757)/(AR447*HE757*HE757))</f>
        <v>5.4858685463583367E-4</v>
      </c>
      <c r="HP757" s="15" t="s">
        <v>766</v>
      </c>
      <c r="HV757" s="15">
        <f>HX757/HW757/100</f>
        <v>2754.5653510691413</v>
      </c>
      <c r="HW757" s="15">
        <f>HM757</f>
        <v>8.7128083531163192E-2</v>
      </c>
      <c r="HX757" s="25">
        <f>DA757</f>
        <v>24000</v>
      </c>
      <c r="HY757" s="25">
        <f>CY757</f>
        <v>8000</v>
      </c>
      <c r="HZ757" s="25">
        <f>CZ757</f>
        <v>10.256410256410255</v>
      </c>
      <c r="IA757" s="25">
        <f>DA757</f>
        <v>24000</v>
      </c>
    </row>
    <row r="758" spans="1:235" s="15" customFormat="1" x14ac:dyDescent="0.25">
      <c r="A758" s="31">
        <v>756</v>
      </c>
      <c r="B758" s="1">
        <v>113</v>
      </c>
      <c r="C758" s="1">
        <v>133</v>
      </c>
      <c r="D758" s="15" t="s">
        <v>1688</v>
      </c>
      <c r="E758" s="1">
        <v>2</v>
      </c>
      <c r="F758" s="15" t="s">
        <v>777</v>
      </c>
      <c r="G758" s="15" t="s">
        <v>1689</v>
      </c>
      <c r="H758" s="15" t="s">
        <v>1690</v>
      </c>
      <c r="I758" s="1">
        <v>2017</v>
      </c>
      <c r="J758" s="15" t="s">
        <v>1692</v>
      </c>
      <c r="K758" s="1" t="s">
        <v>1693</v>
      </c>
      <c r="L758" s="15" t="s">
        <v>1694</v>
      </c>
      <c r="M758" s="15" t="s">
        <v>648</v>
      </c>
      <c r="N758" s="15" t="s">
        <v>1125</v>
      </c>
      <c r="O758" s="31">
        <v>1</v>
      </c>
      <c r="P758" s="15">
        <v>-14.593</v>
      </c>
      <c r="Q758" s="15">
        <v>-52.4</v>
      </c>
      <c r="S758" s="15">
        <v>1400</v>
      </c>
      <c r="T758" s="15">
        <v>26</v>
      </c>
      <c r="U758" s="15" t="s">
        <v>549</v>
      </c>
      <c r="V758" s="31">
        <v>1</v>
      </c>
      <c r="W758" s="15" t="s">
        <v>1164</v>
      </c>
      <c r="X758" s="15" t="s">
        <v>1147</v>
      </c>
      <c r="Y758" s="1">
        <v>5</v>
      </c>
      <c r="Z758" s="15">
        <v>5.6</v>
      </c>
      <c r="AA758" s="15" t="s">
        <v>574</v>
      </c>
      <c r="AB758" s="15">
        <f t="shared" si="673"/>
        <v>5.6</v>
      </c>
      <c r="AC758" s="1">
        <v>4</v>
      </c>
      <c r="AD758" s="15">
        <f>11.9*1.74</f>
        <v>20.706</v>
      </c>
      <c r="AF758" s="15">
        <f>1.6+1.4+0.4+0.18</f>
        <v>3.58</v>
      </c>
      <c r="AJ758" s="15">
        <v>31</v>
      </c>
      <c r="AK758" s="15">
        <v>7</v>
      </c>
      <c r="AL758" s="15">
        <v>62</v>
      </c>
      <c r="AM758" s="1">
        <v>3</v>
      </c>
      <c r="AP758" s="15" t="s">
        <v>697</v>
      </c>
      <c r="AQ758" s="1">
        <v>1</v>
      </c>
      <c r="AR758" s="1">
        <v>3</v>
      </c>
      <c r="CC758" s="15" t="s">
        <v>1695</v>
      </c>
      <c r="CE758" s="15">
        <v>16000</v>
      </c>
      <c r="CF758" s="15">
        <f>CE758</f>
        <v>16000</v>
      </c>
      <c r="CG758" s="15" t="s">
        <v>766</v>
      </c>
      <c r="CH758" s="15">
        <v>7.9</v>
      </c>
      <c r="CK758" s="15">
        <v>510</v>
      </c>
      <c r="CP758" s="15">
        <v>4.3</v>
      </c>
      <c r="CQ758" s="15">
        <v>0.6</v>
      </c>
      <c r="CR758" s="15">
        <v>2.5</v>
      </c>
      <c r="CY758" s="25">
        <f t="shared" si="674"/>
        <v>16000</v>
      </c>
      <c r="CZ758" s="25">
        <f t="shared" si="675"/>
        <v>20.512820512820511</v>
      </c>
      <c r="DA758" s="25">
        <f t="shared" si="676"/>
        <v>48000</v>
      </c>
      <c r="FK758" s="16">
        <f t="shared" si="677"/>
        <v>5.6</v>
      </c>
      <c r="FL758" s="16">
        <f t="shared" si="678"/>
        <v>5.9</v>
      </c>
      <c r="FM758" s="15">
        <v>5.6</v>
      </c>
      <c r="FN758" s="15">
        <v>0.1</v>
      </c>
      <c r="FO758" s="15">
        <f>FN758*SQRT(AR758)</f>
        <v>0.17320508075688773</v>
      </c>
      <c r="FP758" s="15">
        <v>5.9</v>
      </c>
      <c r="FQ758" s="15">
        <v>0.2</v>
      </c>
      <c r="FR758" s="15">
        <f>FQ758*SQRT(AR758)</f>
        <v>0.34641016151377546</v>
      </c>
      <c r="FS758" s="15">
        <f t="shared" si="640"/>
        <v>1.0535714285714286</v>
      </c>
      <c r="FT758" s="15">
        <f t="shared" si="641"/>
        <v>0.30000000000000071</v>
      </c>
      <c r="FU758" s="15">
        <f t="shared" si="642"/>
        <v>5.2185753170570282E-2</v>
      </c>
      <c r="FV758" s="15">
        <f>((FR758*FR758)/(AR758*FP758*FP758)+(FO758*FO758)/(AR758*FM758*FM758))</f>
        <v>1.4679726386389084E-3</v>
      </c>
      <c r="FX758" s="15">
        <v>38.854199999999999</v>
      </c>
      <c r="FY758" s="15">
        <v>3.1320000000000001</v>
      </c>
      <c r="FZ758" s="15">
        <f>FY758*SQRT(AR758)</f>
        <v>5.4247831293057232</v>
      </c>
      <c r="GA758" s="15">
        <v>42.804000000000002</v>
      </c>
      <c r="GB758" s="15">
        <v>2.9579999999999997</v>
      </c>
      <c r="GC758" s="15">
        <f>GB758*SQRT(AR758)</f>
        <v>5.1234062887887379</v>
      </c>
      <c r="GD758" s="15">
        <f t="shared" si="679"/>
        <v>1.1016569637259293</v>
      </c>
      <c r="GE758" s="15">
        <f t="shared" si="680"/>
        <v>3.9498000000000033</v>
      </c>
      <c r="GF758" s="15">
        <f t="shared" si="681"/>
        <v>9.6815377086250543E-2</v>
      </c>
      <c r="GG758" s="15">
        <f>((GC758*GC758)/(AR758*GA758*GA758)+(FZ758*FZ758)/(AR758*FX758*FX758))</f>
        <v>1.1273414853843111E-2</v>
      </c>
      <c r="HE758" s="15">
        <v>2856</v>
      </c>
      <c r="HF758" s="15">
        <v>45</v>
      </c>
      <c r="HG758" s="15">
        <f>HF758*SQRT(AR448)</f>
        <v>90</v>
      </c>
      <c r="HH758" s="15">
        <v>3161</v>
      </c>
      <c r="HI758" s="15">
        <v>57</v>
      </c>
      <c r="HJ758" s="15">
        <f>HI758*SQRT(AR448)</f>
        <v>114</v>
      </c>
      <c r="HK758" s="15">
        <f>HH758/HE758</f>
        <v>1.1067927170868348</v>
      </c>
      <c r="HL758" s="15">
        <f>HH758-HE758</f>
        <v>305</v>
      </c>
      <c r="HM758" s="15">
        <f>LN(HH758)-LN(HE758)</f>
        <v>0.10146638875614311</v>
      </c>
      <c r="HN758" s="15">
        <f>((HJ758*HJ758)/(AR448*HH758*HH758)+(HG758*HG758)/(AR448*HE758*HE758))</f>
        <v>5.7342376807801307E-4</v>
      </c>
      <c r="HP758" s="15" t="s">
        <v>766</v>
      </c>
      <c r="HV758" s="15">
        <f>HX758/HW758/100</f>
        <v>4730.6305652958326</v>
      </c>
      <c r="HW758" s="15">
        <f>HM758</f>
        <v>0.10146638875614311</v>
      </c>
      <c r="HX758" s="25">
        <f>DA758</f>
        <v>48000</v>
      </c>
      <c r="HY758" s="25">
        <f>CY758</f>
        <v>16000</v>
      </c>
      <c r="HZ758" s="25">
        <f>CZ758</f>
        <v>20.512820512820511</v>
      </c>
      <c r="IA758" s="25">
        <f>DA758</f>
        <v>48000</v>
      </c>
    </row>
    <row r="759" spans="1:235" s="15" customFormat="1" x14ac:dyDescent="0.25">
      <c r="A759" s="31">
        <v>757</v>
      </c>
      <c r="B759" s="1">
        <v>114</v>
      </c>
      <c r="C759" s="1">
        <v>134</v>
      </c>
      <c r="D759" s="15" t="s">
        <v>1696</v>
      </c>
      <c r="E759" s="1">
        <v>2</v>
      </c>
      <c r="F759" s="15" t="s">
        <v>777</v>
      </c>
      <c r="G759" s="15" t="s">
        <v>1706</v>
      </c>
      <c r="H759" s="15" t="s">
        <v>829</v>
      </c>
      <c r="I759" s="1">
        <v>2019</v>
      </c>
      <c r="J759" s="15" t="s">
        <v>1705</v>
      </c>
      <c r="K759" s="1">
        <v>2017</v>
      </c>
      <c r="L759" s="15" t="s">
        <v>1707</v>
      </c>
      <c r="M759" s="15" t="s">
        <v>480</v>
      </c>
      <c r="N759" s="15" t="s">
        <v>520</v>
      </c>
      <c r="O759" s="31">
        <v>2</v>
      </c>
      <c r="P759" s="15">
        <v>27.79</v>
      </c>
      <c r="Q759" s="15">
        <v>109.22</v>
      </c>
      <c r="S759" s="15">
        <v>1300</v>
      </c>
      <c r="T759" s="15">
        <v>17</v>
      </c>
      <c r="U759" s="15" t="s">
        <v>807</v>
      </c>
      <c r="V759" s="31">
        <v>2</v>
      </c>
      <c r="W759" s="15" t="s">
        <v>1219</v>
      </c>
      <c r="X759" s="15" t="s">
        <v>532</v>
      </c>
      <c r="Y759" s="1">
        <v>9</v>
      </c>
      <c r="Z759" s="15">
        <v>6.21</v>
      </c>
      <c r="AA759" s="15" t="s">
        <v>574</v>
      </c>
      <c r="AB759" s="15">
        <f t="shared" si="673"/>
        <v>6.21</v>
      </c>
      <c r="AC759" s="1">
        <v>5</v>
      </c>
      <c r="AD759" s="15">
        <f t="shared" ref="AD759:AD767" si="682">2.99*1.74</f>
        <v>5.2026000000000003</v>
      </c>
      <c r="AM759" s="1"/>
      <c r="AP759" s="15" t="s">
        <v>837</v>
      </c>
      <c r="AQ759" s="1">
        <v>2</v>
      </c>
      <c r="AR759" s="1">
        <v>3</v>
      </c>
      <c r="CC759" s="15" t="s">
        <v>804</v>
      </c>
      <c r="CE759" s="15">
        <v>1</v>
      </c>
      <c r="CF759" s="15">
        <f t="shared" ref="CF759:CF767" si="683">CE759*22500</f>
        <v>22500</v>
      </c>
      <c r="CG759" s="15" t="s">
        <v>766</v>
      </c>
      <c r="CH759" s="15">
        <v>8.23</v>
      </c>
      <c r="CI759" s="15">
        <v>550</v>
      </c>
      <c r="CK759" s="15">
        <v>534.5</v>
      </c>
      <c r="CL759" s="15">
        <v>10.51</v>
      </c>
      <c r="CY759" s="25">
        <f t="shared" si="674"/>
        <v>22500</v>
      </c>
      <c r="CZ759" s="25">
        <f t="shared" si="675"/>
        <v>28.846153846153843</v>
      </c>
      <c r="DA759" s="25">
        <f t="shared" si="676"/>
        <v>67500</v>
      </c>
      <c r="FK759" s="16">
        <f t="shared" si="677"/>
        <v>6.21</v>
      </c>
      <c r="FL759" s="16">
        <f t="shared" si="678"/>
        <v>6.78</v>
      </c>
      <c r="FM759" s="15">
        <v>6.21</v>
      </c>
      <c r="FN759" s="15">
        <v>0.22</v>
      </c>
      <c r="FO759" s="15">
        <f>FN759*SQRT(AR759)</f>
        <v>0.38105117766515301</v>
      </c>
      <c r="FP759" s="15">
        <v>6.78</v>
      </c>
      <c r="FQ759" s="15">
        <v>0.09</v>
      </c>
      <c r="FR759" s="15">
        <f>FQ759*SQRT(AR759)</f>
        <v>0.15588457268119893</v>
      </c>
      <c r="FS759" s="15">
        <f t="shared" si="640"/>
        <v>1.0917874396135265</v>
      </c>
      <c r="FT759" s="15">
        <f t="shared" si="641"/>
        <v>0.57000000000000028</v>
      </c>
      <c r="FU759" s="15">
        <f t="shared" si="642"/>
        <v>8.7816206006916753E-2</v>
      </c>
      <c r="FV759" s="15">
        <f>((FR759*FR759)/(AR759*FP759*FP759)+(FO759*FO759)/(AR759*FM759*FM759))</f>
        <v>1.4312612786961569E-3</v>
      </c>
      <c r="FX759" s="15">
        <v>5.15</v>
      </c>
      <c r="FY759" s="15">
        <v>0.22</v>
      </c>
      <c r="FZ759" s="15">
        <f>FY759*SQRT(AR759)</f>
        <v>0.38105117766515301</v>
      </c>
      <c r="GA759" s="15">
        <v>12.71</v>
      </c>
      <c r="GB759" s="15">
        <v>0.74</v>
      </c>
      <c r="GC759" s="15">
        <f>GB759*SQRT(AR759)</f>
        <v>1.2817175976009691</v>
      </c>
      <c r="GD759" s="15">
        <f t="shared" si="679"/>
        <v>2.4679611650485436</v>
      </c>
      <c r="GE759" s="15">
        <f t="shared" si="680"/>
        <v>7.5600000000000005</v>
      </c>
      <c r="GF759" s="15">
        <f t="shared" si="681"/>
        <v>0.90339237052571808</v>
      </c>
      <c r="GG759" s="15">
        <f>((GC759*GC759)/(AR759*GA759*GA759)+(FZ759*FZ759)/(AR759*FX759*FX759))</f>
        <v>5.2146521222990357E-3</v>
      </c>
      <c r="HY759" s="25">
        <f>CY759</f>
        <v>22500</v>
      </c>
      <c r="HZ759" s="25">
        <f>CZ759</f>
        <v>28.846153846153843</v>
      </c>
      <c r="IA759" s="25">
        <f>DA759</f>
        <v>67500</v>
      </c>
    </row>
    <row r="760" spans="1:235" s="15" customFormat="1" x14ac:dyDescent="0.25">
      <c r="A760" s="31">
        <v>758</v>
      </c>
      <c r="B760" s="1">
        <v>114</v>
      </c>
      <c r="C760" s="1">
        <v>134</v>
      </c>
      <c r="D760" s="15" t="s">
        <v>1697</v>
      </c>
      <c r="E760" s="1">
        <v>2</v>
      </c>
      <c r="F760" s="15" t="s">
        <v>777</v>
      </c>
      <c r="G760" s="15" t="s">
        <v>1706</v>
      </c>
      <c r="H760" s="15" t="s">
        <v>829</v>
      </c>
      <c r="I760" s="1">
        <v>2019</v>
      </c>
      <c r="J760" s="15" t="s">
        <v>1705</v>
      </c>
      <c r="K760" s="1">
        <v>2017</v>
      </c>
      <c r="L760" s="15" t="s">
        <v>1707</v>
      </c>
      <c r="M760" s="15" t="s">
        <v>480</v>
      </c>
      <c r="N760" s="15" t="s">
        <v>520</v>
      </c>
      <c r="O760" s="31">
        <v>2</v>
      </c>
      <c r="P760" s="15">
        <v>27.79</v>
      </c>
      <c r="Q760" s="15">
        <v>109.22</v>
      </c>
      <c r="S760" s="15">
        <v>1300</v>
      </c>
      <c r="T760" s="15">
        <v>17</v>
      </c>
      <c r="U760" s="15" t="s">
        <v>807</v>
      </c>
      <c r="V760" s="31">
        <v>2</v>
      </c>
      <c r="W760" s="15" t="s">
        <v>1219</v>
      </c>
      <c r="X760" s="15" t="s">
        <v>532</v>
      </c>
      <c r="Y760" s="1">
        <v>9</v>
      </c>
      <c r="Z760" s="15">
        <v>6.21</v>
      </c>
      <c r="AA760" s="15" t="s">
        <v>574</v>
      </c>
      <c r="AB760" s="15">
        <f t="shared" si="673"/>
        <v>6.21</v>
      </c>
      <c r="AC760" s="1">
        <v>5</v>
      </c>
      <c r="AD760" s="15">
        <f t="shared" si="682"/>
        <v>5.2026000000000003</v>
      </c>
      <c r="AM760" s="1"/>
      <c r="AP760" s="15" t="s">
        <v>837</v>
      </c>
      <c r="AQ760" s="1">
        <v>2</v>
      </c>
      <c r="AR760" s="1">
        <v>3</v>
      </c>
      <c r="CC760" s="15" t="s">
        <v>804</v>
      </c>
      <c r="CE760" s="15">
        <v>2</v>
      </c>
      <c r="CF760" s="15">
        <f t="shared" si="683"/>
        <v>45000</v>
      </c>
      <c r="CG760" s="15" t="s">
        <v>766</v>
      </c>
      <c r="CH760" s="15">
        <v>8.23</v>
      </c>
      <c r="CI760" s="15">
        <v>550</v>
      </c>
      <c r="CK760" s="15">
        <v>534.5</v>
      </c>
      <c r="CL760" s="15">
        <v>10.51</v>
      </c>
      <c r="CY760" s="25">
        <f t="shared" si="674"/>
        <v>45000</v>
      </c>
      <c r="CZ760" s="25">
        <f t="shared" si="675"/>
        <v>57.692307692307686</v>
      </c>
      <c r="DA760" s="25">
        <f t="shared" si="676"/>
        <v>135000</v>
      </c>
      <c r="FK760" s="16">
        <f t="shared" si="677"/>
        <v>6.21</v>
      </c>
      <c r="FL760" s="16">
        <f t="shared" si="678"/>
        <v>6.68</v>
      </c>
      <c r="FM760" s="15">
        <v>6.21</v>
      </c>
      <c r="FN760" s="15">
        <v>0.22</v>
      </c>
      <c r="FO760" s="15">
        <f>FN760*SQRT(AR760)</f>
        <v>0.38105117766515301</v>
      </c>
      <c r="FP760" s="15">
        <v>6.68</v>
      </c>
      <c r="FQ760" s="15">
        <v>0.03</v>
      </c>
      <c r="FR760" s="15">
        <f>FQ760*SQRT(AR760)</f>
        <v>5.1961524227066312E-2</v>
      </c>
      <c r="FS760" s="15">
        <f t="shared" si="640"/>
        <v>1.075684380032206</v>
      </c>
      <c r="FT760" s="15">
        <f t="shared" si="641"/>
        <v>0.46999999999999975</v>
      </c>
      <c r="FU760" s="15">
        <f t="shared" si="642"/>
        <v>7.2957091603166768E-2</v>
      </c>
      <c r="FV760" s="15">
        <f>((FR760*FR760)/(AR760*FP760*FP760)+(FO760*FO760)/(AR760*FM760*FM760))</f>
        <v>1.275222517290669E-3</v>
      </c>
      <c r="FX760" s="15">
        <v>5.15</v>
      </c>
      <c r="FY760" s="15">
        <v>0.22</v>
      </c>
      <c r="FZ760" s="15">
        <f>FY760*SQRT(AR760)</f>
        <v>0.38105117766515301</v>
      </c>
      <c r="GA760" s="15">
        <v>20.170000000000002</v>
      </c>
      <c r="GB760" s="15">
        <v>0.8</v>
      </c>
      <c r="GC760" s="15">
        <f>GB760*SQRT(AR760)</f>
        <v>1.3856406460551018</v>
      </c>
      <c r="GD760" s="15">
        <f t="shared" si="679"/>
        <v>3.9165048543689323</v>
      </c>
      <c r="GE760" s="15">
        <f t="shared" si="680"/>
        <v>15.020000000000001</v>
      </c>
      <c r="GF760" s="15">
        <f t="shared" si="681"/>
        <v>1.3651996372904758</v>
      </c>
      <c r="GG760" s="15">
        <f>((GC760*GC760)/(AR760*GA760*GA760)+(FZ760*FZ760)/(AR760*FX760*FX760))</f>
        <v>3.3980085910216744E-3</v>
      </c>
      <c r="HY760" s="25">
        <f>CY760</f>
        <v>45000</v>
      </c>
      <c r="HZ760" s="25">
        <f>CZ760</f>
        <v>57.692307692307686</v>
      </c>
      <c r="IA760" s="25">
        <f>DA760</f>
        <v>135000</v>
      </c>
    </row>
    <row r="761" spans="1:235" s="15" customFormat="1" x14ac:dyDescent="0.25">
      <c r="A761" s="31">
        <v>759</v>
      </c>
      <c r="B761" s="1">
        <v>114</v>
      </c>
      <c r="C761" s="1">
        <v>134</v>
      </c>
      <c r="D761" s="15" t="s">
        <v>1698</v>
      </c>
      <c r="E761" s="1">
        <v>2</v>
      </c>
      <c r="F761" s="15" t="s">
        <v>777</v>
      </c>
      <c r="G761" s="15" t="s">
        <v>1706</v>
      </c>
      <c r="H761" s="15" t="s">
        <v>829</v>
      </c>
      <c r="I761" s="1">
        <v>2019</v>
      </c>
      <c r="J761" s="15" t="s">
        <v>1705</v>
      </c>
      <c r="K761" s="1">
        <v>2017</v>
      </c>
      <c r="L761" s="15" t="s">
        <v>1707</v>
      </c>
      <c r="M761" s="15" t="s">
        <v>480</v>
      </c>
      <c r="N761" s="15" t="s">
        <v>520</v>
      </c>
      <c r="O761" s="31">
        <v>2</v>
      </c>
      <c r="P761" s="15">
        <v>27.79</v>
      </c>
      <c r="Q761" s="15">
        <v>109.22</v>
      </c>
      <c r="S761" s="15">
        <v>1300</v>
      </c>
      <c r="T761" s="15">
        <v>17</v>
      </c>
      <c r="U761" s="15" t="s">
        <v>807</v>
      </c>
      <c r="V761" s="31">
        <v>2</v>
      </c>
      <c r="W761" s="15" t="s">
        <v>1219</v>
      </c>
      <c r="X761" s="15" t="s">
        <v>532</v>
      </c>
      <c r="Y761" s="1">
        <v>9</v>
      </c>
      <c r="Z761" s="15">
        <v>6.21</v>
      </c>
      <c r="AA761" s="15" t="s">
        <v>574</v>
      </c>
      <c r="AB761" s="15">
        <f t="shared" si="673"/>
        <v>6.21</v>
      </c>
      <c r="AC761" s="1">
        <v>5</v>
      </c>
      <c r="AD761" s="15">
        <f t="shared" si="682"/>
        <v>5.2026000000000003</v>
      </c>
      <c r="AM761" s="1"/>
      <c r="AP761" s="15" t="s">
        <v>837</v>
      </c>
      <c r="AQ761" s="1">
        <v>2</v>
      </c>
      <c r="AR761" s="1">
        <v>3</v>
      </c>
      <c r="CC761" s="15" t="s">
        <v>804</v>
      </c>
      <c r="CE761" s="15">
        <v>4</v>
      </c>
      <c r="CF761" s="15">
        <f t="shared" si="683"/>
        <v>90000</v>
      </c>
      <c r="CG761" s="15" t="s">
        <v>766</v>
      </c>
      <c r="CH761" s="15">
        <v>8.23</v>
      </c>
      <c r="CI761" s="15">
        <v>550</v>
      </c>
      <c r="CK761" s="15">
        <v>534.5</v>
      </c>
      <c r="CL761" s="15">
        <v>10.51</v>
      </c>
      <c r="CY761" s="25">
        <f t="shared" si="674"/>
        <v>90000</v>
      </c>
      <c r="CZ761" s="25">
        <f t="shared" si="675"/>
        <v>115.38461538461537</v>
      </c>
      <c r="DA761" s="25">
        <f t="shared" si="676"/>
        <v>270000</v>
      </c>
      <c r="FK761" s="16">
        <f t="shared" si="677"/>
        <v>6.21</v>
      </c>
      <c r="FL761" s="16">
        <f t="shared" si="678"/>
        <v>6.89</v>
      </c>
      <c r="FM761" s="15">
        <v>6.21</v>
      </c>
      <c r="FN761" s="15">
        <v>0.22</v>
      </c>
      <c r="FO761" s="15">
        <f>FN761*SQRT(AR761)</f>
        <v>0.38105117766515301</v>
      </c>
      <c r="FP761" s="15">
        <v>6.89</v>
      </c>
      <c r="FQ761" s="15">
        <v>0.05</v>
      </c>
      <c r="FR761" s="15">
        <f>FQ761*SQRT(AR761)</f>
        <v>8.6602540378443865E-2</v>
      </c>
      <c r="FS761" s="15">
        <f t="shared" si="640"/>
        <v>1.1095008051529791</v>
      </c>
      <c r="FT761" s="15">
        <f t="shared" si="641"/>
        <v>0.67999999999999972</v>
      </c>
      <c r="FU761" s="15">
        <f t="shared" si="642"/>
        <v>0.10391018908017968</v>
      </c>
      <c r="FV761" s="15">
        <f>((FR761*FR761)/(AR761*FP761*FP761)+(FO761*FO761)/(AR761*FM761*FM761))</f>
        <v>1.307715786180499E-3</v>
      </c>
      <c r="FX761" s="15">
        <v>5.15</v>
      </c>
      <c r="FY761" s="15">
        <v>0.22</v>
      </c>
      <c r="FZ761" s="15">
        <f>FY761*SQRT(AR761)</f>
        <v>0.38105117766515301</v>
      </c>
      <c r="GA761" s="15">
        <v>26.47</v>
      </c>
      <c r="GB761" s="15">
        <v>0.63</v>
      </c>
      <c r="GC761" s="15">
        <f>GB761*SQRT(AR761)</f>
        <v>1.0911920087683926</v>
      </c>
      <c r="GD761" s="15">
        <f t="shared" si="679"/>
        <v>5.1398058252427177</v>
      </c>
      <c r="GE761" s="15">
        <f t="shared" si="680"/>
        <v>21.32</v>
      </c>
      <c r="GF761" s="15">
        <f t="shared" si="681"/>
        <v>1.6370153015633651</v>
      </c>
      <c r="GG761" s="15">
        <f>((GC761*GC761)/(AR761*GA761*GA761)+(FZ761*FZ761)/(AR761*FX761*FX761))</f>
        <v>2.3913308560332544E-3</v>
      </c>
      <c r="HY761" s="25">
        <f>CY761</f>
        <v>90000</v>
      </c>
      <c r="HZ761" s="25">
        <f>CZ761</f>
        <v>115.38461538461537</v>
      </c>
      <c r="IA761" s="25">
        <f>DA761</f>
        <v>270000</v>
      </c>
    </row>
    <row r="762" spans="1:235" s="15" customFormat="1" x14ac:dyDescent="0.25">
      <c r="A762" s="31">
        <v>760</v>
      </c>
      <c r="B762" s="1">
        <v>114</v>
      </c>
      <c r="C762" s="1">
        <v>134</v>
      </c>
      <c r="D762" s="15" t="s">
        <v>1699</v>
      </c>
      <c r="E762" s="1">
        <v>2</v>
      </c>
      <c r="F762" s="15" t="s">
        <v>777</v>
      </c>
      <c r="G762" s="15" t="s">
        <v>1706</v>
      </c>
      <c r="H762" s="15" t="s">
        <v>829</v>
      </c>
      <c r="I762" s="1">
        <v>2019</v>
      </c>
      <c r="J762" s="15" t="s">
        <v>1705</v>
      </c>
      <c r="K762" s="1">
        <v>2017</v>
      </c>
      <c r="L762" s="15" t="s">
        <v>1707</v>
      </c>
      <c r="M762" s="15" t="s">
        <v>480</v>
      </c>
      <c r="N762" s="15" t="s">
        <v>520</v>
      </c>
      <c r="O762" s="31">
        <v>2</v>
      </c>
      <c r="P762" s="15">
        <v>27.79</v>
      </c>
      <c r="Q762" s="15">
        <v>109.22</v>
      </c>
      <c r="S762" s="15">
        <v>1300</v>
      </c>
      <c r="T762" s="15">
        <v>17</v>
      </c>
      <c r="U762" s="15" t="s">
        <v>807</v>
      </c>
      <c r="V762" s="31">
        <v>2</v>
      </c>
      <c r="W762" s="15" t="s">
        <v>1219</v>
      </c>
      <c r="X762" s="15" t="s">
        <v>532</v>
      </c>
      <c r="Y762" s="1">
        <v>9</v>
      </c>
      <c r="Z762" s="15">
        <v>6.21</v>
      </c>
      <c r="AA762" s="15" t="s">
        <v>574</v>
      </c>
      <c r="AB762" s="15">
        <f t="shared" si="673"/>
        <v>6.21</v>
      </c>
      <c r="AC762" s="1">
        <v>5</v>
      </c>
      <c r="AD762" s="15">
        <f t="shared" si="682"/>
        <v>5.2026000000000003</v>
      </c>
      <c r="AM762" s="1"/>
      <c r="AP762" s="15" t="s">
        <v>837</v>
      </c>
      <c r="AQ762" s="1">
        <v>2</v>
      </c>
      <c r="AR762" s="1">
        <v>3</v>
      </c>
      <c r="CC762" s="15" t="s">
        <v>835</v>
      </c>
      <c r="CE762" s="15">
        <v>1</v>
      </c>
      <c r="CF762" s="15">
        <f t="shared" si="683"/>
        <v>22500</v>
      </c>
      <c r="CG762" s="15" t="s">
        <v>766</v>
      </c>
      <c r="CH762" s="15">
        <v>9.59</v>
      </c>
      <c r="CI762" s="15">
        <v>450</v>
      </c>
      <c r="CK762" s="15">
        <v>248.6</v>
      </c>
      <c r="CL762" s="15">
        <v>8.92</v>
      </c>
      <c r="CY762" s="25">
        <f t="shared" si="674"/>
        <v>22500</v>
      </c>
      <c r="CZ762" s="25">
        <f t="shared" si="675"/>
        <v>28.846153846153843</v>
      </c>
      <c r="DA762" s="25">
        <f t="shared" si="676"/>
        <v>67500</v>
      </c>
      <c r="FK762" s="16">
        <f t="shared" si="677"/>
        <v>6.21</v>
      </c>
      <c r="FL762" s="16">
        <f t="shared" si="678"/>
        <v>6.42</v>
      </c>
      <c r="FM762" s="15">
        <v>6.21</v>
      </c>
      <c r="FN762" s="15">
        <v>0.22</v>
      </c>
      <c r="FO762" s="15">
        <f>FN762*SQRT(AR762)</f>
        <v>0.38105117766515301</v>
      </c>
      <c r="FP762" s="15">
        <v>6.42</v>
      </c>
      <c r="FQ762" s="15">
        <v>0.09</v>
      </c>
      <c r="FR762" s="15">
        <f>FQ762*SQRT(AR762)</f>
        <v>0.15588457268119893</v>
      </c>
      <c r="FS762" s="15">
        <f t="shared" si="640"/>
        <v>1.0338164251207729</v>
      </c>
      <c r="FT762" s="15">
        <f t="shared" si="641"/>
        <v>0.20999999999999996</v>
      </c>
      <c r="FU762" s="15">
        <f t="shared" si="642"/>
        <v>3.325722175648238E-2</v>
      </c>
      <c r="FV762" s="15">
        <f>((FR762*FR762)/(AR762*FP762*FP762)+(FO762*FO762)/(AR762*FM762*FM762))</f>
        <v>1.4515769887985255E-3</v>
      </c>
      <c r="FX762" s="15">
        <v>5.15</v>
      </c>
      <c r="FY762" s="15">
        <v>0.22</v>
      </c>
      <c r="FZ762" s="15">
        <f>FY762*SQRT(AR762)</f>
        <v>0.38105117766515301</v>
      </c>
      <c r="GA762" s="15">
        <v>13.97</v>
      </c>
      <c r="GB762" s="15">
        <v>0.53</v>
      </c>
      <c r="GC762" s="15">
        <f>GB762*SQRT(AR762)</f>
        <v>0.91798692801150494</v>
      </c>
      <c r="GD762" s="15">
        <f t="shared" si="679"/>
        <v>2.7126213592233008</v>
      </c>
      <c r="GE762" s="15">
        <f t="shared" si="680"/>
        <v>8.82</v>
      </c>
      <c r="GF762" s="15">
        <f t="shared" si="681"/>
        <v>0.99791545859322572</v>
      </c>
      <c r="GG762" s="15">
        <f>((GC762*GC762)/(AR762*GA762*GA762)+(FZ762*FZ762)/(AR762*FX762*FX762))</f>
        <v>3.2641908727829203E-3</v>
      </c>
      <c r="HY762" s="25">
        <f>CY762</f>
        <v>22500</v>
      </c>
      <c r="HZ762" s="25">
        <f>CZ762</f>
        <v>28.846153846153843</v>
      </c>
      <c r="IA762" s="25">
        <f>DA762</f>
        <v>67500</v>
      </c>
    </row>
    <row r="763" spans="1:235" s="15" customFormat="1" x14ac:dyDescent="0.25">
      <c r="A763" s="31">
        <v>761</v>
      </c>
      <c r="B763" s="1">
        <v>114</v>
      </c>
      <c r="C763" s="1">
        <v>134</v>
      </c>
      <c r="D763" s="15" t="s">
        <v>1700</v>
      </c>
      <c r="E763" s="1">
        <v>2</v>
      </c>
      <c r="F763" s="15" t="s">
        <v>777</v>
      </c>
      <c r="G763" s="15" t="s">
        <v>1706</v>
      </c>
      <c r="H763" s="15" t="s">
        <v>829</v>
      </c>
      <c r="I763" s="1">
        <v>2019</v>
      </c>
      <c r="J763" s="15" t="s">
        <v>1705</v>
      </c>
      <c r="K763" s="1">
        <v>2017</v>
      </c>
      <c r="L763" s="15" t="s">
        <v>1707</v>
      </c>
      <c r="M763" s="15" t="s">
        <v>480</v>
      </c>
      <c r="N763" s="15" t="s">
        <v>520</v>
      </c>
      <c r="O763" s="31">
        <v>2</v>
      </c>
      <c r="P763" s="15">
        <v>27.79</v>
      </c>
      <c r="Q763" s="15">
        <v>109.22</v>
      </c>
      <c r="S763" s="15">
        <v>1300</v>
      </c>
      <c r="T763" s="15">
        <v>17</v>
      </c>
      <c r="U763" s="15" t="s">
        <v>807</v>
      </c>
      <c r="V763" s="31">
        <v>2</v>
      </c>
      <c r="W763" s="15" t="s">
        <v>1219</v>
      </c>
      <c r="X763" s="15" t="s">
        <v>532</v>
      </c>
      <c r="Y763" s="1">
        <v>9</v>
      </c>
      <c r="Z763" s="15">
        <v>6.21</v>
      </c>
      <c r="AA763" s="15" t="s">
        <v>574</v>
      </c>
      <c r="AB763" s="15">
        <f t="shared" si="673"/>
        <v>6.21</v>
      </c>
      <c r="AC763" s="1">
        <v>5</v>
      </c>
      <c r="AD763" s="15">
        <f t="shared" si="682"/>
        <v>5.2026000000000003</v>
      </c>
      <c r="AM763" s="1"/>
      <c r="AP763" s="15" t="s">
        <v>837</v>
      </c>
      <c r="AQ763" s="1">
        <v>2</v>
      </c>
      <c r="AR763" s="1">
        <v>3</v>
      </c>
      <c r="CC763" s="15" t="s">
        <v>835</v>
      </c>
      <c r="CE763" s="15">
        <v>2</v>
      </c>
      <c r="CF763" s="15">
        <f t="shared" si="683"/>
        <v>45000</v>
      </c>
      <c r="CG763" s="15" t="s">
        <v>766</v>
      </c>
      <c r="CH763" s="15">
        <v>9.59</v>
      </c>
      <c r="CI763" s="15">
        <v>450</v>
      </c>
      <c r="CK763" s="15">
        <v>248.6</v>
      </c>
      <c r="CL763" s="15">
        <v>8.92</v>
      </c>
      <c r="CY763" s="25">
        <f t="shared" si="674"/>
        <v>45000</v>
      </c>
      <c r="CZ763" s="25">
        <f t="shared" si="675"/>
        <v>57.692307692307686</v>
      </c>
      <c r="DA763" s="25">
        <f t="shared" si="676"/>
        <v>135000</v>
      </c>
      <c r="FK763" s="16">
        <f t="shared" si="677"/>
        <v>6.21</v>
      </c>
      <c r="FL763" s="16">
        <f t="shared" si="678"/>
        <v>6.67</v>
      </c>
      <c r="FM763" s="15">
        <v>6.21</v>
      </c>
      <c r="FN763" s="15">
        <v>0.22</v>
      </c>
      <c r="FO763" s="15">
        <f>FN763*SQRT(AR763)</f>
        <v>0.38105117766515301</v>
      </c>
      <c r="FP763" s="15">
        <v>6.67</v>
      </c>
      <c r="FQ763" s="15">
        <v>7.0000000000000007E-2</v>
      </c>
      <c r="FR763" s="15">
        <f>FQ763*SQRT(AR763)</f>
        <v>0.12124355652982141</v>
      </c>
      <c r="FS763" s="15">
        <f t="shared" si="640"/>
        <v>1.074074074074074</v>
      </c>
      <c r="FT763" s="15">
        <f t="shared" si="641"/>
        <v>0.45999999999999996</v>
      </c>
      <c r="FU763" s="15">
        <f t="shared" si="642"/>
        <v>7.1458963982144796E-2</v>
      </c>
      <c r="FV763" s="15">
        <f>((FR763*FR763)/(AR763*FP763*FP763)+(FO763*FO763)/(AR763*FM763*FM763))</f>
        <v>1.3651931075694622E-3</v>
      </c>
      <c r="FX763" s="15">
        <v>5.15</v>
      </c>
      <c r="FY763" s="15">
        <v>0.22</v>
      </c>
      <c r="FZ763" s="15">
        <f>FY763*SQRT(AR763)</f>
        <v>0.38105117766515301</v>
      </c>
      <c r="GA763" s="15">
        <v>22.84</v>
      </c>
      <c r="GB763" s="15">
        <v>1.32</v>
      </c>
      <c r="GC763" s="15">
        <f>GB763*SQRT(AR763)</f>
        <v>2.2863070659909179</v>
      </c>
      <c r="GD763" s="15">
        <f t="shared" si="679"/>
        <v>4.4349514563106789</v>
      </c>
      <c r="GE763" s="15">
        <f t="shared" si="680"/>
        <v>17.689999999999998</v>
      </c>
      <c r="GF763" s="15">
        <f t="shared" si="681"/>
        <v>1.4895166701121647</v>
      </c>
      <c r="GG763" s="15">
        <f>((GC763*GC763)/(AR763*GA763*GA763)+(FZ763*FZ763)/(AR763*FX763*FX763))</f>
        <v>5.1649364073841162E-3</v>
      </c>
      <c r="HY763" s="25">
        <f>CY763</f>
        <v>45000</v>
      </c>
      <c r="HZ763" s="25">
        <f>CZ763</f>
        <v>57.692307692307686</v>
      </c>
      <c r="IA763" s="25">
        <f>DA763</f>
        <v>135000</v>
      </c>
    </row>
    <row r="764" spans="1:235" s="15" customFormat="1" x14ac:dyDescent="0.25">
      <c r="A764" s="31">
        <v>762</v>
      </c>
      <c r="B764" s="1">
        <v>114</v>
      </c>
      <c r="C764" s="1">
        <v>134</v>
      </c>
      <c r="D764" s="15" t="s">
        <v>1701</v>
      </c>
      <c r="E764" s="1">
        <v>2</v>
      </c>
      <c r="F764" s="15" t="s">
        <v>777</v>
      </c>
      <c r="G764" s="15" t="s">
        <v>1706</v>
      </c>
      <c r="H764" s="15" t="s">
        <v>829</v>
      </c>
      <c r="I764" s="1">
        <v>2019</v>
      </c>
      <c r="J764" s="15" t="s">
        <v>1705</v>
      </c>
      <c r="K764" s="1">
        <v>2017</v>
      </c>
      <c r="L764" s="15" t="s">
        <v>1707</v>
      </c>
      <c r="M764" s="15" t="s">
        <v>480</v>
      </c>
      <c r="N764" s="15" t="s">
        <v>520</v>
      </c>
      <c r="O764" s="31">
        <v>2</v>
      </c>
      <c r="P764" s="15">
        <v>27.79</v>
      </c>
      <c r="Q764" s="15">
        <v>109.22</v>
      </c>
      <c r="S764" s="15">
        <v>1300</v>
      </c>
      <c r="T764" s="15">
        <v>17</v>
      </c>
      <c r="U764" s="15" t="s">
        <v>807</v>
      </c>
      <c r="V764" s="31">
        <v>2</v>
      </c>
      <c r="W764" s="15" t="s">
        <v>1219</v>
      </c>
      <c r="X764" s="15" t="s">
        <v>532</v>
      </c>
      <c r="Y764" s="1">
        <v>9</v>
      </c>
      <c r="Z764" s="15">
        <v>6.21</v>
      </c>
      <c r="AA764" s="15" t="s">
        <v>574</v>
      </c>
      <c r="AB764" s="15">
        <f t="shared" si="673"/>
        <v>6.21</v>
      </c>
      <c r="AC764" s="1">
        <v>5</v>
      </c>
      <c r="AD764" s="15">
        <f t="shared" si="682"/>
        <v>5.2026000000000003</v>
      </c>
      <c r="AM764" s="1"/>
      <c r="AP764" s="15" t="s">
        <v>837</v>
      </c>
      <c r="AQ764" s="1">
        <v>2</v>
      </c>
      <c r="AR764" s="1">
        <v>3</v>
      </c>
      <c r="CC764" s="15" t="s">
        <v>835</v>
      </c>
      <c r="CE764" s="15">
        <v>4</v>
      </c>
      <c r="CF764" s="15">
        <f t="shared" si="683"/>
        <v>90000</v>
      </c>
      <c r="CG764" s="15" t="s">
        <v>766</v>
      </c>
      <c r="CH764" s="15">
        <v>9.59</v>
      </c>
      <c r="CI764" s="15">
        <v>450</v>
      </c>
      <c r="CK764" s="15">
        <v>248.6</v>
      </c>
      <c r="CL764" s="15">
        <v>8.92</v>
      </c>
      <c r="CY764" s="25">
        <f t="shared" si="674"/>
        <v>90000</v>
      </c>
      <c r="CZ764" s="25">
        <f t="shared" si="675"/>
        <v>115.38461538461537</v>
      </c>
      <c r="DA764" s="25">
        <f t="shared" si="676"/>
        <v>270000</v>
      </c>
      <c r="FK764" s="16">
        <f t="shared" si="677"/>
        <v>6.21</v>
      </c>
      <c r="FL764" s="16">
        <f t="shared" si="678"/>
        <v>6.85</v>
      </c>
      <c r="FM764" s="15">
        <v>6.21</v>
      </c>
      <c r="FN764" s="15">
        <v>0.22</v>
      </c>
      <c r="FO764" s="15">
        <f>FN764*SQRT(AR764)</f>
        <v>0.38105117766515301</v>
      </c>
      <c r="FP764" s="15">
        <v>6.85</v>
      </c>
      <c r="FQ764" s="15">
        <v>0.04</v>
      </c>
      <c r="FR764" s="15">
        <f>FQ764*SQRT(AR764)</f>
        <v>6.9282032302755092E-2</v>
      </c>
      <c r="FS764" s="15">
        <f t="shared" si="640"/>
        <v>1.1030595813204509</v>
      </c>
      <c r="FT764" s="15">
        <f t="shared" si="641"/>
        <v>0.63999999999999968</v>
      </c>
      <c r="FU764" s="15">
        <f t="shared" si="642"/>
        <v>9.8087756328746334E-2</v>
      </c>
      <c r="FV764" s="15">
        <f>((FR764*FR764)/(AR764*FP764*FP764)+(FO764*FO764)/(AR764*FM764*FM764))</f>
        <v>1.2891520548400845E-3</v>
      </c>
      <c r="FX764" s="15">
        <v>5.15</v>
      </c>
      <c r="FY764" s="15">
        <v>0.22</v>
      </c>
      <c r="FZ764" s="15">
        <f>FY764*SQRT(AR764)</f>
        <v>0.38105117766515301</v>
      </c>
      <c r="GA764" s="15">
        <v>27.44</v>
      </c>
      <c r="GB764" s="15">
        <v>5.0599999999999996</v>
      </c>
      <c r="GC764" s="15">
        <f>GB764*SQRT(AR764)</f>
        <v>8.7641770862985187</v>
      </c>
      <c r="GD764" s="15">
        <f t="shared" si="679"/>
        <v>5.328155339805825</v>
      </c>
      <c r="GE764" s="15">
        <f t="shared" si="680"/>
        <v>22.29</v>
      </c>
      <c r="GF764" s="15">
        <f t="shared" si="681"/>
        <v>1.6730050881820395</v>
      </c>
      <c r="GG764" s="15">
        <f>((GC764*GC764)/(AR764*GA764*GA764)+(FZ764*FZ764)/(AR764*FX764*FX764))</f>
        <v>3.5829085860449965E-2</v>
      </c>
      <c r="HY764" s="25">
        <f>CY764</f>
        <v>90000</v>
      </c>
      <c r="HZ764" s="25">
        <f>CZ764</f>
        <v>115.38461538461537</v>
      </c>
      <c r="IA764" s="25">
        <f>DA764</f>
        <v>270000</v>
      </c>
    </row>
    <row r="765" spans="1:235" s="15" customFormat="1" x14ac:dyDescent="0.25">
      <c r="A765" s="31">
        <v>763</v>
      </c>
      <c r="B765" s="1">
        <v>114</v>
      </c>
      <c r="C765" s="1">
        <v>134</v>
      </c>
      <c r="D765" s="15" t="s">
        <v>1702</v>
      </c>
      <c r="E765" s="1">
        <v>2</v>
      </c>
      <c r="F765" s="15" t="s">
        <v>777</v>
      </c>
      <c r="G765" s="15" t="s">
        <v>1706</v>
      </c>
      <c r="H765" s="15" t="s">
        <v>829</v>
      </c>
      <c r="I765" s="1">
        <v>2019</v>
      </c>
      <c r="J765" s="15" t="s">
        <v>1705</v>
      </c>
      <c r="K765" s="1">
        <v>2017</v>
      </c>
      <c r="L765" s="15" t="s">
        <v>1707</v>
      </c>
      <c r="M765" s="15" t="s">
        <v>480</v>
      </c>
      <c r="N765" s="15" t="s">
        <v>520</v>
      </c>
      <c r="O765" s="31">
        <v>2</v>
      </c>
      <c r="P765" s="15">
        <v>27.79</v>
      </c>
      <c r="Q765" s="15">
        <v>109.22</v>
      </c>
      <c r="S765" s="15">
        <v>1300</v>
      </c>
      <c r="T765" s="15">
        <v>17</v>
      </c>
      <c r="U765" s="15" t="s">
        <v>807</v>
      </c>
      <c r="V765" s="31">
        <v>2</v>
      </c>
      <c r="W765" s="15" t="s">
        <v>1219</v>
      </c>
      <c r="X765" s="15" t="s">
        <v>532</v>
      </c>
      <c r="Y765" s="1">
        <v>9</v>
      </c>
      <c r="Z765" s="15">
        <v>6.21</v>
      </c>
      <c r="AA765" s="15" t="s">
        <v>574</v>
      </c>
      <c r="AB765" s="15">
        <f t="shared" si="673"/>
        <v>6.21</v>
      </c>
      <c r="AC765" s="1">
        <v>5</v>
      </c>
      <c r="AD765" s="15">
        <f t="shared" si="682"/>
        <v>5.2026000000000003</v>
      </c>
      <c r="AM765" s="1"/>
      <c r="AP765" s="15" t="s">
        <v>837</v>
      </c>
      <c r="AQ765" s="1">
        <v>2</v>
      </c>
      <c r="AR765" s="1">
        <v>3</v>
      </c>
      <c r="CC765" s="15" t="s">
        <v>836</v>
      </c>
      <c r="CE765" s="15">
        <v>1</v>
      </c>
      <c r="CF765" s="15">
        <f t="shared" si="683"/>
        <v>22500</v>
      </c>
      <c r="CG765" s="15" t="s">
        <v>766</v>
      </c>
      <c r="CH765" s="15">
        <v>9.5500000000000007</v>
      </c>
      <c r="CI765" s="15">
        <v>450</v>
      </c>
      <c r="CK765" s="15">
        <v>521.70000000000005</v>
      </c>
      <c r="CL765" s="15">
        <v>8.5299999999999994</v>
      </c>
      <c r="CY765" s="25">
        <f t="shared" si="674"/>
        <v>22500</v>
      </c>
      <c r="CZ765" s="25">
        <f t="shared" si="675"/>
        <v>28.846153846153843</v>
      </c>
      <c r="DA765" s="25">
        <f t="shared" si="676"/>
        <v>67500</v>
      </c>
      <c r="FK765" s="16">
        <f t="shared" si="677"/>
        <v>6.21</v>
      </c>
      <c r="FL765" s="16">
        <f t="shared" si="678"/>
        <v>6.77</v>
      </c>
      <c r="FM765" s="15">
        <v>6.21</v>
      </c>
      <c r="FN765" s="15">
        <v>0.22</v>
      </c>
      <c r="FO765" s="15">
        <f>FN765*SQRT(AR765)</f>
        <v>0.38105117766515301</v>
      </c>
      <c r="FP765" s="15">
        <v>6.77</v>
      </c>
      <c r="FQ765" s="15">
        <v>1.8</v>
      </c>
      <c r="FR765" s="15">
        <f>FQ765*SQRT(AR765)</f>
        <v>3.117691453623979</v>
      </c>
      <c r="FS765" s="15">
        <f t="shared" si="640"/>
        <v>1.0901771336553945</v>
      </c>
      <c r="FT765" s="15">
        <f t="shared" si="641"/>
        <v>0.55999999999999961</v>
      </c>
      <c r="FU765" s="15">
        <f t="shared" si="642"/>
        <v>8.6340190978796194E-2</v>
      </c>
      <c r="FV765" s="15">
        <f>((FR765*FR765)/(AR765*FP765*FP765)+(FO765*FO765)/(AR765*FM765*FM765))</f>
        <v>7.194663072257837E-2</v>
      </c>
      <c r="FX765" s="15">
        <v>5.15</v>
      </c>
      <c r="FY765" s="15">
        <v>0.22</v>
      </c>
      <c r="FZ765" s="15">
        <f>FY765*SQRT(AR765)</f>
        <v>0.38105117766515301</v>
      </c>
      <c r="GA765" s="15">
        <v>19.07</v>
      </c>
      <c r="GB765" s="15">
        <v>1.24</v>
      </c>
      <c r="GC765" s="15">
        <f>GB765*SQRT(AR765)</f>
        <v>2.1477430013854075</v>
      </c>
      <c r="GD765" s="15">
        <f t="shared" si="679"/>
        <v>3.7029126213592232</v>
      </c>
      <c r="GE765" s="15">
        <f t="shared" si="680"/>
        <v>13.92</v>
      </c>
      <c r="GF765" s="15">
        <f t="shared" si="681"/>
        <v>1.3091197049366829</v>
      </c>
      <c r="GG765" s="15">
        <f>((GC765*GC765)/(AR765*GA765*GA765)+(FZ765*FZ765)/(AR765*FX765*FX765))</f>
        <v>6.0529338824307681E-3</v>
      </c>
      <c r="HY765" s="25">
        <f>CY765</f>
        <v>22500</v>
      </c>
      <c r="HZ765" s="25">
        <f>CZ765</f>
        <v>28.846153846153843</v>
      </c>
      <c r="IA765" s="25">
        <f>DA765</f>
        <v>67500</v>
      </c>
    </row>
    <row r="766" spans="1:235" s="15" customFormat="1" x14ac:dyDescent="0.25">
      <c r="A766" s="31">
        <v>764</v>
      </c>
      <c r="B766" s="1">
        <v>114</v>
      </c>
      <c r="C766" s="1">
        <v>134</v>
      </c>
      <c r="D766" s="15" t="s">
        <v>1703</v>
      </c>
      <c r="E766" s="1">
        <v>2</v>
      </c>
      <c r="F766" s="15" t="s">
        <v>777</v>
      </c>
      <c r="G766" s="15" t="s">
        <v>1706</v>
      </c>
      <c r="H766" s="15" t="s">
        <v>829</v>
      </c>
      <c r="I766" s="1">
        <v>2019</v>
      </c>
      <c r="J766" s="15" t="s">
        <v>1705</v>
      </c>
      <c r="K766" s="1">
        <v>2017</v>
      </c>
      <c r="L766" s="15" t="s">
        <v>1707</v>
      </c>
      <c r="M766" s="15" t="s">
        <v>480</v>
      </c>
      <c r="N766" s="15" t="s">
        <v>520</v>
      </c>
      <c r="O766" s="31">
        <v>2</v>
      </c>
      <c r="P766" s="15">
        <v>27.79</v>
      </c>
      <c r="Q766" s="15">
        <v>109.22</v>
      </c>
      <c r="S766" s="15">
        <v>1300</v>
      </c>
      <c r="T766" s="15">
        <v>17</v>
      </c>
      <c r="U766" s="15" t="s">
        <v>807</v>
      </c>
      <c r="V766" s="31">
        <v>2</v>
      </c>
      <c r="W766" s="15" t="s">
        <v>1219</v>
      </c>
      <c r="X766" s="15" t="s">
        <v>532</v>
      </c>
      <c r="Y766" s="1">
        <v>9</v>
      </c>
      <c r="Z766" s="15">
        <v>6.21</v>
      </c>
      <c r="AA766" s="15" t="s">
        <v>574</v>
      </c>
      <c r="AB766" s="15">
        <f t="shared" si="673"/>
        <v>6.21</v>
      </c>
      <c r="AC766" s="1">
        <v>5</v>
      </c>
      <c r="AD766" s="15">
        <f t="shared" si="682"/>
        <v>5.2026000000000003</v>
      </c>
      <c r="AM766" s="1"/>
      <c r="AP766" s="15" t="s">
        <v>837</v>
      </c>
      <c r="AQ766" s="1">
        <v>2</v>
      </c>
      <c r="AR766" s="1">
        <v>3</v>
      </c>
      <c r="CC766" s="15" t="s">
        <v>836</v>
      </c>
      <c r="CE766" s="15">
        <v>2</v>
      </c>
      <c r="CF766" s="15">
        <f t="shared" si="683"/>
        <v>45000</v>
      </c>
      <c r="CG766" s="15" t="s">
        <v>766</v>
      </c>
      <c r="CH766" s="15">
        <v>9.5500000000000007</v>
      </c>
      <c r="CI766" s="15">
        <v>450</v>
      </c>
      <c r="CK766" s="15">
        <v>521.70000000000005</v>
      </c>
      <c r="CL766" s="15">
        <v>8.5299999999999994</v>
      </c>
      <c r="CY766" s="25">
        <f t="shared" si="674"/>
        <v>45000</v>
      </c>
      <c r="CZ766" s="25">
        <f t="shared" si="675"/>
        <v>57.692307692307686</v>
      </c>
      <c r="DA766" s="25">
        <f t="shared" si="676"/>
        <v>135000</v>
      </c>
      <c r="FK766" s="16">
        <f t="shared" si="677"/>
        <v>6.21</v>
      </c>
      <c r="FL766" s="16">
        <f t="shared" si="678"/>
        <v>6.81</v>
      </c>
      <c r="FM766" s="15">
        <v>6.21</v>
      </c>
      <c r="FN766" s="15">
        <v>0.22</v>
      </c>
      <c r="FO766" s="15">
        <f>FN766*SQRT(AR766)</f>
        <v>0.38105117766515301</v>
      </c>
      <c r="FP766" s="15">
        <v>6.81</v>
      </c>
      <c r="FQ766" s="15">
        <v>0.08</v>
      </c>
      <c r="FR766" s="15">
        <f>FQ766*SQRT(AR766)</f>
        <v>0.13856406460551018</v>
      </c>
      <c r="FS766" s="15">
        <f t="shared" si="640"/>
        <v>1.0966183574879227</v>
      </c>
      <c r="FT766" s="15">
        <f t="shared" si="641"/>
        <v>0.59999999999999964</v>
      </c>
      <c r="FU766" s="15">
        <f t="shared" si="642"/>
        <v>9.2231224216033469E-2</v>
      </c>
      <c r="FV766" s="15">
        <f>((FR766*FR766)/(AR766*FP766*FP766)+(FO766*FO766)/(AR766*FM766*FM766))</f>
        <v>1.3930553924070429E-3</v>
      </c>
      <c r="FX766" s="15">
        <v>5.15</v>
      </c>
      <c r="FY766" s="15">
        <v>0.22</v>
      </c>
      <c r="FZ766" s="15">
        <f>FY766*SQRT(AR766)</f>
        <v>0.38105117766515301</v>
      </c>
      <c r="GA766" s="15">
        <v>23.75</v>
      </c>
      <c r="GB766" s="15">
        <v>6.99</v>
      </c>
      <c r="GC766" s="15">
        <f>GB766*SQRT(AR766)</f>
        <v>12.107035144906453</v>
      </c>
      <c r="GD766" s="15">
        <f t="shared" si="679"/>
        <v>4.6116504854368925</v>
      </c>
      <c r="GE766" s="15">
        <f t="shared" si="680"/>
        <v>18.600000000000001</v>
      </c>
      <c r="GF766" s="15">
        <f t="shared" si="681"/>
        <v>1.5285858158050056</v>
      </c>
      <c r="GG766" s="15">
        <f>((GC766*GC766)/(AR766*GA766*GA766)+(FZ766*FZ766)/(AR766*FX766*FX766))</f>
        <v>8.8446649613600964E-2</v>
      </c>
      <c r="HY766" s="25">
        <f>CY766</f>
        <v>45000</v>
      </c>
      <c r="HZ766" s="25">
        <f>CZ766</f>
        <v>57.692307692307686</v>
      </c>
      <c r="IA766" s="25">
        <f>DA766</f>
        <v>135000</v>
      </c>
    </row>
    <row r="767" spans="1:235" s="15" customFormat="1" x14ac:dyDescent="0.25">
      <c r="A767" s="31">
        <v>765</v>
      </c>
      <c r="B767" s="1">
        <v>114</v>
      </c>
      <c r="C767" s="1">
        <v>134</v>
      </c>
      <c r="D767" s="15" t="s">
        <v>1704</v>
      </c>
      <c r="E767" s="1">
        <v>2</v>
      </c>
      <c r="F767" s="15" t="s">
        <v>777</v>
      </c>
      <c r="G767" s="15" t="s">
        <v>1706</v>
      </c>
      <c r="H767" s="15" t="s">
        <v>829</v>
      </c>
      <c r="I767" s="1">
        <v>2019</v>
      </c>
      <c r="J767" s="15" t="s">
        <v>1705</v>
      </c>
      <c r="K767" s="1">
        <v>2017</v>
      </c>
      <c r="L767" s="15" t="s">
        <v>1707</v>
      </c>
      <c r="M767" s="15" t="s">
        <v>480</v>
      </c>
      <c r="N767" s="15" t="s">
        <v>520</v>
      </c>
      <c r="O767" s="31">
        <v>2</v>
      </c>
      <c r="P767" s="15">
        <v>27.79</v>
      </c>
      <c r="Q767" s="15">
        <v>109.22</v>
      </c>
      <c r="S767" s="15">
        <v>1300</v>
      </c>
      <c r="T767" s="15">
        <v>17</v>
      </c>
      <c r="U767" s="15" t="s">
        <v>807</v>
      </c>
      <c r="V767" s="31">
        <v>2</v>
      </c>
      <c r="W767" s="15" t="s">
        <v>1219</v>
      </c>
      <c r="X767" s="15" t="s">
        <v>532</v>
      </c>
      <c r="Y767" s="1">
        <v>9</v>
      </c>
      <c r="Z767" s="15">
        <v>6.21</v>
      </c>
      <c r="AA767" s="15" t="s">
        <v>574</v>
      </c>
      <c r="AB767" s="15">
        <f t="shared" si="673"/>
        <v>6.21</v>
      </c>
      <c r="AC767" s="1">
        <v>5</v>
      </c>
      <c r="AD767" s="15">
        <f t="shared" si="682"/>
        <v>5.2026000000000003</v>
      </c>
      <c r="AM767" s="1"/>
      <c r="AP767" s="15" t="s">
        <v>837</v>
      </c>
      <c r="AQ767" s="1">
        <v>2</v>
      </c>
      <c r="AR767" s="1">
        <v>3</v>
      </c>
      <c r="CC767" s="15" t="s">
        <v>836</v>
      </c>
      <c r="CE767" s="15">
        <v>4</v>
      </c>
      <c r="CF767" s="15">
        <f t="shared" si="683"/>
        <v>90000</v>
      </c>
      <c r="CG767" s="15" t="s">
        <v>766</v>
      </c>
      <c r="CH767" s="15">
        <v>9.5500000000000007</v>
      </c>
      <c r="CI767" s="15">
        <v>450</v>
      </c>
      <c r="CK767" s="15">
        <v>521.70000000000005</v>
      </c>
      <c r="CL767" s="15">
        <v>8.5299999999999994</v>
      </c>
      <c r="CY767" s="25">
        <f t="shared" si="674"/>
        <v>90000</v>
      </c>
      <c r="CZ767" s="25">
        <f t="shared" si="675"/>
        <v>115.38461538461537</v>
      </c>
      <c r="DA767" s="25">
        <f t="shared" si="676"/>
        <v>270000</v>
      </c>
      <c r="FK767" s="16">
        <f t="shared" si="677"/>
        <v>6.21</v>
      </c>
      <c r="FL767" s="16">
        <f t="shared" si="678"/>
        <v>7.33</v>
      </c>
      <c r="FM767" s="15">
        <v>6.21</v>
      </c>
      <c r="FN767" s="15">
        <v>0.22</v>
      </c>
      <c r="FO767" s="15">
        <f>FN767*SQRT(AR767)</f>
        <v>0.38105117766515301</v>
      </c>
      <c r="FP767" s="15">
        <v>7.33</v>
      </c>
      <c r="FQ767" s="15">
        <v>0.21</v>
      </c>
      <c r="FR767" s="15">
        <f>FQ767*SQRT(AR767)</f>
        <v>0.36373066958946421</v>
      </c>
      <c r="FS767" s="15">
        <f t="shared" si="640"/>
        <v>1.180354267310789</v>
      </c>
      <c r="FT767" s="15">
        <f t="shared" si="641"/>
        <v>1.1200000000000001</v>
      </c>
      <c r="FU767" s="15">
        <f t="shared" si="642"/>
        <v>0.1658146199531727</v>
      </c>
      <c r="FV767" s="15">
        <f>((FR767*FR767)/(AR767*FP767*FP767)+(FO767*FO767)/(AR767*FM767*FM767))</f>
        <v>2.0758405979606023E-3</v>
      </c>
      <c r="FX767" s="15">
        <v>5.15</v>
      </c>
      <c r="FY767" s="15">
        <v>0.22</v>
      </c>
      <c r="FZ767" s="15">
        <f>FY767*SQRT(AR767)</f>
        <v>0.38105117766515301</v>
      </c>
      <c r="GA767" s="15">
        <v>28.1</v>
      </c>
      <c r="GB767" s="15">
        <v>3.31</v>
      </c>
      <c r="GC767" s="15">
        <f>GB767*SQRT(AR767)</f>
        <v>5.7330881730529839</v>
      </c>
      <c r="GD767" s="15">
        <f t="shared" si="679"/>
        <v>5.4563106796116507</v>
      </c>
      <c r="GE767" s="15">
        <f t="shared" si="680"/>
        <v>22.950000000000003</v>
      </c>
      <c r="GF767" s="15">
        <f t="shared" si="681"/>
        <v>1.6967728616640552</v>
      </c>
      <c r="GG767" s="15">
        <f>((GC767*GC767)/(AR767*GA767*GA767)+(FZ767*FZ767)/(AR767*FX767*FX767))</f>
        <v>1.5700196539621198E-2</v>
      </c>
      <c r="HY767" s="25">
        <f>CY767</f>
        <v>90000</v>
      </c>
      <c r="HZ767" s="25">
        <f>CZ767</f>
        <v>115.38461538461537</v>
      </c>
      <c r="IA767" s="25">
        <f>DA767</f>
        <v>270000</v>
      </c>
    </row>
    <row r="768" spans="1:235" s="15" customFormat="1" x14ac:dyDescent="0.25">
      <c r="A768" s="31">
        <v>766</v>
      </c>
      <c r="B768" s="1">
        <v>115</v>
      </c>
      <c r="C768" s="1">
        <v>135</v>
      </c>
      <c r="D768" s="15" t="s">
        <v>1709</v>
      </c>
      <c r="E768" s="1">
        <v>2</v>
      </c>
      <c r="F768" s="15" t="s">
        <v>777</v>
      </c>
      <c r="G768" s="15" t="s">
        <v>1708</v>
      </c>
      <c r="H768" s="15" t="s">
        <v>839</v>
      </c>
      <c r="I768" s="1">
        <v>2016</v>
      </c>
      <c r="J768" s="15" t="s">
        <v>1715</v>
      </c>
      <c r="K768" s="1" t="s">
        <v>1716</v>
      </c>
      <c r="L768" s="15" t="s">
        <v>1717</v>
      </c>
      <c r="M768" s="15" t="s">
        <v>480</v>
      </c>
      <c r="N768" s="15" t="s">
        <v>520</v>
      </c>
      <c r="O768" s="31">
        <v>2</v>
      </c>
      <c r="P768" s="15">
        <v>29.14</v>
      </c>
      <c r="Q768" s="15">
        <v>120.04</v>
      </c>
      <c r="S768" s="15">
        <v>1350</v>
      </c>
      <c r="T768" s="15">
        <v>17</v>
      </c>
      <c r="U768" s="15" t="s">
        <v>549</v>
      </c>
      <c r="V768" s="31">
        <v>1</v>
      </c>
      <c r="W768" s="15" t="s">
        <v>1153</v>
      </c>
      <c r="X768" s="15" t="s">
        <v>689</v>
      </c>
      <c r="Y768" s="1">
        <v>1</v>
      </c>
      <c r="Z768" s="15">
        <v>6.16</v>
      </c>
      <c r="AA768" s="15" t="s">
        <v>574</v>
      </c>
      <c r="AB768" s="15">
        <f t="shared" si="673"/>
        <v>6.16</v>
      </c>
      <c r="AC768" s="1">
        <v>5</v>
      </c>
      <c r="AD768" s="15">
        <v>39.200000000000003</v>
      </c>
      <c r="AM768" s="1"/>
      <c r="AP768" s="15" t="s">
        <v>1718</v>
      </c>
      <c r="AQ768" s="61">
        <v>3</v>
      </c>
      <c r="AR768" s="1">
        <v>4</v>
      </c>
      <c r="CC768" s="15" t="s">
        <v>1719</v>
      </c>
      <c r="CE768" s="15">
        <v>5180</v>
      </c>
      <c r="CF768" s="15">
        <f>CE768</f>
        <v>5180</v>
      </c>
      <c r="CG768" s="15" t="s">
        <v>766</v>
      </c>
      <c r="CH768" s="15">
        <v>9.8000000000000007</v>
      </c>
      <c r="CI768" s="15">
        <v>600</v>
      </c>
      <c r="CJ768" s="15">
        <v>15.3</v>
      </c>
      <c r="CK768" s="15">
        <v>869</v>
      </c>
      <c r="CL768" s="15">
        <v>6.9</v>
      </c>
      <c r="CY768" s="25">
        <f t="shared" si="674"/>
        <v>5180</v>
      </c>
      <c r="CZ768" s="25">
        <f t="shared" si="675"/>
        <v>6.6410256410256405</v>
      </c>
      <c r="DA768" s="25">
        <f t="shared" si="676"/>
        <v>15540</v>
      </c>
      <c r="FK768" s="16">
        <f t="shared" si="677"/>
        <v>6.01</v>
      </c>
      <c r="FL768" s="16">
        <f t="shared" si="678"/>
        <v>6.16</v>
      </c>
      <c r="FM768" s="15">
        <v>6.01</v>
      </c>
      <c r="FN768" s="15">
        <v>0.03</v>
      </c>
      <c r="FO768" s="15">
        <f>FN768*SQRT(AR768)</f>
        <v>0.06</v>
      </c>
      <c r="FP768" s="15">
        <v>6.16</v>
      </c>
      <c r="FQ768" s="15">
        <v>7.0000000000000007E-2</v>
      </c>
      <c r="FR768" s="15">
        <f>FQ768*SQRT(AR768)</f>
        <v>0.14000000000000001</v>
      </c>
      <c r="FS768" s="15">
        <f t="shared" si="640"/>
        <v>1.0249584026622296</v>
      </c>
      <c r="FT768" s="15">
        <f t="shared" si="641"/>
        <v>0.15000000000000036</v>
      </c>
      <c r="FU768" s="15">
        <f t="shared" si="642"/>
        <v>2.4652028998312314E-2</v>
      </c>
      <c r="FV768" s="15">
        <f>((FR768*FR768)/(AR768*FP768*FP768)+(FO768*FO768)/(AR768*FM768*FM768))</f>
        <v>1.5404910594295833E-4</v>
      </c>
      <c r="FX768" s="15">
        <v>40.89</v>
      </c>
      <c r="FY768" s="15">
        <v>1.5311999999999999</v>
      </c>
      <c r="FZ768" s="15">
        <f>FY768*SQRT(AR768)</f>
        <v>3.0623999999999998</v>
      </c>
      <c r="GA768" s="15">
        <v>46.98</v>
      </c>
      <c r="GB768" s="15">
        <v>2.1402000000000001</v>
      </c>
      <c r="GC768" s="15">
        <f>GB768*SQRT(AR768)</f>
        <v>4.2804000000000002</v>
      </c>
      <c r="GD768" s="15">
        <f t="shared" si="679"/>
        <v>1.1489361702127658</v>
      </c>
      <c r="GE768" s="15">
        <f t="shared" si="680"/>
        <v>6.0899999999999963</v>
      </c>
      <c r="GF768" s="15">
        <f t="shared" si="681"/>
        <v>0.13883644485421609</v>
      </c>
      <c r="GG768" s="15">
        <f>((GC768*GC768)/(AR768*GA768*GA768)+(FZ768*FZ768)/(AR768*FX768*FX768))</f>
        <v>3.4775721096077213E-3</v>
      </c>
      <c r="HE768" s="15">
        <v>5450</v>
      </c>
      <c r="HF768" s="15">
        <v>220</v>
      </c>
      <c r="HG768" s="15">
        <f>HF768*SQRT(AR458)</f>
        <v>381.05117766515298</v>
      </c>
      <c r="HH768" s="15">
        <v>5710</v>
      </c>
      <c r="HI768" s="15">
        <v>160</v>
      </c>
      <c r="HJ768" s="15">
        <f>HI768*SQRT(AR458)</f>
        <v>277.12812921102034</v>
      </c>
      <c r="HK768" s="15">
        <f t="shared" ref="HK768:HK794" si="684">HH768/HE768</f>
        <v>1.0477064220183485</v>
      </c>
      <c r="HL768" s="15">
        <f t="shared" ref="HL768:HL794" si="685">HH768-HE768</f>
        <v>260</v>
      </c>
      <c r="HM768" s="15">
        <f t="shared" ref="HM768:HM794" si="686">LN(HH768)-LN(HE768)</f>
        <v>4.6603414992766545E-2</v>
      </c>
      <c r="HN768" s="15">
        <f>((HJ768*HJ768)/(AR458*HH768*HH768)+(HG768*HG768)/(AR458*HE768*HE768))</f>
        <v>2.4146697912883009E-3</v>
      </c>
      <c r="HP768" s="15" t="s">
        <v>766</v>
      </c>
      <c r="HV768" s="15">
        <f t="shared" ref="HV768:HV794" si="687">HX768/HW768/100</f>
        <v>3334.5195845437529</v>
      </c>
      <c r="HW768" s="15">
        <f t="shared" ref="HW768:HW794" si="688">HM768</f>
        <v>4.6603414992766545E-2</v>
      </c>
      <c r="HX768" s="25">
        <f>DA768</f>
        <v>15540</v>
      </c>
      <c r="HY768" s="25">
        <f>CY768</f>
        <v>5180</v>
      </c>
      <c r="HZ768" s="25">
        <f>CZ768</f>
        <v>6.6410256410256405</v>
      </c>
      <c r="IA768" s="25">
        <f>DA768</f>
        <v>15540</v>
      </c>
    </row>
    <row r="769" spans="1:235" s="15" customFormat="1" x14ac:dyDescent="0.25">
      <c r="A769" s="31">
        <v>767</v>
      </c>
      <c r="B769" s="1">
        <v>115</v>
      </c>
      <c r="C769" s="1">
        <v>135</v>
      </c>
      <c r="D769" s="15" t="s">
        <v>1710</v>
      </c>
      <c r="E769" s="1">
        <v>2</v>
      </c>
      <c r="F769" s="15" t="s">
        <v>777</v>
      </c>
      <c r="G769" s="15" t="s">
        <v>1708</v>
      </c>
      <c r="H769" s="15" t="s">
        <v>839</v>
      </c>
      <c r="I769" s="1">
        <v>2016</v>
      </c>
      <c r="J769" s="15" t="s">
        <v>1715</v>
      </c>
      <c r="K769" s="1" t="s">
        <v>1716</v>
      </c>
      <c r="L769" s="15" t="s">
        <v>1717</v>
      </c>
      <c r="M769" s="15" t="s">
        <v>480</v>
      </c>
      <c r="N769" s="15" t="s">
        <v>520</v>
      </c>
      <c r="O769" s="31">
        <v>2</v>
      </c>
      <c r="P769" s="15">
        <v>29.14</v>
      </c>
      <c r="Q769" s="15">
        <v>120.04</v>
      </c>
      <c r="S769" s="15">
        <v>1350</v>
      </c>
      <c r="T769" s="15">
        <v>17</v>
      </c>
      <c r="U769" s="15" t="s">
        <v>549</v>
      </c>
      <c r="V769" s="31">
        <v>1</v>
      </c>
      <c r="W769" s="15" t="s">
        <v>1153</v>
      </c>
      <c r="X769" s="15" t="s">
        <v>689</v>
      </c>
      <c r="Y769" s="1">
        <v>1</v>
      </c>
      <c r="Z769" s="15">
        <v>6.16</v>
      </c>
      <c r="AA769" s="15" t="s">
        <v>574</v>
      </c>
      <c r="AB769" s="15">
        <f t="shared" si="673"/>
        <v>6.16</v>
      </c>
      <c r="AC769" s="1">
        <v>5</v>
      </c>
      <c r="AD769" s="15">
        <v>39.200000000000003</v>
      </c>
      <c r="AM769" s="1"/>
      <c r="AP769" s="15" t="s">
        <v>1718</v>
      </c>
      <c r="AQ769" s="61">
        <v>3</v>
      </c>
      <c r="AR769" s="1">
        <v>4</v>
      </c>
      <c r="CC769" s="15" t="s">
        <v>1719</v>
      </c>
      <c r="CE769" s="15">
        <v>5180</v>
      </c>
      <c r="CF769" s="15">
        <f>CE769</f>
        <v>5180</v>
      </c>
      <c r="CG769" s="15" t="s">
        <v>766</v>
      </c>
      <c r="CH769" s="15">
        <v>9.8000000000000007</v>
      </c>
      <c r="CI769" s="15">
        <v>600</v>
      </c>
      <c r="CJ769" s="15">
        <v>15.3</v>
      </c>
      <c r="CK769" s="15">
        <v>869</v>
      </c>
      <c r="CL769" s="15">
        <v>6.9</v>
      </c>
      <c r="CY769" s="25">
        <f t="shared" si="674"/>
        <v>5180</v>
      </c>
      <c r="CZ769" s="25">
        <f t="shared" si="675"/>
        <v>6.6410256410256405</v>
      </c>
      <c r="DA769" s="25">
        <f t="shared" si="676"/>
        <v>15540</v>
      </c>
      <c r="FK769" s="16">
        <f t="shared" si="677"/>
        <v>5.0599999999999996</v>
      </c>
      <c r="FL769" s="16">
        <f t="shared" si="678"/>
        <v>5.13</v>
      </c>
      <c r="FM769" s="15">
        <v>5.0599999999999996</v>
      </c>
      <c r="FN769" s="15">
        <v>0.04</v>
      </c>
      <c r="FO769" s="15">
        <f>FN769*SQRT(AR769)</f>
        <v>0.08</v>
      </c>
      <c r="FP769" s="15">
        <v>5.13</v>
      </c>
      <c r="FQ769" s="15">
        <v>7.0000000000000007E-2</v>
      </c>
      <c r="FR769" s="15">
        <f>FQ769*SQRT(AR769)</f>
        <v>0.14000000000000001</v>
      </c>
      <c r="FS769" s="15">
        <f t="shared" si="640"/>
        <v>1.0138339920948618</v>
      </c>
      <c r="FT769" s="15">
        <f t="shared" si="641"/>
        <v>7.0000000000000284E-2</v>
      </c>
      <c r="FU769" s="15">
        <f t="shared" si="642"/>
        <v>1.3739175883304089E-2</v>
      </c>
      <c r="FV769" s="15">
        <f>((FR769*FR769)/(AR769*FP769*FP769)+(FO769*FO769)/(AR769*FM769*FM769))</f>
        <v>2.4868335486486658E-4</v>
      </c>
      <c r="FX769" s="15">
        <v>44.37</v>
      </c>
      <c r="FY769" s="15">
        <v>1.7052</v>
      </c>
      <c r="FZ769" s="15">
        <f>FY769*SQRT(AR769)</f>
        <v>3.4104000000000001</v>
      </c>
      <c r="GA769" s="15">
        <v>48.72</v>
      </c>
      <c r="GB769" s="15">
        <v>2.9057999999999997</v>
      </c>
      <c r="GC769" s="15">
        <f>GB769*SQRT(AR769)</f>
        <v>5.8115999999999994</v>
      </c>
      <c r="GD769" s="15">
        <f t="shared" si="679"/>
        <v>1.0980392156862746</v>
      </c>
      <c r="GE769" s="15">
        <f t="shared" si="680"/>
        <v>4.3500000000000014</v>
      </c>
      <c r="GF769" s="15">
        <f t="shared" si="681"/>
        <v>9.3526058010823476E-2</v>
      </c>
      <c r="GG769" s="15">
        <f>((GC769*GC769)/(AR769*GA769*GA769)+(FZ769*FZ769)/(AR769*FX769*FX769))</f>
        <v>5.034240804164803E-3</v>
      </c>
      <c r="HE769" s="15">
        <v>8320</v>
      </c>
      <c r="HF769" s="15">
        <v>300</v>
      </c>
      <c r="HG769" s="15">
        <f>HF769*SQRT(AR459)</f>
        <v>519.6152422706632</v>
      </c>
      <c r="HH769" s="15">
        <v>8690</v>
      </c>
      <c r="HI769" s="15">
        <v>240</v>
      </c>
      <c r="HJ769" s="15">
        <f>HI769*SQRT(AR459)</f>
        <v>415.69219381653051</v>
      </c>
      <c r="HK769" s="15">
        <f t="shared" si="684"/>
        <v>1.0444711538461537</v>
      </c>
      <c r="HL769" s="15">
        <f t="shared" si="685"/>
        <v>370</v>
      </c>
      <c r="HM769" s="15">
        <f t="shared" si="686"/>
        <v>4.3510684444184378E-2</v>
      </c>
      <c r="HN769" s="15">
        <f>((HJ769*HJ769)/(AR459*HH769*HH769)+(HG769*HG769)/(AR459*HE769*HE769))</f>
        <v>2.0629084289244867E-3</v>
      </c>
      <c r="HP769" s="15" t="s">
        <v>766</v>
      </c>
      <c r="HV769" s="15">
        <f t="shared" si="687"/>
        <v>3571.5365544145261</v>
      </c>
      <c r="HW769" s="15">
        <f t="shared" si="688"/>
        <v>4.3510684444184378E-2</v>
      </c>
      <c r="HX769" s="25">
        <f>DA769</f>
        <v>15540</v>
      </c>
      <c r="HY769" s="25">
        <f>CY769</f>
        <v>5180</v>
      </c>
      <c r="HZ769" s="25">
        <f>CZ769</f>
        <v>6.6410256410256405</v>
      </c>
      <c r="IA769" s="25">
        <f>DA769</f>
        <v>15540</v>
      </c>
    </row>
    <row r="770" spans="1:235" s="15" customFormat="1" x14ac:dyDescent="0.25">
      <c r="A770" s="31">
        <v>768</v>
      </c>
      <c r="B770" s="1">
        <v>115</v>
      </c>
      <c r="C770" s="1">
        <v>135</v>
      </c>
      <c r="D770" s="15" t="s">
        <v>1711</v>
      </c>
      <c r="E770" s="1">
        <v>2</v>
      </c>
      <c r="F770" s="15" t="s">
        <v>777</v>
      </c>
      <c r="G770" s="15" t="s">
        <v>1708</v>
      </c>
      <c r="H770" s="15" t="s">
        <v>839</v>
      </c>
      <c r="I770" s="1">
        <v>2016</v>
      </c>
      <c r="J770" s="15" t="s">
        <v>1715</v>
      </c>
      <c r="K770" s="1" t="s">
        <v>1716</v>
      </c>
      <c r="L770" s="15" t="s">
        <v>1717</v>
      </c>
      <c r="M770" s="15" t="s">
        <v>480</v>
      </c>
      <c r="N770" s="15" t="s">
        <v>520</v>
      </c>
      <c r="O770" s="31">
        <v>2</v>
      </c>
      <c r="P770" s="15">
        <v>29.14</v>
      </c>
      <c r="Q770" s="15">
        <v>120.04</v>
      </c>
      <c r="S770" s="15">
        <v>1350</v>
      </c>
      <c r="T770" s="15">
        <v>17</v>
      </c>
      <c r="U770" s="15" t="s">
        <v>549</v>
      </c>
      <c r="V770" s="31">
        <v>1</v>
      </c>
      <c r="W770" s="15" t="s">
        <v>1153</v>
      </c>
      <c r="X770" s="15" t="s">
        <v>689</v>
      </c>
      <c r="Y770" s="1">
        <v>1</v>
      </c>
      <c r="Z770" s="15">
        <v>6.16</v>
      </c>
      <c r="AA770" s="15" t="s">
        <v>574</v>
      </c>
      <c r="AB770" s="15">
        <f t="shared" si="673"/>
        <v>6.16</v>
      </c>
      <c r="AC770" s="1">
        <v>5</v>
      </c>
      <c r="AD770" s="15">
        <v>39.200000000000003</v>
      </c>
      <c r="AM770" s="1"/>
      <c r="AP770" s="15" t="s">
        <v>1718</v>
      </c>
      <c r="AQ770" s="61">
        <v>3</v>
      </c>
      <c r="AR770" s="1">
        <v>4</v>
      </c>
      <c r="CC770" s="15" t="s">
        <v>835</v>
      </c>
      <c r="CE770" s="15">
        <v>10500</v>
      </c>
      <c r="CF770" s="15">
        <f>CE770</f>
        <v>10500</v>
      </c>
      <c r="CG770" s="15" t="s">
        <v>766</v>
      </c>
      <c r="CH770" s="15">
        <v>10.199999999999999</v>
      </c>
      <c r="CI770" s="15">
        <v>550</v>
      </c>
      <c r="CJ770" s="15">
        <v>44.7</v>
      </c>
      <c r="CK770" s="15">
        <v>427</v>
      </c>
      <c r="CL770" s="15">
        <v>7.6</v>
      </c>
      <c r="CY770" s="25">
        <f t="shared" si="674"/>
        <v>10500</v>
      </c>
      <c r="CZ770" s="25">
        <f t="shared" si="675"/>
        <v>13.461538461538462</v>
      </c>
      <c r="DA770" s="25">
        <f t="shared" si="676"/>
        <v>31500</v>
      </c>
      <c r="FK770" s="16">
        <f t="shared" si="677"/>
        <v>6.01</v>
      </c>
      <c r="FL770" s="16">
        <f t="shared" si="678"/>
        <v>6.19</v>
      </c>
      <c r="FM770" s="15">
        <v>6.01</v>
      </c>
      <c r="FN770" s="15">
        <v>0.03</v>
      </c>
      <c r="FO770" s="15">
        <f>FN770*SQRT(AR770)</f>
        <v>0.06</v>
      </c>
      <c r="FP770" s="15">
        <v>6.19</v>
      </c>
      <c r="FQ770" s="15">
        <v>0.06</v>
      </c>
      <c r="FR770" s="15">
        <f>FQ770*SQRT(AR770)</f>
        <v>0.12</v>
      </c>
      <c r="FS770" s="15">
        <f t="shared" si="640"/>
        <v>1.0299500831946757</v>
      </c>
      <c r="FT770" s="15">
        <f t="shared" si="641"/>
        <v>0.1800000000000006</v>
      </c>
      <c r="FU770" s="15">
        <f t="shared" si="642"/>
        <v>2.9510338149388637E-2</v>
      </c>
      <c r="FV770" s="15">
        <f>((FR770*FR770)/(AR770*FP770*FP770)+(FO770*FO770)/(AR770*FM770*FM770))</f>
        <v>1.1887215704326501E-4</v>
      </c>
      <c r="FX770" s="15">
        <v>40.89</v>
      </c>
      <c r="FY770" s="15">
        <v>1.5311999999999999</v>
      </c>
      <c r="FZ770" s="15">
        <f>FY770*SQRT(AR770)</f>
        <v>3.0623999999999998</v>
      </c>
      <c r="GA770" s="15">
        <v>45.414000000000001</v>
      </c>
      <c r="GB770" s="15">
        <v>2.1749999999999998</v>
      </c>
      <c r="GC770" s="15">
        <f>GB770*SQRT(AR770)</f>
        <v>4.3499999999999996</v>
      </c>
      <c r="GD770" s="15">
        <f t="shared" si="679"/>
        <v>1.1106382978723404</v>
      </c>
      <c r="GE770" s="15">
        <f t="shared" si="680"/>
        <v>4.5240000000000009</v>
      </c>
      <c r="GF770" s="15">
        <f t="shared" si="681"/>
        <v>0.10493489317853477</v>
      </c>
      <c r="GG770" s="15">
        <f>((GC770*GC770)/(AR770*GA770*GA770)+(FZ770*FZ770)/(AR770*FX770*FX770))</f>
        <v>3.6959761259903337E-3</v>
      </c>
      <c r="HE770" s="15">
        <v>5450</v>
      </c>
      <c r="HF770" s="15">
        <v>220</v>
      </c>
      <c r="HG770" s="15">
        <f>HF770*SQRT(AR460)</f>
        <v>381.05117766515298</v>
      </c>
      <c r="HH770" s="15">
        <v>6030</v>
      </c>
      <c r="HI770" s="15">
        <v>250</v>
      </c>
      <c r="HJ770" s="15">
        <f>HI770*SQRT(AR460)</f>
        <v>433.0127018922193</v>
      </c>
      <c r="HK770" s="15">
        <f t="shared" si="684"/>
        <v>1.1064220183486237</v>
      </c>
      <c r="HL770" s="15">
        <f t="shared" si="685"/>
        <v>580</v>
      </c>
      <c r="HM770" s="15">
        <f t="shared" si="686"/>
        <v>0.10113140206394178</v>
      </c>
      <c r="HN770" s="15">
        <f>((HJ770*HJ770)/(AR460*HH770*HH770)+(HG770*HG770)/(AR460*HE770*HE770))</f>
        <v>3.3483718126348216E-3</v>
      </c>
      <c r="HP770" s="15" t="s">
        <v>766</v>
      </c>
      <c r="HV770" s="15">
        <f t="shared" si="687"/>
        <v>3114.7595462073864</v>
      </c>
      <c r="HW770" s="15">
        <f t="shared" si="688"/>
        <v>0.10113140206394178</v>
      </c>
      <c r="HX770" s="25">
        <f>DA770</f>
        <v>31500</v>
      </c>
      <c r="HY770" s="25">
        <f>CY770</f>
        <v>10500</v>
      </c>
      <c r="HZ770" s="25">
        <f>CZ770</f>
        <v>13.461538461538462</v>
      </c>
      <c r="IA770" s="25">
        <f>DA770</f>
        <v>31500</v>
      </c>
    </row>
    <row r="771" spans="1:235" s="15" customFormat="1" x14ac:dyDescent="0.25">
      <c r="A771" s="31">
        <v>769</v>
      </c>
      <c r="B771" s="1">
        <v>115</v>
      </c>
      <c r="C771" s="1">
        <v>135</v>
      </c>
      <c r="D771" s="15" t="s">
        <v>1712</v>
      </c>
      <c r="E771" s="1">
        <v>2</v>
      </c>
      <c r="F771" s="15" t="s">
        <v>777</v>
      </c>
      <c r="G771" s="15" t="s">
        <v>1708</v>
      </c>
      <c r="H771" s="15" t="s">
        <v>839</v>
      </c>
      <c r="I771" s="1">
        <v>2016</v>
      </c>
      <c r="J771" s="15" t="s">
        <v>1715</v>
      </c>
      <c r="K771" s="1" t="s">
        <v>1716</v>
      </c>
      <c r="L771" s="15" t="s">
        <v>1717</v>
      </c>
      <c r="M771" s="15" t="s">
        <v>480</v>
      </c>
      <c r="N771" s="15" t="s">
        <v>520</v>
      </c>
      <c r="O771" s="31">
        <v>2</v>
      </c>
      <c r="P771" s="15">
        <v>29.14</v>
      </c>
      <c r="Q771" s="15">
        <v>120.04</v>
      </c>
      <c r="S771" s="15">
        <v>1350</v>
      </c>
      <c r="T771" s="15">
        <v>17</v>
      </c>
      <c r="U771" s="15" t="s">
        <v>549</v>
      </c>
      <c r="V771" s="31">
        <v>1</v>
      </c>
      <c r="W771" s="15" t="s">
        <v>1153</v>
      </c>
      <c r="X771" s="15" t="s">
        <v>689</v>
      </c>
      <c r="Y771" s="1">
        <v>1</v>
      </c>
      <c r="Z771" s="15">
        <v>6.16</v>
      </c>
      <c r="AA771" s="15" t="s">
        <v>574</v>
      </c>
      <c r="AB771" s="15">
        <f t="shared" si="673"/>
        <v>6.16</v>
      </c>
      <c r="AC771" s="1">
        <v>5</v>
      </c>
      <c r="AD771" s="15">
        <v>39.200000000000003</v>
      </c>
      <c r="AM771" s="1"/>
      <c r="AP771" s="15" t="s">
        <v>1718</v>
      </c>
      <c r="AQ771" s="61">
        <v>3</v>
      </c>
      <c r="AR771" s="1">
        <v>4</v>
      </c>
      <c r="CC771" s="15" t="s">
        <v>835</v>
      </c>
      <c r="CE771" s="15">
        <v>10500</v>
      </c>
      <c r="CF771" s="15">
        <f>CE771</f>
        <v>10500</v>
      </c>
      <c r="CG771" s="15" t="s">
        <v>766</v>
      </c>
      <c r="CH771" s="15">
        <v>10.199999999999999</v>
      </c>
      <c r="CI771" s="15">
        <v>550</v>
      </c>
      <c r="CJ771" s="15">
        <v>44.7</v>
      </c>
      <c r="CK771" s="15">
        <v>427</v>
      </c>
      <c r="CL771" s="15">
        <v>7.6</v>
      </c>
      <c r="CY771" s="25">
        <f t="shared" si="674"/>
        <v>10500</v>
      </c>
      <c r="CZ771" s="25">
        <f t="shared" si="675"/>
        <v>13.461538461538462</v>
      </c>
      <c r="DA771" s="25">
        <f t="shared" si="676"/>
        <v>31500</v>
      </c>
      <c r="FK771" s="16">
        <f t="shared" si="677"/>
        <v>5.0599999999999996</v>
      </c>
      <c r="FL771" s="16">
        <f t="shared" si="678"/>
        <v>5.16</v>
      </c>
      <c r="FM771" s="15">
        <v>5.0599999999999996</v>
      </c>
      <c r="FN771" s="15">
        <v>0.04</v>
      </c>
      <c r="FO771" s="15">
        <f>FN771*SQRT(AR771)</f>
        <v>0.08</v>
      </c>
      <c r="FP771" s="15">
        <v>5.16</v>
      </c>
      <c r="FQ771" s="15">
        <v>0.09</v>
      </c>
      <c r="FR771" s="15">
        <f>FQ771*SQRT(AR771)</f>
        <v>0.18</v>
      </c>
      <c r="FS771" s="15">
        <f t="shared" si="640"/>
        <v>1.0197628458498025</v>
      </c>
      <c r="FT771" s="15">
        <f t="shared" si="641"/>
        <v>0.10000000000000053</v>
      </c>
      <c r="FU771" s="15">
        <f t="shared" si="642"/>
        <v>1.957009619409722E-2</v>
      </c>
      <c r="FV771" s="15">
        <f>((FR771*FR771)/(AR771*FP771*FP771)+(FO771*FO771)/(AR771*FM771*FM771))</f>
        <v>3.6670970865787435E-4</v>
      </c>
      <c r="FX771" s="15">
        <v>44.37</v>
      </c>
      <c r="FY771" s="15">
        <v>1.7052</v>
      </c>
      <c r="FZ771" s="15">
        <f>FY771*SQRT(AR771)</f>
        <v>3.4104000000000001</v>
      </c>
      <c r="GA771" s="15">
        <v>48.198</v>
      </c>
      <c r="GB771" s="15">
        <v>3.2016</v>
      </c>
      <c r="GC771" s="15">
        <f>GB771*SQRT(AR771)</f>
        <v>6.4032</v>
      </c>
      <c r="GD771" s="15">
        <f t="shared" si="679"/>
        <v>1.0862745098039217</v>
      </c>
      <c r="GE771" s="15">
        <f t="shared" si="680"/>
        <v>3.828000000000003</v>
      </c>
      <c r="GF771" s="15">
        <f t="shared" si="681"/>
        <v>8.2753961028912304E-2</v>
      </c>
      <c r="GG771" s="15">
        <f>((GC771*GC771)/(AR771*GA771*GA771)+(FZ771*FZ771)/(AR771*FX771*FX771))</f>
        <v>5.8893829127813742E-3</v>
      </c>
      <c r="HE771" s="15">
        <v>8320</v>
      </c>
      <c r="HF771" s="15">
        <v>300</v>
      </c>
      <c r="HG771" s="15">
        <f>HF771*SQRT(AR461)</f>
        <v>519.6152422706632</v>
      </c>
      <c r="HH771" s="15">
        <v>9030</v>
      </c>
      <c r="HI771" s="15">
        <v>350</v>
      </c>
      <c r="HJ771" s="15">
        <f>HI771*SQRT(AR461)</f>
        <v>606.21778264910699</v>
      </c>
      <c r="HK771" s="15">
        <f t="shared" si="684"/>
        <v>1.0853365384615385</v>
      </c>
      <c r="HL771" s="15">
        <f t="shared" si="685"/>
        <v>710</v>
      </c>
      <c r="HM771" s="15">
        <f t="shared" si="686"/>
        <v>8.1890112595777609E-2</v>
      </c>
      <c r="HN771" s="15">
        <f>((HJ771*HJ771)/(AR461*HH771*HH771)+(HG771*HG771)/(AR461*HE771*HE771))</f>
        <v>2.8024707374430585E-3</v>
      </c>
      <c r="HP771" s="15" t="s">
        <v>766</v>
      </c>
      <c r="HV771" s="15">
        <f t="shared" si="687"/>
        <v>3846.618230394788</v>
      </c>
      <c r="HW771" s="15">
        <f t="shared" si="688"/>
        <v>8.1890112595777609E-2</v>
      </c>
      <c r="HX771" s="25">
        <f>DA771</f>
        <v>31500</v>
      </c>
      <c r="HY771" s="25">
        <f>CY771</f>
        <v>10500</v>
      </c>
      <c r="HZ771" s="25">
        <f>CZ771</f>
        <v>13.461538461538462</v>
      </c>
      <c r="IA771" s="25">
        <f>DA771</f>
        <v>31500</v>
      </c>
    </row>
    <row r="772" spans="1:235" s="15" customFormat="1" x14ac:dyDescent="0.25">
      <c r="A772" s="31">
        <v>770</v>
      </c>
      <c r="B772" s="1">
        <v>115</v>
      </c>
      <c r="C772" s="1">
        <v>135</v>
      </c>
      <c r="D772" s="15" t="s">
        <v>1713</v>
      </c>
      <c r="E772" s="1">
        <v>5</v>
      </c>
      <c r="F772" s="15" t="s">
        <v>798</v>
      </c>
      <c r="G772" s="15" t="s">
        <v>1708</v>
      </c>
      <c r="H772" s="15" t="s">
        <v>839</v>
      </c>
      <c r="I772" s="1">
        <v>2016</v>
      </c>
      <c r="J772" s="15" t="s">
        <v>1715</v>
      </c>
      <c r="K772" s="1" t="s">
        <v>1716</v>
      </c>
      <c r="L772" s="15" t="s">
        <v>1717</v>
      </c>
      <c r="M772" s="15" t="s">
        <v>480</v>
      </c>
      <c r="N772" s="15" t="s">
        <v>520</v>
      </c>
      <c r="O772" s="31">
        <v>2</v>
      </c>
      <c r="P772" s="15">
        <v>29.14</v>
      </c>
      <c r="Q772" s="15">
        <v>120.04</v>
      </c>
      <c r="S772" s="15">
        <v>1350</v>
      </c>
      <c r="T772" s="15">
        <v>17</v>
      </c>
      <c r="U772" s="15" t="s">
        <v>549</v>
      </c>
      <c r="V772" s="31">
        <v>1</v>
      </c>
      <c r="W772" s="15" t="s">
        <v>1153</v>
      </c>
      <c r="X772" s="15" t="s">
        <v>689</v>
      </c>
      <c r="Y772" s="1">
        <v>1</v>
      </c>
      <c r="Z772" s="15">
        <v>6.16</v>
      </c>
      <c r="AA772" s="15" t="s">
        <v>574</v>
      </c>
      <c r="AB772" s="15">
        <f t="shared" si="673"/>
        <v>6.16</v>
      </c>
      <c r="AC772" s="1">
        <v>5</v>
      </c>
      <c r="AD772" s="15">
        <v>39.200000000000003</v>
      </c>
      <c r="AM772" s="1"/>
      <c r="AP772" s="15" t="s">
        <v>1718</v>
      </c>
      <c r="AQ772" s="61">
        <v>3</v>
      </c>
      <c r="AR772" s="1">
        <v>4</v>
      </c>
      <c r="DB772" s="15" t="s">
        <v>835</v>
      </c>
      <c r="DD772" s="15">
        <v>10700</v>
      </c>
      <c r="DE772" s="15">
        <f>DD772</f>
        <v>10700</v>
      </c>
      <c r="DF772" s="15" t="s">
        <v>766</v>
      </c>
      <c r="DJ772" s="15">
        <v>392</v>
      </c>
      <c r="DK772" s="15">
        <v>6.8</v>
      </c>
      <c r="DS772" s="15">
        <f>DE772</f>
        <v>10700</v>
      </c>
      <c r="DT772" s="15">
        <f>DS772/0.6/1000</f>
        <v>17.833333333333336</v>
      </c>
      <c r="DU772" s="15">
        <f>DS772*0.2</f>
        <v>2140</v>
      </c>
      <c r="FK772" s="16">
        <f t="shared" si="677"/>
        <v>6.01</v>
      </c>
      <c r="FL772" s="16">
        <f t="shared" si="678"/>
        <v>6.02</v>
      </c>
      <c r="FM772" s="15">
        <v>6.01</v>
      </c>
      <c r="FN772" s="15">
        <v>0.03</v>
      </c>
      <c r="FO772" s="15">
        <f>FN772*SQRT(AR772)</f>
        <v>0.06</v>
      </c>
      <c r="FP772" s="15">
        <v>6.02</v>
      </c>
      <c r="FQ772" s="15">
        <v>0.04</v>
      </c>
      <c r="FR772" s="15">
        <f>FQ772*SQRT(AR772)</f>
        <v>0.08</v>
      </c>
      <c r="FS772" s="15">
        <f t="shared" si="640"/>
        <v>1.0016638935108153</v>
      </c>
      <c r="FT772" s="15">
        <f t="shared" si="641"/>
        <v>9.9999999999997868E-3</v>
      </c>
      <c r="FU772" s="15">
        <f t="shared" si="642"/>
        <v>1.662510773613457E-3</v>
      </c>
      <c r="FV772" s="15">
        <f>((FR772*FR772)/(AR772*FP772*FP772)+(FO772*FO772)/(AR772*FM772*FM772))</f>
        <v>6.9066497610592643E-5</v>
      </c>
      <c r="FX772" s="15">
        <v>40.89</v>
      </c>
      <c r="FY772" s="15">
        <v>1.5311999999999999</v>
      </c>
      <c r="FZ772" s="15">
        <f>FY772*SQRT(AR772)</f>
        <v>3.0623999999999998</v>
      </c>
      <c r="GA772" s="15">
        <v>44.892000000000003</v>
      </c>
      <c r="GB772" s="15">
        <v>3.3582000000000001</v>
      </c>
      <c r="GC772" s="15">
        <f>GB772*SQRT(AR772)</f>
        <v>6.7164000000000001</v>
      </c>
      <c r="GD772" s="15">
        <f t="shared" si="679"/>
        <v>1.0978723404255319</v>
      </c>
      <c r="GE772" s="15">
        <f t="shared" si="680"/>
        <v>4.0020000000000024</v>
      </c>
      <c r="GF772" s="15">
        <f t="shared" si="681"/>
        <v>9.3374070777458851E-2</v>
      </c>
      <c r="GG772" s="15">
        <f>((GC772*GC772)/(AR772*GA772*GA772)+(FZ772*FZ772)/(AR772*FX772*FX772))</f>
        <v>6.9982312580296234E-3</v>
      </c>
      <c r="HE772" s="15">
        <v>5450</v>
      </c>
      <c r="HF772" s="15">
        <v>220</v>
      </c>
      <c r="HG772" s="15">
        <f>HF772*SQRT(AR462)</f>
        <v>381.05117766515298</v>
      </c>
      <c r="HH772" s="15">
        <v>5560</v>
      </c>
      <c r="HI772" s="15">
        <v>260</v>
      </c>
      <c r="HJ772" s="15">
        <f>HI772*SQRT(AR462)</f>
        <v>450.33320996790809</v>
      </c>
      <c r="HK772" s="15">
        <f t="shared" si="684"/>
        <v>1.0201834862385322</v>
      </c>
      <c r="HL772" s="15">
        <f t="shared" si="685"/>
        <v>110</v>
      </c>
      <c r="HM772" s="15">
        <f t="shared" si="686"/>
        <v>1.9982499587337443E-2</v>
      </c>
      <c r="HN772" s="15">
        <f>((HJ772*HJ772)/(AR462*HH772*HH772)+(HG772*HG772)/(AR462*HE772*HE772))</f>
        <v>3.81623228374373E-3</v>
      </c>
      <c r="HP772" s="15" t="s">
        <v>766</v>
      </c>
      <c r="HV772" s="15">
        <f t="shared" si="687"/>
        <v>1070.9370920523277</v>
      </c>
      <c r="HW772" s="15">
        <f t="shared" si="688"/>
        <v>1.9982499587337443E-2</v>
      </c>
      <c r="HX772" s="15">
        <f>DU772</f>
        <v>2140</v>
      </c>
      <c r="HY772" s="15">
        <f t="shared" ref="HY772:IA773" si="689">DS772</f>
        <v>10700</v>
      </c>
      <c r="HZ772" s="15">
        <f t="shared" si="689"/>
        <v>17.833333333333336</v>
      </c>
      <c r="IA772" s="15">
        <f t="shared" si="689"/>
        <v>2140</v>
      </c>
    </row>
    <row r="773" spans="1:235" s="15" customFormat="1" x14ac:dyDescent="0.25">
      <c r="A773" s="31">
        <v>771</v>
      </c>
      <c r="B773" s="1">
        <v>115</v>
      </c>
      <c r="C773" s="1">
        <v>135</v>
      </c>
      <c r="D773" s="15" t="s">
        <v>1714</v>
      </c>
      <c r="E773" s="1">
        <v>5</v>
      </c>
      <c r="F773" s="15" t="s">
        <v>798</v>
      </c>
      <c r="G773" s="15" t="s">
        <v>1708</v>
      </c>
      <c r="H773" s="15" t="s">
        <v>839</v>
      </c>
      <c r="I773" s="1">
        <v>2016</v>
      </c>
      <c r="J773" s="15" t="s">
        <v>1715</v>
      </c>
      <c r="K773" s="1" t="s">
        <v>1716</v>
      </c>
      <c r="L773" s="15" t="s">
        <v>1717</v>
      </c>
      <c r="M773" s="15" t="s">
        <v>480</v>
      </c>
      <c r="N773" s="15" t="s">
        <v>520</v>
      </c>
      <c r="O773" s="31">
        <v>2</v>
      </c>
      <c r="P773" s="15">
        <v>29.14</v>
      </c>
      <c r="Q773" s="15">
        <v>120.04</v>
      </c>
      <c r="S773" s="15">
        <v>1350</v>
      </c>
      <c r="T773" s="15">
        <v>17</v>
      </c>
      <c r="U773" s="15" t="s">
        <v>549</v>
      </c>
      <c r="V773" s="31">
        <v>1</v>
      </c>
      <c r="W773" s="15" t="s">
        <v>1153</v>
      </c>
      <c r="X773" s="15" t="s">
        <v>689</v>
      </c>
      <c r="Y773" s="1">
        <v>1</v>
      </c>
      <c r="Z773" s="15">
        <v>6.16</v>
      </c>
      <c r="AA773" s="15" t="s">
        <v>574</v>
      </c>
      <c r="AB773" s="15">
        <f t="shared" si="673"/>
        <v>6.16</v>
      </c>
      <c r="AC773" s="1">
        <v>5</v>
      </c>
      <c r="AD773" s="15">
        <v>39.200000000000003</v>
      </c>
      <c r="AM773" s="1"/>
      <c r="AP773" s="15" t="s">
        <v>1718</v>
      </c>
      <c r="AQ773" s="61">
        <v>3</v>
      </c>
      <c r="AR773" s="1">
        <v>4</v>
      </c>
      <c r="DB773" s="15" t="s">
        <v>835</v>
      </c>
      <c r="DD773" s="15">
        <v>10700</v>
      </c>
      <c r="DE773" s="15">
        <f>DD773</f>
        <v>10700</v>
      </c>
      <c r="DF773" s="15" t="s">
        <v>766</v>
      </c>
      <c r="DJ773" s="15">
        <v>392</v>
      </c>
      <c r="DK773" s="15">
        <v>6.8</v>
      </c>
      <c r="DS773" s="15">
        <f>DE773</f>
        <v>10700</v>
      </c>
      <c r="DT773" s="15">
        <f>DS773/0.6/1000</f>
        <v>17.833333333333336</v>
      </c>
      <c r="DU773" s="15">
        <f>DS773*0.2</f>
        <v>2140</v>
      </c>
      <c r="FK773" s="16">
        <f t="shared" si="677"/>
        <v>5.0599999999999996</v>
      </c>
      <c r="FL773" s="16">
        <f t="shared" si="678"/>
        <v>5.0999999999999996</v>
      </c>
      <c r="FM773" s="15">
        <v>5.0599999999999996</v>
      </c>
      <c r="FN773" s="15">
        <v>0.04</v>
      </c>
      <c r="FO773" s="15">
        <f>FN773*SQRT(AR773)</f>
        <v>0.08</v>
      </c>
      <c r="FP773" s="15">
        <v>5.0999999999999996</v>
      </c>
      <c r="FQ773" s="15">
        <v>0.05</v>
      </c>
      <c r="FR773" s="15">
        <f>FQ773*SQRT(AR773)</f>
        <v>0.1</v>
      </c>
      <c r="FS773" s="15">
        <f t="shared" si="640"/>
        <v>1.0079051383399209</v>
      </c>
      <c r="FT773" s="15">
        <f t="shared" si="641"/>
        <v>4.0000000000000036E-2</v>
      </c>
      <c r="FU773" s="15">
        <f t="shared" si="642"/>
        <v>7.8740564309058847E-3</v>
      </c>
      <c r="FV773" s="15">
        <f>((FR773*FR773)/(AR773*FP773*FP773)+(FO773*FO773)/(AR773*FM773*FM773))</f>
        <v>1.5860809029708673E-4</v>
      </c>
      <c r="FX773" s="15">
        <v>44.37</v>
      </c>
      <c r="FY773" s="15">
        <v>1.7052</v>
      </c>
      <c r="FZ773" s="15">
        <f>FY773*SQRT(AR773)</f>
        <v>3.4104000000000001</v>
      </c>
      <c r="GA773" s="15">
        <v>46.283999999999999</v>
      </c>
      <c r="GB773" s="15">
        <v>1.5660000000000001</v>
      </c>
      <c r="GC773" s="15">
        <f>GB773*SQRT(AR773)</f>
        <v>3.1320000000000001</v>
      </c>
      <c r="GD773" s="15">
        <f t="shared" si="679"/>
        <v>1.0431372549019609</v>
      </c>
      <c r="GE773" s="15">
        <f t="shared" si="680"/>
        <v>1.9140000000000015</v>
      </c>
      <c r="GF773" s="15">
        <f t="shared" si="681"/>
        <v>4.2232763623272884E-2</v>
      </c>
      <c r="GG773" s="15">
        <f>((GC773*GC773)/(AR773*GA773*GA773)+(FZ773*FZ773)/(AR773*FX773*FX773))</f>
        <v>2.621749637337962E-3</v>
      </c>
      <c r="HE773" s="15">
        <v>8320</v>
      </c>
      <c r="HF773" s="15">
        <v>300</v>
      </c>
      <c r="HG773" s="15">
        <f>HF773*SQRT(AR463)</f>
        <v>519.6152422706632</v>
      </c>
      <c r="HH773" s="15">
        <v>8880</v>
      </c>
      <c r="HI773" s="15">
        <v>280</v>
      </c>
      <c r="HJ773" s="15">
        <f>HI773*SQRT(AR463)</f>
        <v>484.97422611928562</v>
      </c>
      <c r="HK773" s="15">
        <f t="shared" si="684"/>
        <v>1.0673076923076923</v>
      </c>
      <c r="HL773" s="15">
        <f t="shared" si="685"/>
        <v>560</v>
      </c>
      <c r="HM773" s="15">
        <f t="shared" si="686"/>
        <v>6.513930217096231E-2</v>
      </c>
      <c r="HN773" s="15">
        <f>((HJ773*HJ773)/(AR463*HH773*HH773)+(HG773*HG773)/(AR463*HE773*HE773))</f>
        <v>2.2943946552801799E-3</v>
      </c>
      <c r="HP773" s="15" t="s">
        <v>766</v>
      </c>
      <c r="HV773" s="15">
        <f t="shared" si="687"/>
        <v>328.52670026820851</v>
      </c>
      <c r="HW773" s="15">
        <f t="shared" si="688"/>
        <v>6.513930217096231E-2</v>
      </c>
      <c r="HX773" s="15">
        <f>DU773</f>
        <v>2140</v>
      </c>
      <c r="HY773" s="15">
        <f t="shared" si="689"/>
        <v>10700</v>
      </c>
      <c r="HZ773" s="15">
        <f t="shared" si="689"/>
        <v>17.833333333333336</v>
      </c>
      <c r="IA773" s="15">
        <f t="shared" si="689"/>
        <v>2140</v>
      </c>
    </row>
    <row r="774" spans="1:235" s="15" customFormat="1" x14ac:dyDescent="0.25">
      <c r="A774" s="31">
        <v>772</v>
      </c>
      <c r="B774" s="1">
        <v>116</v>
      </c>
      <c r="C774" s="1">
        <v>136</v>
      </c>
      <c r="D774" s="15" t="s">
        <v>1726</v>
      </c>
      <c r="E774" s="1">
        <v>2</v>
      </c>
      <c r="F774" s="15" t="s">
        <v>777</v>
      </c>
      <c r="G774" s="15" t="s">
        <v>1720</v>
      </c>
      <c r="H774" s="15" t="s">
        <v>1721</v>
      </c>
      <c r="I774" s="1">
        <v>2018</v>
      </c>
      <c r="J774" s="15" t="s">
        <v>1722</v>
      </c>
      <c r="K774" s="1" t="s">
        <v>1315</v>
      </c>
      <c r="L774" s="15" t="s">
        <v>1723</v>
      </c>
      <c r="M774" s="15" t="s">
        <v>1099</v>
      </c>
      <c r="N774" s="15" t="s">
        <v>1100</v>
      </c>
      <c r="O774" s="31">
        <v>2</v>
      </c>
      <c r="P774" s="15">
        <v>44.56</v>
      </c>
      <c r="Q774" s="15">
        <v>-123.28</v>
      </c>
      <c r="S774" s="15">
        <v>1119</v>
      </c>
      <c r="T774" s="15">
        <v>13</v>
      </c>
      <c r="U774" s="15" t="s">
        <v>549</v>
      </c>
      <c r="V774" s="31">
        <v>1</v>
      </c>
      <c r="W774" s="15" t="s">
        <v>1226</v>
      </c>
      <c r="X774" s="15" t="s">
        <v>729</v>
      </c>
      <c r="Y774" s="61">
        <v>11</v>
      </c>
      <c r="Z774" s="15">
        <v>5.01</v>
      </c>
      <c r="AA774" s="15" t="s">
        <v>574</v>
      </c>
      <c r="AB774" s="15">
        <f t="shared" si="673"/>
        <v>5.01</v>
      </c>
      <c r="AC774" s="1">
        <v>3</v>
      </c>
      <c r="AD774" s="15">
        <f t="shared" ref="AD774:AD779" si="690">16.2*1.74</f>
        <v>28.187999999999999</v>
      </c>
      <c r="AM774" s="1">
        <v>3</v>
      </c>
      <c r="AQ774" s="1"/>
      <c r="AR774" s="1">
        <v>3</v>
      </c>
      <c r="CC774" s="15" t="s">
        <v>1725</v>
      </c>
      <c r="CE774" s="15">
        <v>500</v>
      </c>
      <c r="CF774" s="15">
        <f t="shared" ref="CF774:CF787" si="691">CE774</f>
        <v>500</v>
      </c>
      <c r="CG774" s="15" t="s">
        <v>766</v>
      </c>
      <c r="CH774" s="15">
        <v>10.6</v>
      </c>
      <c r="CI774" s="15">
        <v>500</v>
      </c>
      <c r="CY774" s="25">
        <f t="shared" ref="CY774:CY787" si="692">CF774</f>
        <v>500</v>
      </c>
      <c r="CZ774" s="25">
        <f t="shared" ref="CZ774:CZ787" si="693">CY774/0.78/1000</f>
        <v>0.64102564102564097</v>
      </c>
      <c r="DA774" s="25">
        <f t="shared" ref="DA774:DA787" si="694">CY774*3</f>
        <v>1500</v>
      </c>
      <c r="FK774" s="16">
        <f t="shared" si="677"/>
        <v>5.01</v>
      </c>
      <c r="FL774" s="16">
        <f t="shared" si="678"/>
        <v>5.56</v>
      </c>
      <c r="FM774" s="15">
        <v>5.01</v>
      </c>
      <c r="FN774" s="15">
        <f t="shared" ref="FN774:FN783" si="695">FM774*0.05</f>
        <v>0.2505</v>
      </c>
      <c r="FO774" s="15">
        <f>FN774*SQRT(AR774)</f>
        <v>0.43387872729600374</v>
      </c>
      <c r="FP774" s="15">
        <v>5.56</v>
      </c>
      <c r="FQ774" s="15">
        <f t="shared" ref="FQ774:FQ783" si="696">FP774*0.05</f>
        <v>0.27799999999999997</v>
      </c>
      <c r="FR774" s="15">
        <f>FQ774*SQRT(AR774)</f>
        <v>0.48151012450414782</v>
      </c>
      <c r="FS774" s="15">
        <f t="shared" si="640"/>
        <v>1.1097804391217565</v>
      </c>
      <c r="FT774" s="15">
        <f t="shared" si="641"/>
        <v>0.54999999999999982</v>
      </c>
      <c r="FU774" s="15">
        <f t="shared" si="642"/>
        <v>0.10416219316571751</v>
      </c>
      <c r="FV774" s="15">
        <f>((FR774*FR774)/(AR774*FP774*FP774)+(FO774*FO774)/(AR774*FM774*FM774))</f>
        <v>4.9999999999999992E-3</v>
      </c>
      <c r="FX774" s="15">
        <v>16.2</v>
      </c>
      <c r="FY774" s="15">
        <f t="shared" ref="FY774:FY779" si="697">FX774*0.05</f>
        <v>0.81</v>
      </c>
      <c r="FZ774" s="15">
        <f>FY774*SQRT(AR774)</f>
        <v>1.4029611541307907</v>
      </c>
      <c r="GA774" s="15">
        <v>23.8</v>
      </c>
      <c r="GB774" s="15">
        <f t="shared" ref="GB774:GB779" si="698">GA774*0.05</f>
        <v>1.1900000000000002</v>
      </c>
      <c r="GC774" s="15">
        <f>GB774*SQRT(AR774)</f>
        <v>2.0611404610069641</v>
      </c>
      <c r="GD774" s="15">
        <f t="shared" si="679"/>
        <v>1.4691358024691359</v>
      </c>
      <c r="GE774" s="15">
        <f t="shared" si="680"/>
        <v>7.6000000000000014</v>
      </c>
      <c r="GF774" s="15">
        <f t="shared" si="681"/>
        <v>0.38467433843909093</v>
      </c>
      <c r="GG774" s="15">
        <f>((GC774*GC774)/(AR774*GA774*GA774)+(FZ774*FZ774)/(AR774*FX774*FX774))</f>
        <v>5.000000000000001E-3</v>
      </c>
      <c r="HE774" s="15">
        <v>4035</v>
      </c>
      <c r="HF774" s="15">
        <v>121</v>
      </c>
      <c r="HG774" s="15">
        <f>HF774*SQRT(AR464)</f>
        <v>209.57814771583415</v>
      </c>
      <c r="HH774" s="15">
        <v>4345</v>
      </c>
      <c r="HI774" s="15">
        <v>117</v>
      </c>
      <c r="HJ774" s="15">
        <f>HI774*SQRT(AR464)</f>
        <v>202.64994448555862</v>
      </c>
      <c r="HK774" s="15">
        <f t="shared" si="684"/>
        <v>1.076827757125155</v>
      </c>
      <c r="HL774" s="15">
        <f t="shared" si="685"/>
        <v>310</v>
      </c>
      <c r="HM774" s="15">
        <f t="shared" si="686"/>
        <v>7.4019456995443988E-2</v>
      </c>
      <c r="HN774" s="15">
        <f>((HJ774*HJ774)/(AR464*HH774*HH774)+(HG774*HG774)/(AR464*HE774*HE774))</f>
        <v>1.6243470703111479E-3</v>
      </c>
      <c r="HP774" s="15" t="s">
        <v>766</v>
      </c>
      <c r="HV774" s="15">
        <f t="shared" si="687"/>
        <v>202.64941961035021</v>
      </c>
      <c r="HW774" s="15">
        <f t="shared" si="688"/>
        <v>7.4019456995443988E-2</v>
      </c>
      <c r="HX774" s="25">
        <f>DA774</f>
        <v>1500</v>
      </c>
      <c r="HY774" s="25">
        <f>CY774</f>
        <v>500</v>
      </c>
      <c r="HZ774" s="25">
        <f>CZ774</f>
        <v>0.64102564102564097</v>
      </c>
      <c r="IA774" s="25">
        <f>DA774</f>
        <v>1500</v>
      </c>
    </row>
    <row r="775" spans="1:235" s="15" customFormat="1" x14ac:dyDescent="0.25">
      <c r="A775" s="31">
        <v>773</v>
      </c>
      <c r="B775" s="1">
        <v>116</v>
      </c>
      <c r="C775" s="1">
        <v>136</v>
      </c>
      <c r="D775" s="15" t="s">
        <v>1727</v>
      </c>
      <c r="E775" s="1">
        <v>2</v>
      </c>
      <c r="F775" s="15" t="s">
        <v>777</v>
      </c>
      <c r="G775" s="15" t="s">
        <v>1720</v>
      </c>
      <c r="H775" s="15" t="s">
        <v>1721</v>
      </c>
      <c r="I775" s="1">
        <v>2018</v>
      </c>
      <c r="J775" s="15" t="s">
        <v>1722</v>
      </c>
      <c r="K775" s="1" t="s">
        <v>1315</v>
      </c>
      <c r="L775" s="15" t="s">
        <v>1723</v>
      </c>
      <c r="M775" s="15" t="s">
        <v>1099</v>
      </c>
      <c r="N775" s="15" t="s">
        <v>1100</v>
      </c>
      <c r="O775" s="31">
        <v>2</v>
      </c>
      <c r="P775" s="15">
        <v>44.56</v>
      </c>
      <c r="Q775" s="15">
        <v>-123.28</v>
      </c>
      <c r="S775" s="15">
        <v>1119</v>
      </c>
      <c r="T775" s="15">
        <v>13</v>
      </c>
      <c r="U775" s="15" t="s">
        <v>549</v>
      </c>
      <c r="V775" s="31">
        <v>1</v>
      </c>
      <c r="W775" s="15" t="s">
        <v>1226</v>
      </c>
      <c r="X775" s="15" t="s">
        <v>729</v>
      </c>
      <c r="Y775" s="61">
        <v>11</v>
      </c>
      <c r="Z775" s="15">
        <v>5.01</v>
      </c>
      <c r="AA775" s="15" t="s">
        <v>574</v>
      </c>
      <c r="AB775" s="15">
        <f t="shared" si="673"/>
        <v>5.01</v>
      </c>
      <c r="AC775" s="1">
        <v>3</v>
      </c>
      <c r="AD775" s="15">
        <f t="shared" si="690"/>
        <v>28.187999999999999</v>
      </c>
      <c r="AM775" s="1">
        <v>3</v>
      </c>
      <c r="AQ775" s="1"/>
      <c r="AR775" s="1">
        <v>3</v>
      </c>
      <c r="CC775" s="15" t="s">
        <v>1725</v>
      </c>
      <c r="CE775" s="15">
        <v>1000</v>
      </c>
      <c r="CF775" s="15">
        <f t="shared" si="691"/>
        <v>1000</v>
      </c>
      <c r="CG775" s="15" t="s">
        <v>766</v>
      </c>
      <c r="CH775" s="15">
        <v>10.6</v>
      </c>
      <c r="CI775" s="15">
        <v>500</v>
      </c>
      <c r="CY775" s="25">
        <f t="shared" si="692"/>
        <v>1000</v>
      </c>
      <c r="CZ775" s="25">
        <f t="shared" si="693"/>
        <v>1.2820512820512819</v>
      </c>
      <c r="DA775" s="25">
        <f t="shared" si="694"/>
        <v>3000</v>
      </c>
      <c r="FK775" s="16">
        <f t="shared" si="677"/>
        <v>5.01</v>
      </c>
      <c r="FL775" s="16">
        <f t="shared" si="678"/>
        <v>5.95</v>
      </c>
      <c r="FM775" s="15">
        <v>5.01</v>
      </c>
      <c r="FN775" s="15">
        <f t="shared" si="695"/>
        <v>0.2505</v>
      </c>
      <c r="FO775" s="15">
        <f>FN775*SQRT(AR775)</f>
        <v>0.43387872729600374</v>
      </c>
      <c r="FP775" s="15">
        <v>5.95</v>
      </c>
      <c r="FQ775" s="15">
        <f t="shared" si="696"/>
        <v>0.29750000000000004</v>
      </c>
      <c r="FR775" s="15">
        <f>FQ775*SQRT(AR775)</f>
        <v>0.51528511525174103</v>
      </c>
      <c r="FS775" s="15">
        <f t="shared" si="640"/>
        <v>1.1876247504990021</v>
      </c>
      <c r="FT775" s="15">
        <f t="shared" si="641"/>
        <v>0.94000000000000039</v>
      </c>
      <c r="FU775" s="15">
        <f t="shared" si="642"/>
        <v>0.1719553044607649</v>
      </c>
      <c r="FV775" s="15">
        <f>((FR775*FR775)/(AR775*FP775*FP775)+(FO775*FO775)/(AR775*FM775*FM775))</f>
        <v>5.0000000000000001E-3</v>
      </c>
      <c r="FX775" s="15">
        <v>17.2</v>
      </c>
      <c r="FY775" s="15">
        <f t="shared" si="697"/>
        <v>0.86</v>
      </c>
      <c r="FZ775" s="15">
        <f>FY775*SQRT(AR775)</f>
        <v>1.4895636945092343</v>
      </c>
      <c r="GA775" s="15">
        <v>35.4</v>
      </c>
      <c r="GB775" s="15">
        <f t="shared" si="698"/>
        <v>1.77</v>
      </c>
      <c r="GC775" s="15">
        <f>GB775*SQRT(AR775)</f>
        <v>3.0657299293969125</v>
      </c>
      <c r="GD775" s="15">
        <f t="shared" si="679"/>
        <v>2.058139534883721</v>
      </c>
      <c r="GE775" s="15">
        <f t="shared" si="680"/>
        <v>18.2</v>
      </c>
      <c r="GF775" s="15">
        <f t="shared" si="681"/>
        <v>0.72180243632032148</v>
      </c>
      <c r="GG775" s="15">
        <f>((GC775*GC775)/(AR775*GA775*GA775)+(FZ775*FZ775)/(AR775*FX775*FX775))</f>
        <v>4.9999999999999992E-3</v>
      </c>
      <c r="HE775" s="15">
        <v>4035</v>
      </c>
      <c r="HF775" s="15">
        <v>121</v>
      </c>
      <c r="HG775" s="15">
        <f>HF775*SQRT(AR465)</f>
        <v>209.57814771583415</v>
      </c>
      <c r="HH775" s="15">
        <v>4551</v>
      </c>
      <c r="HI775" s="15">
        <v>127</v>
      </c>
      <c r="HJ775" s="15">
        <f>HI775*SQRT(AR465)</f>
        <v>219.97045256124741</v>
      </c>
      <c r="HK775" s="15">
        <f t="shared" si="684"/>
        <v>1.1278810408921933</v>
      </c>
      <c r="HL775" s="15">
        <f t="shared" si="685"/>
        <v>516</v>
      </c>
      <c r="HM775" s="15">
        <f t="shared" si="686"/>
        <v>0.12034068731259318</v>
      </c>
      <c r="HN775" s="15">
        <f>((HJ775*HJ775)/(AR465*HH775*HH775)+(HG775*HG775)/(AR465*HE775*HE775))</f>
        <v>1.6779989688116242E-3</v>
      </c>
      <c r="HP775" s="15" t="s">
        <v>766</v>
      </c>
      <c r="HV775" s="15">
        <f t="shared" si="687"/>
        <v>249.29224412748238</v>
      </c>
      <c r="HW775" s="15">
        <f t="shared" si="688"/>
        <v>0.12034068731259318</v>
      </c>
      <c r="HX775" s="25">
        <f>DA775</f>
        <v>3000</v>
      </c>
      <c r="HY775" s="25">
        <f>CY775</f>
        <v>1000</v>
      </c>
      <c r="HZ775" s="25">
        <f>CZ775</f>
        <v>1.2820512820512819</v>
      </c>
      <c r="IA775" s="25">
        <f>DA775</f>
        <v>3000</v>
      </c>
    </row>
    <row r="776" spans="1:235" s="15" customFormat="1" x14ac:dyDescent="0.25">
      <c r="A776" s="31">
        <v>774</v>
      </c>
      <c r="B776" s="1">
        <v>116</v>
      </c>
      <c r="C776" s="1">
        <v>136</v>
      </c>
      <c r="D776" s="15" t="s">
        <v>1728</v>
      </c>
      <c r="E776" s="1">
        <v>2</v>
      </c>
      <c r="F776" s="15" t="s">
        <v>777</v>
      </c>
      <c r="G776" s="15" t="s">
        <v>1720</v>
      </c>
      <c r="H776" s="15" t="s">
        <v>1721</v>
      </c>
      <c r="I776" s="1">
        <v>2018</v>
      </c>
      <c r="J776" s="15" t="s">
        <v>1722</v>
      </c>
      <c r="K776" s="1" t="s">
        <v>1315</v>
      </c>
      <c r="L776" s="15" t="s">
        <v>1723</v>
      </c>
      <c r="M776" s="15" t="s">
        <v>1099</v>
      </c>
      <c r="N776" s="15" t="s">
        <v>1100</v>
      </c>
      <c r="O776" s="31">
        <v>2</v>
      </c>
      <c r="P776" s="15">
        <v>44.56</v>
      </c>
      <c r="Q776" s="15">
        <v>-123.28</v>
      </c>
      <c r="S776" s="15">
        <v>1119</v>
      </c>
      <c r="T776" s="15">
        <v>13</v>
      </c>
      <c r="U776" s="15" t="s">
        <v>549</v>
      </c>
      <c r="V776" s="31">
        <v>1</v>
      </c>
      <c r="W776" s="15" t="s">
        <v>1226</v>
      </c>
      <c r="X776" s="15" t="s">
        <v>729</v>
      </c>
      <c r="Y776" s="61">
        <v>11</v>
      </c>
      <c r="Z776" s="15">
        <v>5.01</v>
      </c>
      <c r="AA776" s="15" t="s">
        <v>574</v>
      </c>
      <c r="AB776" s="15">
        <f t="shared" si="673"/>
        <v>5.01</v>
      </c>
      <c r="AC776" s="1">
        <v>3</v>
      </c>
      <c r="AD776" s="15">
        <f t="shared" si="690"/>
        <v>28.187999999999999</v>
      </c>
      <c r="AM776" s="1">
        <v>3</v>
      </c>
      <c r="AQ776" s="1"/>
      <c r="AR776" s="1">
        <v>3</v>
      </c>
      <c r="CC776" s="15" t="s">
        <v>1725</v>
      </c>
      <c r="CE776" s="15">
        <v>2000</v>
      </c>
      <c r="CF776" s="15">
        <f t="shared" si="691"/>
        <v>2000</v>
      </c>
      <c r="CG776" s="15" t="s">
        <v>766</v>
      </c>
      <c r="CH776" s="15">
        <v>10.6</v>
      </c>
      <c r="CI776" s="15">
        <v>500</v>
      </c>
      <c r="CY776" s="25">
        <f t="shared" si="692"/>
        <v>2000</v>
      </c>
      <c r="CZ776" s="25">
        <f t="shared" si="693"/>
        <v>2.5641025641025639</v>
      </c>
      <c r="DA776" s="25">
        <f t="shared" si="694"/>
        <v>6000</v>
      </c>
      <c r="FK776" s="16">
        <f t="shared" si="677"/>
        <v>5.01</v>
      </c>
      <c r="FL776" s="16">
        <f t="shared" si="678"/>
        <v>5.99</v>
      </c>
      <c r="FM776" s="15">
        <v>5.01</v>
      </c>
      <c r="FN776" s="15">
        <f t="shared" si="695"/>
        <v>0.2505</v>
      </c>
      <c r="FO776" s="15">
        <f>FN776*SQRT(AR776)</f>
        <v>0.43387872729600374</v>
      </c>
      <c r="FP776" s="15">
        <v>5.99</v>
      </c>
      <c r="FQ776" s="15">
        <f t="shared" si="696"/>
        <v>0.29950000000000004</v>
      </c>
      <c r="FR776" s="15">
        <f>FQ776*SQRT(AR776)</f>
        <v>0.5187492168668788</v>
      </c>
      <c r="FS776" s="15">
        <f t="shared" si="640"/>
        <v>1.1956087824351298</v>
      </c>
      <c r="FT776" s="15">
        <f t="shared" si="641"/>
        <v>0.98000000000000043</v>
      </c>
      <c r="FU776" s="15">
        <f t="shared" si="642"/>
        <v>0.1786554970305847</v>
      </c>
      <c r="FV776" s="15">
        <f>((FR776*FR776)/(AR776*FP776*FP776)+(FO776*FO776)/(AR776*FM776*FM776))</f>
        <v>5.000000000000001E-3</v>
      </c>
      <c r="FX776" s="15">
        <v>18.2</v>
      </c>
      <c r="FY776" s="15">
        <f t="shared" si="697"/>
        <v>0.91</v>
      </c>
      <c r="FZ776" s="15">
        <f>FY776*SQRT(AR776)</f>
        <v>1.5761662348876784</v>
      </c>
      <c r="GA776" s="15">
        <v>42.5</v>
      </c>
      <c r="GB776" s="15">
        <f t="shared" si="698"/>
        <v>2.125</v>
      </c>
      <c r="GC776" s="15">
        <f>GB776*SQRT(AR776)</f>
        <v>3.6806079660838642</v>
      </c>
      <c r="GD776" s="15">
        <f t="shared" si="679"/>
        <v>2.3351648351648353</v>
      </c>
      <c r="GE776" s="15">
        <f t="shared" si="680"/>
        <v>24.3</v>
      </c>
      <c r="GF776" s="15">
        <f t="shared" si="681"/>
        <v>0.84808248184762158</v>
      </c>
      <c r="GG776" s="15">
        <f>((GC776*GC776)/(AR776*GA776*GA776)+(FZ776*FZ776)/(AR776*FX776*FX776))</f>
        <v>5.000000000000001E-3</v>
      </c>
      <c r="HE776" s="15">
        <v>4035</v>
      </c>
      <c r="HF776" s="15">
        <v>121</v>
      </c>
      <c r="HG776" s="15">
        <f>HF776*SQRT(AR466)</f>
        <v>209.57814771583415</v>
      </c>
      <c r="HH776" s="15">
        <v>4450</v>
      </c>
      <c r="HI776" s="15">
        <v>122</v>
      </c>
      <c r="HJ776" s="15">
        <f>HI776*SQRT(AR466)</f>
        <v>211.31019852340302</v>
      </c>
      <c r="HK776" s="15">
        <f t="shared" si="684"/>
        <v>1.1028500619578687</v>
      </c>
      <c r="HL776" s="15">
        <f t="shared" si="685"/>
        <v>415</v>
      </c>
      <c r="HM776" s="15">
        <f t="shared" si="686"/>
        <v>9.7897794456237364E-2</v>
      </c>
      <c r="HN776" s="15">
        <f>((HJ776*HJ776)/(AR466*HH776*HH776)+(HG776*HG776)/(AR466*HE776*HE776))</f>
        <v>1.6508789290427222E-3</v>
      </c>
      <c r="HP776" s="15" t="s">
        <v>766</v>
      </c>
      <c r="HV776" s="15">
        <f t="shared" si="687"/>
        <v>612.88408317330811</v>
      </c>
      <c r="HW776" s="15">
        <f t="shared" si="688"/>
        <v>9.7897794456237364E-2</v>
      </c>
      <c r="HX776" s="25">
        <f>DA776</f>
        <v>6000</v>
      </c>
      <c r="HY776" s="25">
        <f>CY776</f>
        <v>2000</v>
      </c>
      <c r="HZ776" s="25">
        <f>CZ776</f>
        <v>2.5641025641025639</v>
      </c>
      <c r="IA776" s="25">
        <f>DA776</f>
        <v>6000</v>
      </c>
    </row>
    <row r="777" spans="1:235" s="15" customFormat="1" x14ac:dyDescent="0.25">
      <c r="A777" s="31">
        <v>775</v>
      </c>
      <c r="B777" s="1">
        <v>116</v>
      </c>
      <c r="C777" s="1">
        <v>136</v>
      </c>
      <c r="D777" s="15" t="s">
        <v>1729</v>
      </c>
      <c r="E777" s="1">
        <v>2</v>
      </c>
      <c r="F777" s="15" t="s">
        <v>777</v>
      </c>
      <c r="G777" s="15" t="s">
        <v>1720</v>
      </c>
      <c r="H777" s="15" t="s">
        <v>1721</v>
      </c>
      <c r="I777" s="1">
        <v>2018</v>
      </c>
      <c r="J777" s="15" t="s">
        <v>1722</v>
      </c>
      <c r="K777" s="1" t="s">
        <v>1315</v>
      </c>
      <c r="L777" s="15" t="s">
        <v>1723</v>
      </c>
      <c r="M777" s="15" t="s">
        <v>1099</v>
      </c>
      <c r="N777" s="15" t="s">
        <v>1100</v>
      </c>
      <c r="O777" s="31">
        <v>2</v>
      </c>
      <c r="P777" s="15">
        <v>44.56</v>
      </c>
      <c r="Q777" s="15">
        <v>-123.28</v>
      </c>
      <c r="S777" s="15">
        <v>1119</v>
      </c>
      <c r="T777" s="15">
        <v>13</v>
      </c>
      <c r="U777" s="15" t="s">
        <v>549</v>
      </c>
      <c r="V777" s="31">
        <v>1</v>
      </c>
      <c r="W777" s="15" t="s">
        <v>1226</v>
      </c>
      <c r="X777" s="15" t="s">
        <v>1724</v>
      </c>
      <c r="Y777" s="1">
        <v>3</v>
      </c>
      <c r="Z777" s="15">
        <v>5.01</v>
      </c>
      <c r="AA777" s="15" t="s">
        <v>574</v>
      </c>
      <c r="AB777" s="15">
        <f t="shared" si="673"/>
        <v>5.01</v>
      </c>
      <c r="AC777" s="1">
        <v>3</v>
      </c>
      <c r="AD777" s="15">
        <f t="shared" si="690"/>
        <v>28.187999999999999</v>
      </c>
      <c r="AM777" s="1">
        <v>3</v>
      </c>
      <c r="AQ777" s="1"/>
      <c r="AR777" s="1">
        <v>3</v>
      </c>
      <c r="CC777" s="15" t="s">
        <v>1725</v>
      </c>
      <c r="CE777" s="15">
        <v>500</v>
      </c>
      <c r="CF777" s="15">
        <f t="shared" si="691"/>
        <v>500</v>
      </c>
      <c r="CG777" s="15" t="s">
        <v>766</v>
      </c>
      <c r="CH777" s="15">
        <v>10.6</v>
      </c>
      <c r="CI777" s="15">
        <v>500</v>
      </c>
      <c r="CY777" s="25">
        <f t="shared" si="692"/>
        <v>500</v>
      </c>
      <c r="CZ777" s="25">
        <f t="shared" si="693"/>
        <v>0.64102564102564097</v>
      </c>
      <c r="DA777" s="25">
        <f t="shared" si="694"/>
        <v>1500</v>
      </c>
      <c r="FK777" s="16">
        <f t="shared" si="677"/>
        <v>5.01</v>
      </c>
      <c r="FL777" s="16">
        <f t="shared" si="678"/>
        <v>5.56</v>
      </c>
      <c r="FM777" s="15">
        <v>5.01</v>
      </c>
      <c r="FN777" s="15">
        <f t="shared" si="695"/>
        <v>0.2505</v>
      </c>
      <c r="FO777" s="15">
        <f>FN777*SQRT(AR777)</f>
        <v>0.43387872729600374</v>
      </c>
      <c r="FP777" s="15">
        <v>5.56</v>
      </c>
      <c r="FQ777" s="15">
        <f t="shared" si="696"/>
        <v>0.27799999999999997</v>
      </c>
      <c r="FR777" s="15">
        <f>FQ777*SQRT(AR777)</f>
        <v>0.48151012450414782</v>
      </c>
      <c r="FS777" s="15">
        <f t="shared" si="640"/>
        <v>1.1097804391217565</v>
      </c>
      <c r="FT777" s="15">
        <f t="shared" si="641"/>
        <v>0.54999999999999982</v>
      </c>
      <c r="FU777" s="15">
        <f t="shared" si="642"/>
        <v>0.10416219316571751</v>
      </c>
      <c r="FV777" s="15">
        <f>((FR777*FR777)/(AR777*FP777*FP777)+(FO777*FO777)/(AR777*FM777*FM777))</f>
        <v>4.9999999999999992E-3</v>
      </c>
      <c r="FX777" s="15">
        <v>16.2</v>
      </c>
      <c r="FY777" s="15">
        <f t="shared" si="697"/>
        <v>0.81</v>
      </c>
      <c r="FZ777" s="15">
        <f>FY777*SQRT(AR777)</f>
        <v>1.4029611541307907</v>
      </c>
      <c r="GA777" s="15">
        <v>23.8</v>
      </c>
      <c r="GB777" s="15">
        <f t="shared" si="698"/>
        <v>1.1900000000000002</v>
      </c>
      <c r="GC777" s="15">
        <f>GB777*SQRT(AR777)</f>
        <v>2.0611404610069641</v>
      </c>
      <c r="GD777" s="15">
        <f t="shared" si="679"/>
        <v>1.4691358024691359</v>
      </c>
      <c r="GE777" s="15">
        <f t="shared" si="680"/>
        <v>7.6000000000000014</v>
      </c>
      <c r="GF777" s="15">
        <f t="shared" si="681"/>
        <v>0.38467433843909093</v>
      </c>
      <c r="GG777" s="15">
        <f>((GC777*GC777)/(AR777*GA777*GA777)+(FZ777*FZ777)/(AR777*FX777*FX777))</f>
        <v>5.000000000000001E-3</v>
      </c>
      <c r="HE777" s="15">
        <v>1208</v>
      </c>
      <c r="HF777" s="15">
        <v>104</v>
      </c>
      <c r="HG777" s="15">
        <f>HF777*SQRT(AR467)</f>
        <v>180.13328398716322</v>
      </c>
      <c r="HH777" s="15">
        <v>1833</v>
      </c>
      <c r="HI777" s="15">
        <v>101</v>
      </c>
      <c r="HJ777" s="15">
        <f>HI777*SQRT(AR467)</f>
        <v>174.93713156445659</v>
      </c>
      <c r="HK777" s="15">
        <f t="shared" si="684"/>
        <v>1.5173841059602649</v>
      </c>
      <c r="HL777" s="15">
        <f t="shared" si="685"/>
        <v>625</v>
      </c>
      <c r="HM777" s="15">
        <f t="shared" si="686"/>
        <v>0.41698786934494425</v>
      </c>
      <c r="HN777" s="15">
        <f>((HJ777*HJ777)/(AR467*HH777*HH777)+(HG777*HG777)/(AR467*HE777*HE777))</f>
        <v>1.0448067820878999E-2</v>
      </c>
      <c r="HP777" s="15" t="s">
        <v>766</v>
      </c>
      <c r="HV777" s="15">
        <f t="shared" si="687"/>
        <v>35.972269465689358</v>
      </c>
      <c r="HW777" s="15">
        <f t="shared" si="688"/>
        <v>0.41698786934494425</v>
      </c>
      <c r="HX777" s="25">
        <f>DA777</f>
        <v>1500</v>
      </c>
      <c r="HY777" s="25">
        <f>CY777</f>
        <v>500</v>
      </c>
      <c r="HZ777" s="25">
        <f>CZ777</f>
        <v>0.64102564102564097</v>
      </c>
      <c r="IA777" s="25">
        <f>DA777</f>
        <v>1500</v>
      </c>
    </row>
    <row r="778" spans="1:235" s="15" customFormat="1" x14ac:dyDescent="0.25">
      <c r="A778" s="31">
        <v>776</v>
      </c>
      <c r="B778" s="1">
        <v>116</v>
      </c>
      <c r="C778" s="1">
        <v>136</v>
      </c>
      <c r="D778" s="15" t="s">
        <v>1730</v>
      </c>
      <c r="E778" s="1">
        <v>2</v>
      </c>
      <c r="F778" s="15" t="s">
        <v>777</v>
      </c>
      <c r="G778" s="15" t="s">
        <v>1720</v>
      </c>
      <c r="H778" s="15" t="s">
        <v>1721</v>
      </c>
      <c r="I778" s="1">
        <v>2018</v>
      </c>
      <c r="J778" s="15" t="s">
        <v>1722</v>
      </c>
      <c r="K778" s="1" t="s">
        <v>1315</v>
      </c>
      <c r="L778" s="15" t="s">
        <v>1723</v>
      </c>
      <c r="M778" s="15" t="s">
        <v>1099</v>
      </c>
      <c r="N778" s="15" t="s">
        <v>1100</v>
      </c>
      <c r="O778" s="31">
        <v>2</v>
      </c>
      <c r="P778" s="15">
        <v>44.56</v>
      </c>
      <c r="Q778" s="15">
        <v>-123.28</v>
      </c>
      <c r="S778" s="15">
        <v>1119</v>
      </c>
      <c r="T778" s="15">
        <v>13</v>
      </c>
      <c r="U778" s="15" t="s">
        <v>549</v>
      </c>
      <c r="V778" s="31">
        <v>1</v>
      </c>
      <c r="W778" s="15" t="s">
        <v>1226</v>
      </c>
      <c r="X778" s="15" t="s">
        <v>1724</v>
      </c>
      <c r="Y778" s="1">
        <v>3</v>
      </c>
      <c r="Z778" s="15">
        <v>5.01</v>
      </c>
      <c r="AA778" s="15" t="s">
        <v>574</v>
      </c>
      <c r="AB778" s="15">
        <f t="shared" si="673"/>
        <v>5.01</v>
      </c>
      <c r="AC778" s="1">
        <v>3</v>
      </c>
      <c r="AD778" s="15">
        <f t="shared" si="690"/>
        <v>28.187999999999999</v>
      </c>
      <c r="AM778" s="1">
        <v>3</v>
      </c>
      <c r="AQ778" s="1"/>
      <c r="AR778" s="1">
        <v>3</v>
      </c>
      <c r="CC778" s="15" t="s">
        <v>1725</v>
      </c>
      <c r="CE778" s="15">
        <v>1000</v>
      </c>
      <c r="CF778" s="15">
        <f t="shared" si="691"/>
        <v>1000</v>
      </c>
      <c r="CG778" s="15" t="s">
        <v>766</v>
      </c>
      <c r="CH778" s="15">
        <v>10.6</v>
      </c>
      <c r="CI778" s="15">
        <v>500</v>
      </c>
      <c r="CY778" s="25">
        <f t="shared" si="692"/>
        <v>1000</v>
      </c>
      <c r="CZ778" s="25">
        <f t="shared" si="693"/>
        <v>1.2820512820512819</v>
      </c>
      <c r="DA778" s="25">
        <f t="shared" si="694"/>
        <v>3000</v>
      </c>
      <c r="FK778" s="16">
        <f t="shared" si="677"/>
        <v>5.01</v>
      </c>
      <c r="FL778" s="16">
        <f t="shared" si="678"/>
        <v>5.95</v>
      </c>
      <c r="FM778" s="15">
        <v>5.01</v>
      </c>
      <c r="FN778" s="15">
        <f t="shared" si="695"/>
        <v>0.2505</v>
      </c>
      <c r="FO778" s="15">
        <f>FN778*SQRT(AR778)</f>
        <v>0.43387872729600374</v>
      </c>
      <c r="FP778" s="15">
        <v>5.95</v>
      </c>
      <c r="FQ778" s="15">
        <f t="shared" si="696"/>
        <v>0.29750000000000004</v>
      </c>
      <c r="FR778" s="15">
        <f>FQ778*SQRT(AR778)</f>
        <v>0.51528511525174103</v>
      </c>
      <c r="FS778" s="15">
        <f t="shared" si="640"/>
        <v>1.1876247504990021</v>
      </c>
      <c r="FT778" s="15">
        <f t="shared" si="641"/>
        <v>0.94000000000000039</v>
      </c>
      <c r="FU778" s="15">
        <f t="shared" si="642"/>
        <v>0.1719553044607649</v>
      </c>
      <c r="FV778" s="15">
        <f>((FR778*FR778)/(AR778*FP778*FP778)+(FO778*FO778)/(AR778*FM778*FM778))</f>
        <v>5.0000000000000001E-3</v>
      </c>
      <c r="FX778" s="15">
        <v>17.2</v>
      </c>
      <c r="FY778" s="15">
        <f t="shared" si="697"/>
        <v>0.86</v>
      </c>
      <c r="FZ778" s="15">
        <f>FY778*SQRT(AR778)</f>
        <v>1.4895636945092343</v>
      </c>
      <c r="GA778" s="15">
        <v>35.4</v>
      </c>
      <c r="GB778" s="15">
        <f t="shared" si="698"/>
        <v>1.77</v>
      </c>
      <c r="GC778" s="15">
        <f>GB778*SQRT(AR778)</f>
        <v>3.0657299293969125</v>
      </c>
      <c r="GD778" s="15">
        <f t="shared" si="679"/>
        <v>2.058139534883721</v>
      </c>
      <c r="GE778" s="15">
        <f t="shared" si="680"/>
        <v>18.2</v>
      </c>
      <c r="GF778" s="15">
        <f t="shared" si="681"/>
        <v>0.72180243632032148</v>
      </c>
      <c r="GG778" s="15">
        <f>((GC778*GC778)/(AR778*GA778*GA778)+(FZ778*FZ778)/(AR778*FX778*FX778))</f>
        <v>4.9999999999999992E-3</v>
      </c>
      <c r="HE778" s="15">
        <v>1208</v>
      </c>
      <c r="HF778" s="15">
        <v>104</v>
      </c>
      <c r="HG778" s="15">
        <f>HF778*SQRT(AR468)</f>
        <v>180.13328398716322</v>
      </c>
      <c r="HH778" s="15">
        <v>1781</v>
      </c>
      <c r="HI778" s="15">
        <v>98</v>
      </c>
      <c r="HJ778" s="15">
        <f>HI778*SQRT(AR468)</f>
        <v>169.74097914174996</v>
      </c>
      <c r="HK778" s="15">
        <f t="shared" si="684"/>
        <v>1.4743377483443709</v>
      </c>
      <c r="HL778" s="15">
        <f t="shared" si="685"/>
        <v>573</v>
      </c>
      <c r="HM778" s="15">
        <f t="shared" si="686"/>
        <v>0.38820890479490089</v>
      </c>
      <c r="HN778" s="15">
        <f>((HJ778*HJ778)/(AR468*HH778*HH778)+(HG778*HG778)/(AR468*HE778*HE778))</f>
        <v>1.043973559183896E-2</v>
      </c>
      <c r="HP778" s="15" t="s">
        <v>766</v>
      </c>
      <c r="HV778" s="15">
        <f t="shared" si="687"/>
        <v>77.277980050070312</v>
      </c>
      <c r="HW778" s="15">
        <f t="shared" si="688"/>
        <v>0.38820890479490089</v>
      </c>
      <c r="HX778" s="25">
        <f>DA778</f>
        <v>3000</v>
      </c>
      <c r="HY778" s="25">
        <f>CY778</f>
        <v>1000</v>
      </c>
      <c r="HZ778" s="25">
        <f>CZ778</f>
        <v>1.2820512820512819</v>
      </c>
      <c r="IA778" s="25">
        <f>DA778</f>
        <v>3000</v>
      </c>
    </row>
    <row r="779" spans="1:235" s="15" customFormat="1" x14ac:dyDescent="0.25">
      <c r="A779" s="31">
        <v>777</v>
      </c>
      <c r="B779" s="1">
        <v>116</v>
      </c>
      <c r="C779" s="1">
        <v>136</v>
      </c>
      <c r="D779" s="15" t="s">
        <v>1731</v>
      </c>
      <c r="E779" s="1">
        <v>2</v>
      </c>
      <c r="F779" s="15" t="s">
        <v>777</v>
      </c>
      <c r="G779" s="15" t="s">
        <v>1720</v>
      </c>
      <c r="H779" s="15" t="s">
        <v>1721</v>
      </c>
      <c r="I779" s="1">
        <v>2018</v>
      </c>
      <c r="J779" s="15" t="s">
        <v>1722</v>
      </c>
      <c r="K779" s="1" t="s">
        <v>1315</v>
      </c>
      <c r="L779" s="15" t="s">
        <v>1723</v>
      </c>
      <c r="M779" s="15" t="s">
        <v>1099</v>
      </c>
      <c r="N779" s="15" t="s">
        <v>1100</v>
      </c>
      <c r="O779" s="31">
        <v>2</v>
      </c>
      <c r="P779" s="15">
        <v>44.56</v>
      </c>
      <c r="Q779" s="15">
        <v>-123.28</v>
      </c>
      <c r="S779" s="15">
        <v>1119</v>
      </c>
      <c r="T779" s="15">
        <v>13</v>
      </c>
      <c r="U779" s="15" t="s">
        <v>549</v>
      </c>
      <c r="V779" s="31">
        <v>1</v>
      </c>
      <c r="W779" s="15" t="s">
        <v>1226</v>
      </c>
      <c r="X779" s="15" t="s">
        <v>1724</v>
      </c>
      <c r="Y779" s="1">
        <v>3</v>
      </c>
      <c r="Z779" s="15">
        <v>5.01</v>
      </c>
      <c r="AA779" s="15" t="s">
        <v>574</v>
      </c>
      <c r="AB779" s="15">
        <f t="shared" si="673"/>
        <v>5.01</v>
      </c>
      <c r="AC779" s="1">
        <v>3</v>
      </c>
      <c r="AD779" s="15">
        <f t="shared" si="690"/>
        <v>28.187999999999999</v>
      </c>
      <c r="AM779" s="1">
        <v>3</v>
      </c>
      <c r="AQ779" s="1"/>
      <c r="AR779" s="1">
        <v>3</v>
      </c>
      <c r="CC779" s="15" t="s">
        <v>1725</v>
      </c>
      <c r="CE779" s="15">
        <v>2000</v>
      </c>
      <c r="CF779" s="15">
        <f t="shared" si="691"/>
        <v>2000</v>
      </c>
      <c r="CG779" s="15" t="s">
        <v>766</v>
      </c>
      <c r="CH779" s="15">
        <v>10.6</v>
      </c>
      <c r="CI779" s="15">
        <v>500</v>
      </c>
      <c r="CY779" s="25">
        <f t="shared" si="692"/>
        <v>2000</v>
      </c>
      <c r="CZ779" s="25">
        <f t="shared" si="693"/>
        <v>2.5641025641025639</v>
      </c>
      <c r="DA779" s="25">
        <f t="shared" si="694"/>
        <v>6000</v>
      </c>
      <c r="FK779" s="16">
        <f t="shared" si="677"/>
        <v>5.01</v>
      </c>
      <c r="FL779" s="16">
        <f t="shared" si="678"/>
        <v>5.99</v>
      </c>
      <c r="FM779" s="15">
        <v>5.01</v>
      </c>
      <c r="FN779" s="15">
        <f t="shared" si="695"/>
        <v>0.2505</v>
      </c>
      <c r="FO779" s="15">
        <f>FN779*SQRT(AR779)</f>
        <v>0.43387872729600374</v>
      </c>
      <c r="FP779" s="15">
        <v>5.99</v>
      </c>
      <c r="FQ779" s="15">
        <f t="shared" si="696"/>
        <v>0.29950000000000004</v>
      </c>
      <c r="FR779" s="15">
        <f>FQ779*SQRT(AR779)</f>
        <v>0.5187492168668788</v>
      </c>
      <c r="FS779" s="15">
        <f t="shared" si="640"/>
        <v>1.1956087824351298</v>
      </c>
      <c r="FT779" s="15">
        <f t="shared" si="641"/>
        <v>0.98000000000000043</v>
      </c>
      <c r="FU779" s="15">
        <f t="shared" si="642"/>
        <v>0.1786554970305847</v>
      </c>
      <c r="FV779" s="15">
        <f>((FR779*FR779)/(AR779*FP779*FP779)+(FO779*FO779)/(AR779*FM779*FM779))</f>
        <v>5.000000000000001E-3</v>
      </c>
      <c r="FX779" s="15">
        <v>18.2</v>
      </c>
      <c r="FY779" s="15">
        <f t="shared" si="697"/>
        <v>0.91</v>
      </c>
      <c r="FZ779" s="15">
        <f>FY779*SQRT(AR779)</f>
        <v>1.5761662348876784</v>
      </c>
      <c r="GA779" s="15">
        <v>42.5</v>
      </c>
      <c r="GB779" s="15">
        <f t="shared" si="698"/>
        <v>2.125</v>
      </c>
      <c r="GC779" s="15">
        <f>GB779*SQRT(AR779)</f>
        <v>3.6806079660838642</v>
      </c>
      <c r="GD779" s="15">
        <f t="shared" si="679"/>
        <v>2.3351648351648353</v>
      </c>
      <c r="GE779" s="15">
        <f t="shared" si="680"/>
        <v>24.3</v>
      </c>
      <c r="GF779" s="15">
        <f t="shared" si="681"/>
        <v>0.84808248184762158</v>
      </c>
      <c r="GG779" s="15">
        <f>((GC779*GC779)/(AR779*GA779*GA779)+(FZ779*FZ779)/(AR779*FX779*FX779))</f>
        <v>5.000000000000001E-3</v>
      </c>
      <c r="HE779" s="15">
        <v>1208</v>
      </c>
      <c r="HF779" s="15">
        <v>104</v>
      </c>
      <c r="HG779" s="15">
        <f>HF779*SQRT(AR469)</f>
        <v>180.13328398716322</v>
      </c>
      <c r="HH779" s="15">
        <v>1730</v>
      </c>
      <c r="HI779" s="15">
        <v>94</v>
      </c>
      <c r="HJ779" s="15">
        <f>HI779*SQRT(AR469)</f>
        <v>162.81277591147446</v>
      </c>
      <c r="HK779" s="15">
        <f t="shared" si="684"/>
        <v>1.4321192052980132</v>
      </c>
      <c r="HL779" s="15">
        <f t="shared" si="685"/>
        <v>522</v>
      </c>
      <c r="HM779" s="15">
        <f t="shared" si="686"/>
        <v>0.35915530899706383</v>
      </c>
      <c r="HN779" s="15">
        <f>((HJ779*HJ779)/(AR469*HH779*HH779)+(HG779*HG779)/(AR469*HE779*HE779))</f>
        <v>1.0364276107812421E-2</v>
      </c>
      <c r="HP779" s="15" t="s">
        <v>766</v>
      </c>
      <c r="HV779" s="15">
        <f t="shared" si="687"/>
        <v>167.05864704478171</v>
      </c>
      <c r="HW779" s="15">
        <f t="shared" si="688"/>
        <v>0.35915530899706383</v>
      </c>
      <c r="HX779" s="25">
        <f>DA779</f>
        <v>6000</v>
      </c>
      <c r="HY779" s="25">
        <f>CY779</f>
        <v>2000</v>
      </c>
      <c r="HZ779" s="25">
        <f>CZ779</f>
        <v>2.5641025641025639</v>
      </c>
      <c r="IA779" s="25">
        <f>DA779</f>
        <v>6000</v>
      </c>
    </row>
    <row r="780" spans="1:235" s="15" customFormat="1" x14ac:dyDescent="0.25">
      <c r="A780" s="31">
        <v>778</v>
      </c>
      <c r="B780" s="1">
        <v>117</v>
      </c>
      <c r="C780" s="1">
        <v>137</v>
      </c>
      <c r="D780" s="15" t="s">
        <v>1733</v>
      </c>
      <c r="E780" s="1">
        <v>2</v>
      </c>
      <c r="F780" s="15" t="s">
        <v>777</v>
      </c>
      <c r="G780" s="15" t="s">
        <v>1732</v>
      </c>
      <c r="H780" s="15" t="s">
        <v>1737</v>
      </c>
      <c r="I780" s="1">
        <v>2010</v>
      </c>
      <c r="J780" s="15" t="s">
        <v>1738</v>
      </c>
      <c r="K780" s="1" t="s">
        <v>1739</v>
      </c>
      <c r="L780" s="15" t="s">
        <v>1740</v>
      </c>
      <c r="M780" s="15" t="s">
        <v>1099</v>
      </c>
      <c r="N780" s="15" t="s">
        <v>1100</v>
      </c>
      <c r="O780" s="31">
        <v>2</v>
      </c>
      <c r="P780" s="15">
        <v>31.5</v>
      </c>
      <c r="Q780" s="15">
        <v>-83.53</v>
      </c>
      <c r="R780" s="15">
        <v>120</v>
      </c>
      <c r="S780" s="15">
        <v>964</v>
      </c>
      <c r="T780" s="15">
        <v>12</v>
      </c>
      <c r="U780" s="15" t="s">
        <v>549</v>
      </c>
      <c r="V780" s="31">
        <v>1</v>
      </c>
      <c r="W780" s="15" t="s">
        <v>1153</v>
      </c>
      <c r="X780" s="15" t="s">
        <v>731</v>
      </c>
      <c r="Y780" s="1">
        <v>12</v>
      </c>
      <c r="Z780" s="15">
        <v>5.59</v>
      </c>
      <c r="AA780" s="15" t="s">
        <v>574</v>
      </c>
      <c r="AB780" s="15">
        <f t="shared" si="673"/>
        <v>5.59</v>
      </c>
      <c r="AC780" s="1">
        <v>4</v>
      </c>
      <c r="AD780" s="15">
        <f>4.354*1.74</f>
        <v>7.5759600000000002</v>
      </c>
      <c r="AM780" s="1">
        <v>3</v>
      </c>
      <c r="AO780" s="1">
        <v>1</v>
      </c>
      <c r="AP780" s="15" t="s">
        <v>1741</v>
      </c>
      <c r="AQ780" s="1">
        <v>10</v>
      </c>
      <c r="AR780" s="1">
        <v>4</v>
      </c>
      <c r="CC780" s="15" t="s">
        <v>1742</v>
      </c>
      <c r="CE780" s="15">
        <v>11000</v>
      </c>
      <c r="CF780" s="15">
        <f t="shared" si="691"/>
        <v>11000</v>
      </c>
      <c r="CG780" s="15" t="s">
        <v>766</v>
      </c>
      <c r="CH780" s="15">
        <v>10.119999999999999</v>
      </c>
      <c r="CI780" s="15">
        <v>400</v>
      </c>
      <c r="CK780" s="15">
        <v>728</v>
      </c>
      <c r="CL780" s="15">
        <v>1.9</v>
      </c>
      <c r="CY780" s="25">
        <f t="shared" si="692"/>
        <v>11000</v>
      </c>
      <c r="CZ780" s="25">
        <f t="shared" si="693"/>
        <v>14.102564102564102</v>
      </c>
      <c r="DA780" s="25">
        <f t="shared" si="694"/>
        <v>33000</v>
      </c>
      <c r="FK780" s="16">
        <f t="shared" si="677"/>
        <v>6.41</v>
      </c>
      <c r="FL780" s="16">
        <f t="shared" si="678"/>
        <v>6.47</v>
      </c>
      <c r="FM780" s="15">
        <v>6.41</v>
      </c>
      <c r="FN780" s="15">
        <f t="shared" si="695"/>
        <v>0.32050000000000001</v>
      </c>
      <c r="FO780" s="15">
        <f>FN780*SQRT(AR780)</f>
        <v>0.64100000000000001</v>
      </c>
      <c r="FP780" s="15">
        <v>6.47</v>
      </c>
      <c r="FQ780" s="15">
        <f t="shared" si="696"/>
        <v>0.32350000000000001</v>
      </c>
      <c r="FR780" s="15">
        <f>FQ780*SQRT(AR780)</f>
        <v>0.64700000000000002</v>
      </c>
      <c r="FS780" s="15">
        <f t="shared" si="640"/>
        <v>1.0093603744149766</v>
      </c>
      <c r="FT780" s="15">
        <f t="shared" si="641"/>
        <v>5.9999999999999609E-2</v>
      </c>
      <c r="FU780" s="15">
        <f t="shared" si="642"/>
        <v>9.316837580230386E-3</v>
      </c>
      <c r="FV780" s="15">
        <f>((FR780*FR780)/(AR780*FP780*FP780)+(FO780*FO780)/(AR780*FM780*FM780))</f>
        <v>5.0000000000000001E-3</v>
      </c>
      <c r="HE780" s="15">
        <v>4703</v>
      </c>
      <c r="HF780" s="15">
        <f>HE780*0.05</f>
        <v>235.15</v>
      </c>
      <c r="HG780" s="15">
        <f>HF780*SQRT(AR470)</f>
        <v>407.29174739982147</v>
      </c>
      <c r="HH780" s="15">
        <v>5049</v>
      </c>
      <c r="HI780" s="15">
        <f>HH780*0.05</f>
        <v>252.45000000000002</v>
      </c>
      <c r="HJ780" s="15">
        <f>HI780*SQRT(AR470)</f>
        <v>437.2562263707631</v>
      </c>
      <c r="HK780" s="15">
        <f t="shared" si="684"/>
        <v>1.0735700616627684</v>
      </c>
      <c r="HL780" s="15">
        <f t="shared" si="685"/>
        <v>346</v>
      </c>
      <c r="HM780" s="15">
        <f t="shared" si="686"/>
        <v>7.0989600913867079E-2</v>
      </c>
      <c r="HN780" s="15">
        <f>((HJ780*HJ780)/(AR470*HH780*HH780)+(HG780*HG780)/(AR470*HE780*HE780))</f>
        <v>5.0000000000000001E-3</v>
      </c>
      <c r="HP780" s="15" t="s">
        <v>766</v>
      </c>
      <c r="HV780" s="15">
        <f t="shared" si="687"/>
        <v>4648.5681811395834</v>
      </c>
      <c r="HW780" s="15">
        <f t="shared" si="688"/>
        <v>7.0989600913867079E-2</v>
      </c>
      <c r="HX780" s="25">
        <f>DA780</f>
        <v>33000</v>
      </c>
      <c r="HY780" s="25">
        <f>CY780</f>
        <v>11000</v>
      </c>
      <c r="HZ780" s="25">
        <f>CZ780</f>
        <v>14.102564102564102</v>
      </c>
      <c r="IA780" s="25">
        <f>DA780</f>
        <v>33000</v>
      </c>
    </row>
    <row r="781" spans="1:235" s="15" customFormat="1" x14ac:dyDescent="0.25">
      <c r="A781" s="31">
        <v>779</v>
      </c>
      <c r="B781" s="1">
        <v>117</v>
      </c>
      <c r="C781" s="1">
        <v>137</v>
      </c>
      <c r="D781" s="15" t="s">
        <v>1734</v>
      </c>
      <c r="E781" s="1">
        <v>2</v>
      </c>
      <c r="F781" s="15" t="s">
        <v>777</v>
      </c>
      <c r="G781" s="15" t="s">
        <v>1732</v>
      </c>
      <c r="H781" s="15" t="s">
        <v>1737</v>
      </c>
      <c r="I781" s="1">
        <v>2010</v>
      </c>
      <c r="J781" s="15" t="s">
        <v>1738</v>
      </c>
      <c r="K781" s="1" t="s">
        <v>1739</v>
      </c>
      <c r="L781" s="15" t="s">
        <v>1740</v>
      </c>
      <c r="M781" s="15" t="s">
        <v>1099</v>
      </c>
      <c r="N781" s="15" t="s">
        <v>1100</v>
      </c>
      <c r="O781" s="31">
        <v>2</v>
      </c>
      <c r="P781" s="15">
        <v>31.5</v>
      </c>
      <c r="Q781" s="15">
        <v>-83.53</v>
      </c>
      <c r="R781" s="15">
        <v>120</v>
      </c>
      <c r="S781" s="15">
        <v>964</v>
      </c>
      <c r="T781" s="15">
        <v>12</v>
      </c>
      <c r="U781" s="15" t="s">
        <v>549</v>
      </c>
      <c r="V781" s="31">
        <v>1</v>
      </c>
      <c r="W781" s="15" t="s">
        <v>1153</v>
      </c>
      <c r="X781" s="15" t="s">
        <v>731</v>
      </c>
      <c r="Y781" s="1">
        <v>12</v>
      </c>
      <c r="Z781" s="15">
        <v>5.59</v>
      </c>
      <c r="AA781" s="15" t="s">
        <v>574</v>
      </c>
      <c r="AB781" s="15">
        <f t="shared" si="673"/>
        <v>5.59</v>
      </c>
      <c r="AC781" s="1">
        <v>4</v>
      </c>
      <c r="AD781" s="15">
        <f>4.354*1.74</f>
        <v>7.5759600000000002</v>
      </c>
      <c r="AM781" s="1">
        <v>3</v>
      </c>
      <c r="AO781" s="1">
        <v>1</v>
      </c>
      <c r="AP781" s="15" t="s">
        <v>1741</v>
      </c>
      <c r="AQ781" s="1">
        <v>10</v>
      </c>
      <c r="AR781" s="1">
        <v>4</v>
      </c>
      <c r="CC781" s="15" t="s">
        <v>1742</v>
      </c>
      <c r="CE781" s="15">
        <v>22000</v>
      </c>
      <c r="CF781" s="15">
        <f t="shared" si="691"/>
        <v>22000</v>
      </c>
      <c r="CG781" s="15" t="s">
        <v>766</v>
      </c>
      <c r="CH781" s="15">
        <v>10.119999999999999</v>
      </c>
      <c r="CI781" s="15">
        <v>400</v>
      </c>
      <c r="CK781" s="15">
        <v>728</v>
      </c>
      <c r="CL781" s="15">
        <v>1.9</v>
      </c>
      <c r="CY781" s="25">
        <f t="shared" si="692"/>
        <v>22000</v>
      </c>
      <c r="CZ781" s="25">
        <f t="shared" si="693"/>
        <v>28.205128205128204</v>
      </c>
      <c r="DA781" s="25">
        <f t="shared" si="694"/>
        <v>66000</v>
      </c>
      <c r="FK781" s="16">
        <f t="shared" si="677"/>
        <v>6.41</v>
      </c>
      <c r="FL781" s="16">
        <f t="shared" si="678"/>
        <v>6.66</v>
      </c>
      <c r="FM781" s="15">
        <v>6.41</v>
      </c>
      <c r="FN781" s="15">
        <f t="shared" si="695"/>
        <v>0.32050000000000001</v>
      </c>
      <c r="FO781" s="15">
        <f>FN781*SQRT(AR781)</f>
        <v>0.64100000000000001</v>
      </c>
      <c r="FP781" s="15">
        <v>6.66</v>
      </c>
      <c r="FQ781" s="15">
        <f t="shared" si="696"/>
        <v>0.33300000000000002</v>
      </c>
      <c r="FR781" s="15">
        <f>FQ781*SQRT(AR781)</f>
        <v>0.66600000000000004</v>
      </c>
      <c r="FS781" s="15">
        <f t="shared" si="640"/>
        <v>1.0390015600624025</v>
      </c>
      <c r="FT781" s="15">
        <f t="shared" si="641"/>
        <v>0.25</v>
      </c>
      <c r="FU781" s="15">
        <f t="shared" si="642"/>
        <v>3.8260213619718986E-2</v>
      </c>
      <c r="FV781" s="15">
        <f>((FR781*FR781)/(AR781*FP781*FP781)+(FO781*FO781)/(AR781*FM781*FM781))</f>
        <v>4.9999999999999992E-3</v>
      </c>
      <c r="HE781" s="15">
        <v>4703</v>
      </c>
      <c r="HF781" s="15">
        <f>HE781*0.05</f>
        <v>235.15</v>
      </c>
      <c r="HG781" s="15">
        <f>HF781*SQRT(AR471)</f>
        <v>407.29174739982147</v>
      </c>
      <c r="HH781" s="15">
        <v>6073</v>
      </c>
      <c r="HI781" s="15">
        <f>HH781*0.05</f>
        <v>303.65000000000003</v>
      </c>
      <c r="HJ781" s="15">
        <f>HI781*SQRT(AR471)</f>
        <v>525.93722771828959</v>
      </c>
      <c r="HK781" s="15">
        <f t="shared" si="684"/>
        <v>1.2913034233467999</v>
      </c>
      <c r="HL781" s="15">
        <f t="shared" si="685"/>
        <v>1370</v>
      </c>
      <c r="HM781" s="15">
        <f t="shared" si="686"/>
        <v>0.25565211395252696</v>
      </c>
      <c r="HN781" s="15">
        <f>((HJ781*HJ781)/(AR471*HH781*HH781)+(HG781*HG781)/(AR471*HE781*HE781))</f>
        <v>4.9999999999999992E-3</v>
      </c>
      <c r="HP781" s="15" t="s">
        <v>766</v>
      </c>
      <c r="HV781" s="15">
        <f t="shared" si="687"/>
        <v>2581.6332585560313</v>
      </c>
      <c r="HW781" s="15">
        <f t="shared" si="688"/>
        <v>0.25565211395252696</v>
      </c>
      <c r="HX781" s="25">
        <f>DA781</f>
        <v>66000</v>
      </c>
      <c r="HY781" s="25">
        <f>CY781</f>
        <v>22000</v>
      </c>
      <c r="HZ781" s="25">
        <f>CZ781</f>
        <v>28.205128205128204</v>
      </c>
      <c r="IA781" s="25">
        <f>DA781</f>
        <v>66000</v>
      </c>
    </row>
    <row r="782" spans="1:235" s="15" customFormat="1" x14ac:dyDescent="0.25">
      <c r="A782" s="31">
        <v>780</v>
      </c>
      <c r="B782" s="1">
        <v>117</v>
      </c>
      <c r="C782" s="1">
        <v>137</v>
      </c>
      <c r="D782" s="15" t="s">
        <v>1735</v>
      </c>
      <c r="E782" s="1">
        <v>2</v>
      </c>
      <c r="F782" s="15" t="s">
        <v>777</v>
      </c>
      <c r="G782" s="15" t="s">
        <v>1732</v>
      </c>
      <c r="H782" s="15" t="s">
        <v>1737</v>
      </c>
      <c r="I782" s="1">
        <v>2010</v>
      </c>
      <c r="J782" s="15" t="s">
        <v>1738</v>
      </c>
      <c r="K782" s="1" t="s">
        <v>1739</v>
      </c>
      <c r="L782" s="15" t="s">
        <v>1740</v>
      </c>
      <c r="M782" s="15" t="s">
        <v>1099</v>
      </c>
      <c r="N782" s="15" t="s">
        <v>1100</v>
      </c>
      <c r="O782" s="31">
        <v>2</v>
      </c>
      <c r="P782" s="15">
        <v>31.5</v>
      </c>
      <c r="Q782" s="15">
        <v>-83.53</v>
      </c>
      <c r="R782" s="15">
        <v>120</v>
      </c>
      <c r="S782" s="15">
        <v>964</v>
      </c>
      <c r="T782" s="15">
        <v>12</v>
      </c>
      <c r="U782" s="15" t="s">
        <v>549</v>
      </c>
      <c r="V782" s="31">
        <v>1</v>
      </c>
      <c r="W782" s="15" t="s">
        <v>1153</v>
      </c>
      <c r="X782" s="15" t="s">
        <v>731</v>
      </c>
      <c r="Y782" s="1">
        <v>12</v>
      </c>
      <c r="Z782" s="15">
        <v>5.59</v>
      </c>
      <c r="AA782" s="15" t="s">
        <v>574</v>
      </c>
      <c r="AB782" s="15">
        <f t="shared" si="673"/>
        <v>5.59</v>
      </c>
      <c r="AC782" s="1">
        <v>4</v>
      </c>
      <c r="AD782" s="15">
        <f>4.354*1.74</f>
        <v>7.5759600000000002</v>
      </c>
      <c r="AM782" s="1">
        <v>3</v>
      </c>
      <c r="AO782" s="1">
        <v>1</v>
      </c>
      <c r="AP782" s="15" t="s">
        <v>1741</v>
      </c>
      <c r="AQ782" s="1">
        <v>10</v>
      </c>
      <c r="AR782" s="1">
        <v>4</v>
      </c>
      <c r="CC782" s="15" t="s">
        <v>1743</v>
      </c>
      <c r="CE782" s="15">
        <v>11000</v>
      </c>
      <c r="CF782" s="15">
        <f t="shared" si="691"/>
        <v>11000</v>
      </c>
      <c r="CG782" s="15" t="s">
        <v>766</v>
      </c>
      <c r="CH782" s="15">
        <v>7.54</v>
      </c>
      <c r="CI782" s="15">
        <v>400</v>
      </c>
      <c r="CK782" s="15">
        <v>769</v>
      </c>
      <c r="CL782" s="15">
        <v>1.7</v>
      </c>
      <c r="CY782" s="25">
        <f t="shared" si="692"/>
        <v>11000</v>
      </c>
      <c r="CZ782" s="25">
        <f t="shared" si="693"/>
        <v>14.102564102564102</v>
      </c>
      <c r="DA782" s="25">
        <f t="shared" si="694"/>
        <v>33000</v>
      </c>
      <c r="FK782" s="16">
        <f t="shared" si="677"/>
        <v>6.45</v>
      </c>
      <c r="FL782" s="16">
        <f t="shared" si="678"/>
        <v>6.55</v>
      </c>
      <c r="FM782" s="15">
        <v>6.45</v>
      </c>
      <c r="FN782" s="15">
        <f t="shared" si="695"/>
        <v>0.32250000000000001</v>
      </c>
      <c r="FO782" s="15">
        <f>FN782*SQRT(AR782)</f>
        <v>0.64500000000000002</v>
      </c>
      <c r="FP782" s="15">
        <v>6.55</v>
      </c>
      <c r="FQ782" s="15">
        <f t="shared" si="696"/>
        <v>0.32750000000000001</v>
      </c>
      <c r="FR782" s="15">
        <f>FQ782*SQRT(AR782)</f>
        <v>0.65500000000000003</v>
      </c>
      <c r="FS782" s="15">
        <f t="shared" si="640"/>
        <v>1.0155038759689923</v>
      </c>
      <c r="FT782" s="15">
        <f t="shared" si="641"/>
        <v>9.9999999999999645E-2</v>
      </c>
      <c r="FU782" s="15">
        <f t="shared" si="642"/>
        <v>1.5384918839479456E-2</v>
      </c>
      <c r="FV782" s="15">
        <f>((FR782*FR782)/(AR782*FP782*FP782)+(FO782*FO782)/(AR782*FM782*FM782))</f>
        <v>5.000000000000001E-3</v>
      </c>
      <c r="HE782" s="15">
        <v>4449</v>
      </c>
      <c r="HF782" s="15">
        <f>HE782*0.05</f>
        <v>222.45000000000002</v>
      </c>
      <c r="HG782" s="15">
        <f>HF782*SQRT(AR472)</f>
        <v>385.29470214369678</v>
      </c>
      <c r="HH782" s="15">
        <v>4614</v>
      </c>
      <c r="HI782" s="15">
        <f>HH782*0.05</f>
        <v>230.70000000000002</v>
      </c>
      <c r="HJ782" s="15">
        <f>HI782*SQRT(AR472)</f>
        <v>399.58412130613999</v>
      </c>
      <c r="HK782" s="15">
        <f t="shared" si="684"/>
        <v>1.0370869858395144</v>
      </c>
      <c r="HL782" s="15">
        <f t="shared" si="685"/>
        <v>165</v>
      </c>
      <c r="HM782" s="15">
        <f t="shared" si="686"/>
        <v>3.6415807927658861E-2</v>
      </c>
      <c r="HN782" s="15">
        <f>((HJ782*HJ782)/(AR472*HH782*HH782)+(HG782*HG782)/(AR472*HE782*HE782))</f>
        <v>5.0000000000000001E-3</v>
      </c>
      <c r="HP782" s="15" t="s">
        <v>766</v>
      </c>
      <c r="HV782" s="15">
        <f t="shared" si="687"/>
        <v>9061.9985874144368</v>
      </c>
      <c r="HW782" s="15">
        <f t="shared" si="688"/>
        <v>3.6415807927658861E-2</v>
      </c>
      <c r="HX782" s="25">
        <f>DA782</f>
        <v>33000</v>
      </c>
      <c r="HY782" s="25">
        <f>CY782</f>
        <v>11000</v>
      </c>
      <c r="HZ782" s="25">
        <f>CZ782</f>
        <v>14.102564102564102</v>
      </c>
      <c r="IA782" s="25">
        <f>DA782</f>
        <v>33000</v>
      </c>
    </row>
    <row r="783" spans="1:235" s="15" customFormat="1" x14ac:dyDescent="0.25">
      <c r="A783" s="31">
        <v>781</v>
      </c>
      <c r="B783" s="1">
        <v>117</v>
      </c>
      <c r="C783" s="1">
        <v>137</v>
      </c>
      <c r="D783" s="15" t="s">
        <v>1736</v>
      </c>
      <c r="E783" s="1">
        <v>2</v>
      </c>
      <c r="F783" s="15" t="s">
        <v>777</v>
      </c>
      <c r="G783" s="15" t="s">
        <v>1732</v>
      </c>
      <c r="H783" s="15" t="s">
        <v>1737</v>
      </c>
      <c r="I783" s="1">
        <v>2010</v>
      </c>
      <c r="J783" s="15" t="s">
        <v>1738</v>
      </c>
      <c r="K783" s="1" t="s">
        <v>1739</v>
      </c>
      <c r="L783" s="15" t="s">
        <v>1740</v>
      </c>
      <c r="M783" s="15" t="s">
        <v>1099</v>
      </c>
      <c r="N783" s="15" t="s">
        <v>1100</v>
      </c>
      <c r="O783" s="31">
        <v>2</v>
      </c>
      <c r="P783" s="15">
        <v>31.5</v>
      </c>
      <c r="Q783" s="15">
        <v>-83.53</v>
      </c>
      <c r="R783" s="15">
        <v>120</v>
      </c>
      <c r="S783" s="15">
        <v>964</v>
      </c>
      <c r="T783" s="15">
        <v>12</v>
      </c>
      <c r="U783" s="15" t="s">
        <v>549</v>
      </c>
      <c r="V783" s="31">
        <v>1</v>
      </c>
      <c r="W783" s="15" t="s">
        <v>1153</v>
      </c>
      <c r="X783" s="15" t="s">
        <v>731</v>
      </c>
      <c r="Y783" s="1">
        <v>12</v>
      </c>
      <c r="Z783" s="15">
        <v>5.59</v>
      </c>
      <c r="AA783" s="15" t="s">
        <v>574</v>
      </c>
      <c r="AB783" s="15">
        <f t="shared" si="673"/>
        <v>5.59</v>
      </c>
      <c r="AC783" s="1">
        <v>4</v>
      </c>
      <c r="AD783" s="15">
        <f>4.354*1.74</f>
        <v>7.5759600000000002</v>
      </c>
      <c r="AM783" s="1">
        <v>3</v>
      </c>
      <c r="AO783" s="1">
        <v>1</v>
      </c>
      <c r="AP783" s="15" t="s">
        <v>1741</v>
      </c>
      <c r="AQ783" s="1">
        <v>10</v>
      </c>
      <c r="AR783" s="1">
        <v>4</v>
      </c>
      <c r="CC783" s="15" t="s">
        <v>1743</v>
      </c>
      <c r="CE783" s="15">
        <v>22000</v>
      </c>
      <c r="CF783" s="15">
        <f t="shared" si="691"/>
        <v>22000</v>
      </c>
      <c r="CG783" s="15" t="s">
        <v>766</v>
      </c>
      <c r="CH783" s="15">
        <v>7.54</v>
      </c>
      <c r="CI783" s="15">
        <v>400</v>
      </c>
      <c r="CK783" s="15">
        <v>769</v>
      </c>
      <c r="CL783" s="15">
        <v>1.7</v>
      </c>
      <c r="CY783" s="25">
        <f t="shared" si="692"/>
        <v>22000</v>
      </c>
      <c r="CZ783" s="25">
        <f t="shared" si="693"/>
        <v>28.205128205128204</v>
      </c>
      <c r="DA783" s="25">
        <f t="shared" si="694"/>
        <v>66000</v>
      </c>
      <c r="FK783" s="16">
        <f t="shared" si="677"/>
        <v>6.45</v>
      </c>
      <c r="FL783" s="16">
        <f t="shared" si="678"/>
        <v>6.58</v>
      </c>
      <c r="FM783" s="15">
        <v>6.45</v>
      </c>
      <c r="FN783" s="15">
        <f t="shared" si="695"/>
        <v>0.32250000000000001</v>
      </c>
      <c r="FO783" s="15">
        <f>FN783*SQRT(AR783)</f>
        <v>0.64500000000000002</v>
      </c>
      <c r="FP783" s="15">
        <v>6.58</v>
      </c>
      <c r="FQ783" s="15">
        <f t="shared" si="696"/>
        <v>0.32900000000000001</v>
      </c>
      <c r="FR783" s="15">
        <f>FQ783*SQRT(AR783)</f>
        <v>0.65800000000000003</v>
      </c>
      <c r="FS783" s="15">
        <f t="shared" si="640"/>
        <v>1.0201550387596898</v>
      </c>
      <c r="FT783" s="15">
        <f t="shared" si="641"/>
        <v>0.12999999999999989</v>
      </c>
      <c r="FU783" s="15">
        <f t="shared" si="642"/>
        <v>1.9954614529544834E-2</v>
      </c>
      <c r="FV783" s="15">
        <f>((FR783*FR783)/(AR783*FP783*FP783)+(FO783*FO783)/(AR783*FM783*FM783))</f>
        <v>5.0000000000000001E-3</v>
      </c>
      <c r="HE783" s="15">
        <v>4449</v>
      </c>
      <c r="HF783" s="15">
        <f>HE783*0.05</f>
        <v>222.45000000000002</v>
      </c>
      <c r="HG783" s="15">
        <f>HF783*SQRT(AR473)</f>
        <v>385.29470214369678</v>
      </c>
      <c r="HH783" s="15">
        <v>5126</v>
      </c>
      <c r="HI783" s="15">
        <f>HH783*0.05</f>
        <v>256.3</v>
      </c>
      <c r="HJ783" s="15">
        <f>HI783*SQRT(AR473)</f>
        <v>443.92462197990324</v>
      </c>
      <c r="HK783" s="15">
        <f t="shared" si="684"/>
        <v>1.1521690267475837</v>
      </c>
      <c r="HL783" s="15">
        <f t="shared" si="685"/>
        <v>677</v>
      </c>
      <c r="HM783" s="15">
        <f t="shared" si="686"/>
        <v>0.1416462761179762</v>
      </c>
      <c r="HN783" s="15">
        <f>((HJ783*HJ783)/(AR473*HH783*HH783)+(HG783*HG783)/(AR473*HE783*HE783))</f>
        <v>4.9999999999999992E-3</v>
      </c>
      <c r="HP783" s="15" t="s">
        <v>766</v>
      </c>
      <c r="HV783" s="15">
        <f t="shared" si="687"/>
        <v>4659.4941857157655</v>
      </c>
      <c r="HW783" s="15">
        <f t="shared" si="688"/>
        <v>0.1416462761179762</v>
      </c>
      <c r="HX783" s="25">
        <f>DA783</f>
        <v>66000</v>
      </c>
      <c r="HY783" s="25">
        <f>CY783</f>
        <v>22000</v>
      </c>
      <c r="HZ783" s="25">
        <f>CZ783</f>
        <v>28.205128205128204</v>
      </c>
      <c r="IA783" s="25">
        <f>DA783</f>
        <v>66000</v>
      </c>
    </row>
    <row r="784" spans="1:235" s="15" customFormat="1" x14ac:dyDescent="0.25">
      <c r="A784" s="31">
        <v>782</v>
      </c>
      <c r="B784" s="1">
        <v>118</v>
      </c>
      <c r="C784" s="1">
        <v>138</v>
      </c>
      <c r="D784" s="15" t="s">
        <v>1744</v>
      </c>
      <c r="E784" s="1">
        <v>2</v>
      </c>
      <c r="F784" s="15" t="s">
        <v>777</v>
      </c>
      <c r="G784" s="15" t="s">
        <v>2404</v>
      </c>
      <c r="H784" s="15" t="s">
        <v>2405</v>
      </c>
      <c r="I784" s="1">
        <v>2012</v>
      </c>
      <c r="J784" s="15" t="s">
        <v>2406</v>
      </c>
      <c r="K784" s="1" t="s">
        <v>530</v>
      </c>
      <c r="L784" s="15" t="s">
        <v>2407</v>
      </c>
      <c r="M784" s="15" t="s">
        <v>2408</v>
      </c>
      <c r="N784" s="15" t="s">
        <v>783</v>
      </c>
      <c r="O784" s="31">
        <v>2</v>
      </c>
      <c r="P784" s="15">
        <v>53.23</v>
      </c>
      <c r="Q784" s="15">
        <v>-4.0199999999999996</v>
      </c>
      <c r="U784" s="15" t="s">
        <v>549</v>
      </c>
      <c r="V784" s="31">
        <v>1</v>
      </c>
      <c r="W784" s="16"/>
      <c r="X784" s="15" t="s">
        <v>731</v>
      </c>
      <c r="Y784" s="1">
        <v>12</v>
      </c>
      <c r="Z784" s="15">
        <v>6.86</v>
      </c>
      <c r="AA784" s="15" t="s">
        <v>574</v>
      </c>
      <c r="AB784" s="15">
        <f t="shared" si="673"/>
        <v>6.86</v>
      </c>
      <c r="AC784" s="60">
        <v>6</v>
      </c>
      <c r="AD784" s="15">
        <f>31.2*1.74</f>
        <v>54.287999999999997</v>
      </c>
      <c r="AK784" s="15" t="s">
        <v>2409</v>
      </c>
      <c r="AM784" s="1">
        <v>2</v>
      </c>
      <c r="AP784" s="15" t="s">
        <v>2410</v>
      </c>
      <c r="AQ784" s="1">
        <v>9</v>
      </c>
      <c r="AR784" s="1">
        <v>4</v>
      </c>
      <c r="BP784" s="16"/>
      <c r="BQ784" s="16"/>
      <c r="BR784" s="16"/>
      <c r="BU784" s="16"/>
      <c r="CC784" s="15" t="s">
        <v>2411</v>
      </c>
      <c r="CE784" s="15">
        <v>25000</v>
      </c>
      <c r="CF784" s="15">
        <f t="shared" si="691"/>
        <v>25000</v>
      </c>
      <c r="CG784" s="15" t="s">
        <v>766</v>
      </c>
      <c r="CI784" s="15">
        <v>450</v>
      </c>
      <c r="CY784" s="25">
        <f t="shared" si="692"/>
        <v>25000</v>
      </c>
      <c r="CZ784" s="25">
        <f t="shared" si="693"/>
        <v>32.051282051282051</v>
      </c>
      <c r="DA784" s="25">
        <f t="shared" si="694"/>
        <v>75000</v>
      </c>
      <c r="EZ784" s="16"/>
      <c r="FA784" s="16"/>
      <c r="FB784" s="16"/>
      <c r="FC784" s="16"/>
      <c r="FD784" s="16"/>
      <c r="FE784" s="16"/>
      <c r="FF784" s="16"/>
      <c r="FG784" s="16"/>
      <c r="FH784" s="16"/>
      <c r="FI784" s="16"/>
      <c r="FJ784" s="16"/>
      <c r="FK784" s="16">
        <f t="shared" si="677"/>
        <v>6.86</v>
      </c>
      <c r="FL784" s="16">
        <f t="shared" si="678"/>
        <v>6.9</v>
      </c>
      <c r="FM784" s="15">
        <v>6.86</v>
      </c>
      <c r="FN784" s="15">
        <v>0.04</v>
      </c>
      <c r="FO784" s="15">
        <f>FN784*SQRT(AR784)</f>
        <v>0.08</v>
      </c>
      <c r="FP784" s="15">
        <v>6.9</v>
      </c>
      <c r="FQ784" s="15">
        <v>0.03</v>
      </c>
      <c r="FR784" s="15">
        <f>FQ784*SQRT(AR784)</f>
        <v>0.06</v>
      </c>
      <c r="FS784" s="15">
        <f t="shared" si="640"/>
        <v>1.0058309037900874</v>
      </c>
      <c r="FT784" s="15">
        <f t="shared" si="641"/>
        <v>4.0000000000000036E-2</v>
      </c>
      <c r="FU784" s="15">
        <f t="shared" si="642"/>
        <v>5.8139698654198213E-3</v>
      </c>
      <c r="FV784" s="15">
        <f>((FR784*FR784)/(AR784*FP784*FP784)+(FO784*FO784)/(AR784*FM784*FM784))</f>
        <v>5.2903030691676005E-5</v>
      </c>
      <c r="FX784" s="15">
        <v>54.287999999999997</v>
      </c>
      <c r="FY784" s="15">
        <v>0.87</v>
      </c>
      <c r="FZ784" s="15">
        <f>FY784*SQRT(AR784)</f>
        <v>1.74</v>
      </c>
      <c r="GA784" s="15">
        <v>56.201999999999998</v>
      </c>
      <c r="GB784" s="15">
        <v>2.4359999999999999</v>
      </c>
      <c r="GC784" s="15">
        <f>GB784*SQRT(AR784)</f>
        <v>4.8719999999999999</v>
      </c>
      <c r="GD784" s="15">
        <f t="shared" ref="GD784:GD802" si="699">GA784/FX784</f>
        <v>1.0352564102564104</v>
      </c>
      <c r="GE784" s="15">
        <f t="shared" ref="GE784:GE802" si="700">GA784-FX784</f>
        <v>1.9140000000000015</v>
      </c>
      <c r="GF784" s="15">
        <f t="shared" ref="GF784:GF802" si="701">LN(GA784)-LN(FX784)</f>
        <v>3.4649135413174381E-2</v>
      </c>
      <c r="GG784" s="15">
        <f>((GC784*GC784)/(AR784*GA784*GA784)+(FZ784*FZ784)/(AR784*FX784*FX784))</f>
        <v>2.1354934474060398E-3</v>
      </c>
      <c r="HE784" s="15">
        <v>4300</v>
      </c>
      <c r="HF784" s="15">
        <v>500</v>
      </c>
      <c r="HG784" s="15">
        <f>HF784*SQRT(AR474)</f>
        <v>866.02540378443859</v>
      </c>
      <c r="HH784" s="15">
        <v>4500</v>
      </c>
      <c r="HI784" s="15">
        <v>500</v>
      </c>
      <c r="HJ784" s="15">
        <f>HI784*SQRT(AR474)</f>
        <v>866.02540378443859</v>
      </c>
      <c r="HK784" s="15">
        <f t="shared" si="684"/>
        <v>1.0465116279069768</v>
      </c>
      <c r="HL784" s="15">
        <f t="shared" si="685"/>
        <v>200</v>
      </c>
      <c r="HM784" s="15">
        <f t="shared" si="686"/>
        <v>4.5462374076757683E-2</v>
      </c>
      <c r="HN784" s="15">
        <f>((HJ784*HJ784)/(AR474*HH784*HH784)+(HG784*HG784)/(AR474*HE784*HE784))</f>
        <v>2.5866501078327286E-2</v>
      </c>
      <c r="HP784" s="15" t="s">
        <v>766</v>
      </c>
      <c r="HV784" s="15">
        <f t="shared" si="687"/>
        <v>16497.158699493262</v>
      </c>
      <c r="HW784" s="15">
        <f t="shared" si="688"/>
        <v>4.5462374076757683E-2</v>
      </c>
      <c r="HX784" s="25">
        <f>DA784</f>
        <v>75000</v>
      </c>
      <c r="HY784" s="25">
        <f>CY784</f>
        <v>25000</v>
      </c>
      <c r="HZ784" s="25">
        <f>CZ784</f>
        <v>32.051282051282051</v>
      </c>
      <c r="IA784" s="25">
        <f>DA784</f>
        <v>75000</v>
      </c>
    </row>
    <row r="785" spans="1:235" s="15" customFormat="1" x14ac:dyDescent="0.25">
      <c r="A785" s="31">
        <v>783</v>
      </c>
      <c r="B785" s="1">
        <v>118</v>
      </c>
      <c r="C785" s="1">
        <v>138</v>
      </c>
      <c r="D785" s="15" t="s">
        <v>1745</v>
      </c>
      <c r="E785" s="1">
        <v>2</v>
      </c>
      <c r="F785" s="15" t="s">
        <v>777</v>
      </c>
      <c r="G785" s="15" t="s">
        <v>2404</v>
      </c>
      <c r="H785" s="15" t="s">
        <v>2405</v>
      </c>
      <c r="I785" s="1">
        <v>2012</v>
      </c>
      <c r="J785" s="15" t="s">
        <v>2406</v>
      </c>
      <c r="K785" s="1" t="s">
        <v>530</v>
      </c>
      <c r="L785" s="15" t="s">
        <v>2407</v>
      </c>
      <c r="M785" s="15" t="s">
        <v>2408</v>
      </c>
      <c r="N785" s="15" t="s">
        <v>783</v>
      </c>
      <c r="O785" s="31">
        <v>2</v>
      </c>
      <c r="P785" s="15">
        <v>53.23</v>
      </c>
      <c r="Q785" s="15">
        <v>-4.0199999999999996</v>
      </c>
      <c r="U785" s="15" t="s">
        <v>549</v>
      </c>
      <c r="V785" s="31">
        <v>1</v>
      </c>
      <c r="W785" s="16"/>
      <c r="X785" s="15" t="s">
        <v>731</v>
      </c>
      <c r="Y785" s="1">
        <v>12</v>
      </c>
      <c r="Z785" s="15">
        <v>6.86</v>
      </c>
      <c r="AA785" s="15" t="s">
        <v>574</v>
      </c>
      <c r="AB785" s="15">
        <f t="shared" si="673"/>
        <v>6.86</v>
      </c>
      <c r="AC785" s="60">
        <v>6</v>
      </c>
      <c r="AD785" s="15">
        <f>31.2*1.74</f>
        <v>54.287999999999997</v>
      </c>
      <c r="AK785" s="15" t="s">
        <v>2409</v>
      </c>
      <c r="AM785" s="1">
        <v>2</v>
      </c>
      <c r="AP785" s="15" t="s">
        <v>2410</v>
      </c>
      <c r="AQ785" s="1">
        <v>9</v>
      </c>
      <c r="AR785" s="1">
        <v>4</v>
      </c>
      <c r="BP785" s="16"/>
      <c r="BQ785" s="16"/>
      <c r="BR785" s="16"/>
      <c r="BU785" s="16"/>
      <c r="CC785" s="15" t="s">
        <v>2411</v>
      </c>
      <c r="CE785" s="15">
        <v>50000</v>
      </c>
      <c r="CF785" s="15">
        <f t="shared" si="691"/>
        <v>50000</v>
      </c>
      <c r="CG785" s="15" t="s">
        <v>766</v>
      </c>
      <c r="CI785" s="15">
        <v>450</v>
      </c>
      <c r="CY785" s="25">
        <f t="shared" si="692"/>
        <v>50000</v>
      </c>
      <c r="CZ785" s="25">
        <f t="shared" si="693"/>
        <v>64.102564102564102</v>
      </c>
      <c r="DA785" s="25">
        <f t="shared" si="694"/>
        <v>150000</v>
      </c>
      <c r="EZ785" s="16"/>
      <c r="FA785" s="16"/>
      <c r="FB785" s="16"/>
      <c r="FC785" s="16"/>
      <c r="FD785" s="16"/>
      <c r="FE785" s="16"/>
      <c r="FF785" s="16"/>
      <c r="FG785" s="16"/>
      <c r="FH785" s="16"/>
      <c r="FI785" s="16"/>
      <c r="FJ785" s="16"/>
      <c r="FK785" s="16">
        <f t="shared" si="677"/>
        <v>6.86</v>
      </c>
      <c r="FL785" s="16">
        <f t="shared" si="678"/>
        <v>7.18</v>
      </c>
      <c r="FM785" s="15">
        <v>6.86</v>
      </c>
      <c r="FN785" s="15">
        <v>0.04</v>
      </c>
      <c r="FO785" s="15">
        <f>FN785*SQRT(AR785)</f>
        <v>0.08</v>
      </c>
      <c r="FP785" s="15">
        <v>7.18</v>
      </c>
      <c r="FQ785" s="15">
        <v>0.03</v>
      </c>
      <c r="FR785" s="15">
        <f>FQ785*SQRT(AR785)</f>
        <v>0.06</v>
      </c>
      <c r="FS785" s="15">
        <f t="shared" si="640"/>
        <v>1.0466472303206997</v>
      </c>
      <c r="FT785" s="15">
        <f t="shared" si="641"/>
        <v>0.3199999999999994</v>
      </c>
      <c r="FU785" s="15">
        <f t="shared" si="642"/>
        <v>4.5591941322338903E-2</v>
      </c>
      <c r="FV785" s="15">
        <f>((FR785*FR785)/(AR785*FP785*FP785)+(FO785*FO785)/(AR785*FM785*FM785))</f>
        <v>5.1457404108844341E-5</v>
      </c>
      <c r="FX785" s="15">
        <v>54.287999999999997</v>
      </c>
      <c r="FY785" s="15">
        <v>0.87</v>
      </c>
      <c r="FZ785" s="15">
        <f>FY785*SQRT(AR785)</f>
        <v>1.74</v>
      </c>
      <c r="GA785" s="15">
        <v>58.811999999999998</v>
      </c>
      <c r="GB785" s="15">
        <v>2.0880000000000001</v>
      </c>
      <c r="GC785" s="15">
        <f>GB785*SQRT(AR785)</f>
        <v>4.1760000000000002</v>
      </c>
      <c r="GD785" s="15">
        <f t="shared" si="699"/>
        <v>1.0833333333333333</v>
      </c>
      <c r="GE785" s="15">
        <f t="shared" si="700"/>
        <v>4.5240000000000009</v>
      </c>
      <c r="GF785" s="15">
        <f t="shared" si="701"/>
        <v>8.0042707673536828E-2</v>
      </c>
      <c r="GG785" s="15">
        <f>((GC785*GC785)/(AR785*GA785*GA785)+(FZ785*FZ785)/(AR785*FX785*FX785))</f>
        <v>1.5172812382075016E-3</v>
      </c>
      <c r="HE785" s="15">
        <v>4300</v>
      </c>
      <c r="HF785" s="15">
        <v>500</v>
      </c>
      <c r="HG785" s="15">
        <f>HF785*SQRT(AR475)</f>
        <v>866.02540378443859</v>
      </c>
      <c r="HH785" s="15">
        <v>5800</v>
      </c>
      <c r="HI785" s="15">
        <v>400</v>
      </c>
      <c r="HJ785" s="15">
        <f>HI785*SQRT(AR475)</f>
        <v>692.8203230275509</v>
      </c>
      <c r="HK785" s="15">
        <f t="shared" si="684"/>
        <v>1.3488372093023255</v>
      </c>
      <c r="HL785" s="15">
        <f t="shared" si="685"/>
        <v>1500</v>
      </c>
      <c r="HM785" s="15">
        <f t="shared" si="686"/>
        <v>0.29924289485285627</v>
      </c>
      <c r="HN785" s="15">
        <f>((HJ785*HJ785)/(AR475*HH785*HH785)+(HG785*HG785)/(AR475*HE785*HE785))</f>
        <v>1.8277064634352594E-2</v>
      </c>
      <c r="HP785" s="15" t="s">
        <v>766</v>
      </c>
      <c r="HV785" s="15">
        <f t="shared" si="687"/>
        <v>5012.6503445890676</v>
      </c>
      <c r="HW785" s="15">
        <f t="shared" si="688"/>
        <v>0.29924289485285627</v>
      </c>
      <c r="HX785" s="25">
        <f>DA785</f>
        <v>150000</v>
      </c>
      <c r="HY785" s="25">
        <f>CY785</f>
        <v>50000</v>
      </c>
      <c r="HZ785" s="25">
        <f>CZ785</f>
        <v>64.102564102564102</v>
      </c>
      <c r="IA785" s="25">
        <f>DA785</f>
        <v>150000</v>
      </c>
    </row>
    <row r="786" spans="1:235" s="15" customFormat="1" x14ac:dyDescent="0.25">
      <c r="A786" s="31">
        <v>784</v>
      </c>
      <c r="B786" s="1">
        <v>118</v>
      </c>
      <c r="C786" s="1">
        <v>138</v>
      </c>
      <c r="D786" s="15" t="s">
        <v>1746</v>
      </c>
      <c r="E786" s="1">
        <v>2</v>
      </c>
      <c r="F786" s="15" t="s">
        <v>777</v>
      </c>
      <c r="G786" s="15" t="s">
        <v>2404</v>
      </c>
      <c r="H786" s="15" t="s">
        <v>2405</v>
      </c>
      <c r="I786" s="1">
        <v>2012</v>
      </c>
      <c r="J786" s="15" t="s">
        <v>2406</v>
      </c>
      <c r="K786" s="1" t="s">
        <v>530</v>
      </c>
      <c r="L786" s="15" t="s">
        <v>2407</v>
      </c>
      <c r="M786" s="15" t="s">
        <v>2408</v>
      </c>
      <c r="N786" s="15" t="s">
        <v>783</v>
      </c>
      <c r="O786" s="31">
        <v>2</v>
      </c>
      <c r="P786" s="15">
        <v>53.23</v>
      </c>
      <c r="Q786" s="15">
        <v>-4.0199999999999996</v>
      </c>
      <c r="U786" s="15" t="s">
        <v>549</v>
      </c>
      <c r="V786" s="31">
        <v>1</v>
      </c>
      <c r="W786" s="16"/>
      <c r="X786" s="15" t="s">
        <v>731</v>
      </c>
      <c r="Y786" s="1">
        <v>12</v>
      </c>
      <c r="Z786" s="15">
        <v>6.86</v>
      </c>
      <c r="AA786" s="15" t="s">
        <v>574</v>
      </c>
      <c r="AB786" s="15">
        <f t="shared" si="673"/>
        <v>6.86</v>
      </c>
      <c r="AC786" s="60">
        <v>6</v>
      </c>
      <c r="AD786" s="15">
        <f>31.2*1.74</f>
        <v>54.287999999999997</v>
      </c>
      <c r="AK786" s="15" t="s">
        <v>2409</v>
      </c>
      <c r="AM786" s="1">
        <v>2</v>
      </c>
      <c r="AP786" s="15" t="s">
        <v>2410</v>
      </c>
      <c r="AQ786" s="1">
        <v>9</v>
      </c>
      <c r="AR786" s="1">
        <v>4</v>
      </c>
      <c r="BP786" s="16"/>
      <c r="BQ786" s="16"/>
      <c r="BR786" s="16"/>
      <c r="BU786" s="16"/>
      <c r="CC786" s="15" t="s">
        <v>2411</v>
      </c>
      <c r="CE786" s="15">
        <v>25000</v>
      </c>
      <c r="CF786" s="15">
        <f t="shared" si="691"/>
        <v>25000</v>
      </c>
      <c r="CG786" s="15" t="s">
        <v>766</v>
      </c>
      <c r="CI786" s="15">
        <v>450</v>
      </c>
      <c r="CY786" s="25">
        <f t="shared" si="692"/>
        <v>25000</v>
      </c>
      <c r="CZ786" s="25">
        <f t="shared" si="693"/>
        <v>32.051282051282051</v>
      </c>
      <c r="DA786" s="25">
        <f t="shared" si="694"/>
        <v>75000</v>
      </c>
      <c r="EZ786" s="16"/>
      <c r="FA786" s="16"/>
      <c r="FB786" s="16"/>
      <c r="FC786" s="16"/>
      <c r="FD786" s="16"/>
      <c r="FE786" s="16"/>
      <c r="FF786" s="16"/>
      <c r="FG786" s="16"/>
      <c r="FH786" s="16"/>
      <c r="FI786" s="16"/>
      <c r="FJ786" s="16"/>
      <c r="FK786" s="16">
        <f t="shared" si="677"/>
        <v>6.44</v>
      </c>
      <c r="FL786" s="16">
        <f t="shared" si="678"/>
        <v>6.52</v>
      </c>
      <c r="FM786" s="15">
        <v>6.44</v>
      </c>
      <c r="FN786" s="15">
        <v>0.04</v>
      </c>
      <c r="FO786" s="15">
        <f>FN786*SQRT(AR786)</f>
        <v>0.08</v>
      </c>
      <c r="FP786" s="15">
        <v>6.52</v>
      </c>
      <c r="FQ786" s="15">
        <v>0.04</v>
      </c>
      <c r="FR786" s="15">
        <f>FQ786*SQRT(AR786)</f>
        <v>0.08</v>
      </c>
      <c r="FS786" s="15">
        <f t="shared" si="640"/>
        <v>1.012422360248447</v>
      </c>
      <c r="FT786" s="15">
        <f t="shared" si="641"/>
        <v>7.9999999999999183E-2</v>
      </c>
      <c r="FU786" s="15">
        <f t="shared" si="642"/>
        <v>1.23458358222992E-2</v>
      </c>
      <c r="FV786" s="15">
        <f>((FR786*FR786)/(AR786*FP786*FP786)+(FO786*FO786)/(AR786*FM786*FM786))</f>
        <v>7.6216607156123179E-5</v>
      </c>
      <c r="FX786" s="15">
        <v>39.497999999999998</v>
      </c>
      <c r="FY786" s="15">
        <v>1.9140000000000001</v>
      </c>
      <c r="FZ786" s="15">
        <f>FY786*SQRT(AR786)</f>
        <v>3.8280000000000003</v>
      </c>
      <c r="GA786" s="15">
        <v>41.934000000000005</v>
      </c>
      <c r="GB786" s="15">
        <v>1.74</v>
      </c>
      <c r="GC786" s="15">
        <f>GB786*SQRT(AR786)</f>
        <v>3.48</v>
      </c>
      <c r="GD786" s="15">
        <f t="shared" si="699"/>
        <v>1.0616740088105729</v>
      </c>
      <c r="GE786" s="15">
        <f t="shared" si="700"/>
        <v>2.436000000000007</v>
      </c>
      <c r="GF786" s="15">
        <f t="shared" si="701"/>
        <v>5.9846916009252293E-2</v>
      </c>
      <c r="GG786" s="15">
        <f>((GC786*GC786)/(AR786*GA786*GA786)+(FZ786*FZ786)/(AR786*FX786*FX786))</f>
        <v>4.0699257213039266E-3</v>
      </c>
      <c r="HE786" s="15">
        <v>3800</v>
      </c>
      <c r="HF786" s="15">
        <v>700</v>
      </c>
      <c r="HG786" s="15">
        <f>HF786*SQRT(AR476)</f>
        <v>1212.435565298214</v>
      </c>
      <c r="HH786" s="15">
        <v>6500</v>
      </c>
      <c r="HI786" s="15">
        <v>400</v>
      </c>
      <c r="HJ786" s="15">
        <f>HI786*SQRT(AR476)</f>
        <v>692.8203230275509</v>
      </c>
      <c r="HK786" s="15">
        <f t="shared" si="684"/>
        <v>1.7105263157894737</v>
      </c>
      <c r="HL786" s="15">
        <f t="shared" si="685"/>
        <v>2700</v>
      </c>
      <c r="HM786" s="15">
        <f t="shared" si="686"/>
        <v>0.53680111016925025</v>
      </c>
      <c r="HN786" s="15">
        <f>((HJ786*HJ786)/(AR476*HH786*HH786)+(HG786*HG786)/(AR476*HE786*HE786))</f>
        <v>3.7720500254060874E-2</v>
      </c>
      <c r="HP786" s="15" t="s">
        <v>766</v>
      </c>
      <c r="HV786" s="15">
        <f t="shared" si="687"/>
        <v>1397.165515852844</v>
      </c>
      <c r="HW786" s="15">
        <f t="shared" si="688"/>
        <v>0.53680111016925025</v>
      </c>
      <c r="HX786" s="25">
        <f>DA786</f>
        <v>75000</v>
      </c>
      <c r="HY786" s="25">
        <f>CY786</f>
        <v>25000</v>
      </c>
      <c r="HZ786" s="25">
        <f>CZ786</f>
        <v>32.051282051282051</v>
      </c>
      <c r="IA786" s="25">
        <f>DA786</f>
        <v>75000</v>
      </c>
    </row>
    <row r="787" spans="1:235" s="15" customFormat="1" x14ac:dyDescent="0.25">
      <c r="A787" s="31">
        <v>785</v>
      </c>
      <c r="B787" s="1">
        <v>118</v>
      </c>
      <c r="C787" s="1">
        <v>138</v>
      </c>
      <c r="D787" s="15" t="s">
        <v>1747</v>
      </c>
      <c r="E787" s="1">
        <v>2</v>
      </c>
      <c r="F787" s="15" t="s">
        <v>777</v>
      </c>
      <c r="G787" s="15" t="s">
        <v>2404</v>
      </c>
      <c r="H787" s="15" t="s">
        <v>2405</v>
      </c>
      <c r="I787" s="1">
        <v>2012</v>
      </c>
      <c r="J787" s="15" t="s">
        <v>2406</v>
      </c>
      <c r="K787" s="1" t="s">
        <v>530</v>
      </c>
      <c r="L787" s="15" t="s">
        <v>2407</v>
      </c>
      <c r="M787" s="15" t="s">
        <v>2408</v>
      </c>
      <c r="N787" s="15" t="s">
        <v>783</v>
      </c>
      <c r="O787" s="31">
        <v>2</v>
      </c>
      <c r="P787" s="15">
        <v>53.23</v>
      </c>
      <c r="Q787" s="15">
        <v>-4.0199999999999996</v>
      </c>
      <c r="U787" s="15" t="s">
        <v>549</v>
      </c>
      <c r="V787" s="31">
        <v>1</v>
      </c>
      <c r="W787" s="16"/>
      <c r="X787" s="15" t="s">
        <v>731</v>
      </c>
      <c r="Y787" s="1">
        <v>12</v>
      </c>
      <c r="Z787" s="15">
        <v>6.86</v>
      </c>
      <c r="AA787" s="15" t="s">
        <v>574</v>
      </c>
      <c r="AB787" s="15">
        <f t="shared" si="673"/>
        <v>6.86</v>
      </c>
      <c r="AC787" s="60">
        <v>6</v>
      </c>
      <c r="AD787" s="15">
        <f>31.2*1.74</f>
        <v>54.287999999999997</v>
      </c>
      <c r="AK787" s="15" t="s">
        <v>2409</v>
      </c>
      <c r="AM787" s="1">
        <v>2</v>
      </c>
      <c r="AP787" s="15" t="s">
        <v>2410</v>
      </c>
      <c r="AQ787" s="1">
        <v>9</v>
      </c>
      <c r="AR787" s="1">
        <v>4</v>
      </c>
      <c r="BP787" s="16"/>
      <c r="BQ787" s="16"/>
      <c r="BR787" s="16"/>
      <c r="BU787" s="16"/>
      <c r="CC787" s="15" t="s">
        <v>2411</v>
      </c>
      <c r="CE787" s="15">
        <v>50000</v>
      </c>
      <c r="CF787" s="15">
        <f t="shared" si="691"/>
        <v>50000</v>
      </c>
      <c r="CG787" s="15" t="s">
        <v>766</v>
      </c>
      <c r="CI787" s="15">
        <v>450</v>
      </c>
      <c r="CY787" s="25">
        <f t="shared" si="692"/>
        <v>50000</v>
      </c>
      <c r="CZ787" s="25">
        <f t="shared" si="693"/>
        <v>64.102564102564102</v>
      </c>
      <c r="DA787" s="25">
        <f t="shared" si="694"/>
        <v>150000</v>
      </c>
      <c r="EZ787" s="16"/>
      <c r="FA787" s="16"/>
      <c r="FB787" s="16"/>
      <c r="FC787" s="16"/>
      <c r="FD787" s="16"/>
      <c r="FE787" s="16"/>
      <c r="FF787" s="16"/>
      <c r="FG787" s="16"/>
      <c r="FH787" s="16"/>
      <c r="FI787" s="16"/>
      <c r="FJ787" s="16"/>
      <c r="FK787" s="16">
        <f t="shared" si="677"/>
        <v>6.44</v>
      </c>
      <c r="FL787" s="16">
        <f t="shared" si="678"/>
        <v>6.6</v>
      </c>
      <c r="FM787" s="15">
        <v>6.44</v>
      </c>
      <c r="FN787" s="15">
        <v>0.04</v>
      </c>
      <c r="FO787" s="15">
        <f>FN787*SQRT(AR787)</f>
        <v>0.08</v>
      </c>
      <c r="FP787" s="15">
        <v>6.6</v>
      </c>
      <c r="FQ787" s="15">
        <v>0.01</v>
      </c>
      <c r="FR787" s="15">
        <f>FQ787*SQRT(AR787)</f>
        <v>0.02</v>
      </c>
      <c r="FS787" s="15">
        <f t="shared" si="640"/>
        <v>1.0248447204968942</v>
      </c>
      <c r="FT787" s="15">
        <f t="shared" si="641"/>
        <v>0.15999999999999925</v>
      </c>
      <c r="FU787" s="15">
        <f t="shared" si="642"/>
        <v>2.4541108916117382E-2</v>
      </c>
      <c r="FV787" s="15">
        <f>((FR787*FR787)/(AR787*FP787*FP787)+(FO787*FO787)/(AR787*FM787*FM787))</f>
        <v>4.0874442649416255E-5</v>
      </c>
      <c r="FX787" s="15">
        <v>39.497999999999998</v>
      </c>
      <c r="FY787" s="15">
        <v>1.9140000000000001</v>
      </c>
      <c r="FZ787" s="15">
        <f>FY787*SQRT(AR787)</f>
        <v>3.8280000000000003</v>
      </c>
      <c r="GA787" s="15">
        <v>48.372</v>
      </c>
      <c r="GB787" s="15">
        <v>2.61</v>
      </c>
      <c r="GC787" s="15">
        <f>GB787*SQRT(AR787)</f>
        <v>5.22</v>
      </c>
      <c r="GD787" s="15">
        <f t="shared" si="699"/>
        <v>1.224669603524229</v>
      </c>
      <c r="GE787" s="15">
        <f t="shared" si="700"/>
        <v>8.8740000000000023</v>
      </c>
      <c r="GF787" s="15">
        <f t="shared" si="701"/>
        <v>0.2026710962092344</v>
      </c>
      <c r="GG787" s="15">
        <f>((GC787*GC787)/(AR787*GA787*GA787)+(FZ787*FZ787)/(AR787*FX787*FX787))</f>
        <v>5.2595322728292964E-3</v>
      </c>
      <c r="HE787" s="15">
        <v>3800</v>
      </c>
      <c r="HF787" s="15">
        <v>700</v>
      </c>
      <c r="HG787" s="15">
        <f>HF787*SQRT(AR477)</f>
        <v>1212.435565298214</v>
      </c>
      <c r="HH787" s="15">
        <v>6800</v>
      </c>
      <c r="HI787" s="15">
        <v>700</v>
      </c>
      <c r="HJ787" s="15">
        <f>HI787*SQRT(AR477)</f>
        <v>1212.435565298214</v>
      </c>
      <c r="HK787" s="15">
        <f t="shared" si="684"/>
        <v>1.7894736842105263</v>
      </c>
      <c r="HL787" s="15">
        <f t="shared" si="685"/>
        <v>3000</v>
      </c>
      <c r="HM787" s="15">
        <f t="shared" si="686"/>
        <v>0.58192154544972041</v>
      </c>
      <c r="HN787" s="15">
        <f>((HJ787*HJ787)/(AR477*HH787*HH787)+(HG787*HG787)/(AR477*HE787*HE787))</f>
        <v>4.4530403818688946E-2</v>
      </c>
      <c r="HP787" s="15" t="s">
        <v>766</v>
      </c>
      <c r="HV787" s="15">
        <f t="shared" si="687"/>
        <v>2577.6670613575075</v>
      </c>
      <c r="HW787" s="15">
        <f t="shared" si="688"/>
        <v>0.58192154544972041</v>
      </c>
      <c r="HX787" s="25">
        <f>DA787</f>
        <v>150000</v>
      </c>
      <c r="HY787" s="25">
        <f>CY787</f>
        <v>50000</v>
      </c>
      <c r="HZ787" s="25">
        <f>CZ787</f>
        <v>64.102564102564102</v>
      </c>
      <c r="IA787" s="25">
        <f>DA787</f>
        <v>150000</v>
      </c>
    </row>
    <row r="788" spans="1:235" s="15" customFormat="1" x14ac:dyDescent="0.25">
      <c r="A788" s="31">
        <v>786</v>
      </c>
      <c r="B788" s="1">
        <v>119</v>
      </c>
      <c r="C788" s="1">
        <v>139</v>
      </c>
      <c r="D788" s="15" t="s">
        <v>1748</v>
      </c>
      <c r="E788" s="1">
        <v>5</v>
      </c>
      <c r="F788" s="15" t="s">
        <v>798</v>
      </c>
      <c r="G788" s="15" t="s">
        <v>1754</v>
      </c>
      <c r="H788" s="15" t="s">
        <v>1756</v>
      </c>
      <c r="I788" s="1">
        <v>2016</v>
      </c>
      <c r="J788" s="15" t="s">
        <v>1757</v>
      </c>
      <c r="K788" s="1">
        <v>2013</v>
      </c>
      <c r="L788" s="15" t="s">
        <v>1758</v>
      </c>
      <c r="M788" s="15" t="s">
        <v>480</v>
      </c>
      <c r="N788" s="15" t="s">
        <v>520</v>
      </c>
      <c r="O788" s="31">
        <v>2</v>
      </c>
      <c r="P788" s="15">
        <v>28.3</v>
      </c>
      <c r="Q788" s="15">
        <v>107.55</v>
      </c>
      <c r="R788" s="15">
        <v>1080</v>
      </c>
      <c r="S788" s="15">
        <v>940.5</v>
      </c>
      <c r="T788" s="15">
        <v>16.5</v>
      </c>
      <c r="U788" s="15" t="s">
        <v>549</v>
      </c>
      <c r="V788" s="31">
        <v>1</v>
      </c>
      <c r="W788" s="15" t="s">
        <v>1158</v>
      </c>
      <c r="X788" s="15" t="s">
        <v>521</v>
      </c>
      <c r="Y788" s="1">
        <v>6</v>
      </c>
      <c r="Z788" s="15">
        <v>5.0999999999999996</v>
      </c>
      <c r="AA788" s="15" t="s">
        <v>574</v>
      </c>
      <c r="AB788" s="15">
        <f t="shared" si="673"/>
        <v>5.0999999999999996</v>
      </c>
      <c r="AC788" s="1">
        <v>3</v>
      </c>
      <c r="AD788" s="15">
        <v>25.1</v>
      </c>
      <c r="AM788" s="1"/>
      <c r="AN788" s="15">
        <v>1.1000000000000001</v>
      </c>
      <c r="AP788" s="15" t="s">
        <v>837</v>
      </c>
      <c r="AQ788" s="1">
        <v>2</v>
      </c>
      <c r="AR788" s="1">
        <v>3</v>
      </c>
      <c r="AT788" s="15" t="s">
        <v>546</v>
      </c>
      <c r="AW788" s="15">
        <v>2250</v>
      </c>
      <c r="AX788" s="15">
        <f>AW788*1.35</f>
        <v>3037.5</v>
      </c>
      <c r="AY788" s="15" t="s">
        <v>766</v>
      </c>
      <c r="AZ788" s="15">
        <f>AX788</f>
        <v>3037.5</v>
      </c>
      <c r="BA788" s="15">
        <f>AZ788/2.93/1000</f>
        <v>1.0366894197952217</v>
      </c>
      <c r="BB788" s="15">
        <f>AZ788*0.6</f>
        <v>1822.5</v>
      </c>
      <c r="DB788" s="15" t="s">
        <v>804</v>
      </c>
      <c r="DD788" s="15">
        <v>15000</v>
      </c>
      <c r="DE788" s="15">
        <f>DD788</f>
        <v>15000</v>
      </c>
      <c r="DF788" s="15" t="s">
        <v>766</v>
      </c>
      <c r="DS788" s="15">
        <f>DE788</f>
        <v>15000</v>
      </c>
      <c r="DT788" s="15">
        <f>DS788/0.6/1000</f>
        <v>25</v>
      </c>
      <c r="DU788" s="15">
        <f>DS788*0.2</f>
        <v>3000</v>
      </c>
      <c r="FK788" s="16">
        <f t="shared" si="677"/>
        <v>5.86</v>
      </c>
      <c r="FL788" s="16">
        <f t="shared" si="678"/>
        <v>5.91</v>
      </c>
      <c r="FM788" s="15">
        <v>5.86</v>
      </c>
      <c r="FN788" s="15">
        <f>FM788*0.05</f>
        <v>0.29300000000000004</v>
      </c>
      <c r="FO788" s="15">
        <f>FN788*SQRT(AR788)</f>
        <v>0.50749088661768105</v>
      </c>
      <c r="FP788" s="15">
        <v>5.91</v>
      </c>
      <c r="FQ788" s="15">
        <f>FP788*0.05</f>
        <v>0.29550000000000004</v>
      </c>
      <c r="FR788" s="15">
        <f>FQ788*SQRT(AR788)</f>
        <v>0.51182101363660326</v>
      </c>
      <c r="FS788" s="15">
        <f t="shared" ref="FS788:FS827" si="702">FP788/FM788</f>
        <v>1.0085324232081911</v>
      </c>
      <c r="FT788" s="15">
        <f t="shared" ref="FT788:FT827" si="703">FP788-FM788</f>
        <v>4.9999999999999822E-2</v>
      </c>
      <c r="FU788" s="15">
        <f t="shared" ref="FU788:FU827" si="704">LN(FP788)-LN(FM788)</f>
        <v>8.4962278290856563E-3</v>
      </c>
      <c r="FV788" s="15">
        <f>((FR788*FR788)/(AR788*FP788*FP788)+(FO788*FO788)/(AR788*FM788*FM788))</f>
        <v>5.0000000000000001E-3</v>
      </c>
      <c r="FX788" s="15">
        <v>17.2</v>
      </c>
      <c r="FY788" s="15">
        <f>FX788*0.05</f>
        <v>0.86</v>
      </c>
      <c r="FZ788" s="15">
        <f>FY788*SQRT(AR788)</f>
        <v>1.4895636945092343</v>
      </c>
      <c r="GA788" s="15">
        <v>21.5</v>
      </c>
      <c r="GB788" s="15">
        <f>GA788*0.05</f>
        <v>1.075</v>
      </c>
      <c r="GC788" s="15">
        <f>GB788*SQRT(AR788)</f>
        <v>1.8619546181365429</v>
      </c>
      <c r="GD788" s="15">
        <f t="shared" si="699"/>
        <v>1.25</v>
      </c>
      <c r="GE788" s="15">
        <f t="shared" si="700"/>
        <v>4.3000000000000007</v>
      </c>
      <c r="GF788" s="15">
        <f t="shared" si="701"/>
        <v>0.22314355131420971</v>
      </c>
      <c r="GG788" s="15">
        <f>((GC788*GC788)/(AR788*GA788*GA788)+(FZ788*FZ788)/(AR788*FX788*FX788))</f>
        <v>4.9999999999999992E-3</v>
      </c>
      <c r="HE788" s="15">
        <v>1705</v>
      </c>
      <c r="HF788" s="15">
        <f>HE788*0.05</f>
        <v>85.25</v>
      </c>
      <c r="HG788" s="15">
        <f>HF788*SQRT(AR478)</f>
        <v>147.65733134524677</v>
      </c>
      <c r="HH788" s="15">
        <v>1795</v>
      </c>
      <c r="HI788" s="15">
        <f>HH788*0.05</f>
        <v>89.75</v>
      </c>
      <c r="HJ788" s="15">
        <f>HI788*SQRT(AR478)</f>
        <v>155.45155997930672</v>
      </c>
      <c r="HK788" s="15">
        <f t="shared" si="684"/>
        <v>1.0527859237536656</v>
      </c>
      <c r="HL788" s="15">
        <f t="shared" si="685"/>
        <v>90</v>
      </c>
      <c r="HM788" s="15">
        <f t="shared" si="686"/>
        <v>5.1439911204761657E-2</v>
      </c>
      <c r="HN788" s="15">
        <f>((HJ788*HJ788)/(AR478*HH788*HH788)+(HG788*HG788)/(AR478*HE788*HE788))</f>
        <v>4.9999999999999992E-3</v>
      </c>
      <c r="HP788" s="15" t="s">
        <v>766</v>
      </c>
      <c r="HV788" s="15">
        <f t="shared" si="687"/>
        <v>583.20473922635733</v>
      </c>
      <c r="HW788" s="15">
        <f t="shared" si="688"/>
        <v>5.1439911204761657E-2</v>
      </c>
      <c r="HX788" s="15">
        <f>DU788</f>
        <v>3000</v>
      </c>
      <c r="HY788" s="15">
        <f t="shared" ref="HY788:IA789" si="705">DS788</f>
        <v>15000</v>
      </c>
      <c r="HZ788" s="15">
        <f t="shared" si="705"/>
        <v>25</v>
      </c>
      <c r="IA788" s="15">
        <f t="shared" si="705"/>
        <v>3000</v>
      </c>
    </row>
    <row r="789" spans="1:235" s="15" customFormat="1" x14ac:dyDescent="0.25">
      <c r="A789" s="31">
        <v>787</v>
      </c>
      <c r="B789" s="1">
        <v>119</v>
      </c>
      <c r="C789" s="1">
        <v>139</v>
      </c>
      <c r="D789" s="15" t="s">
        <v>1749</v>
      </c>
      <c r="E789" s="1">
        <v>5</v>
      </c>
      <c r="F789" s="15" t="s">
        <v>798</v>
      </c>
      <c r="G789" s="15" t="s">
        <v>1754</v>
      </c>
      <c r="H789" s="15" t="s">
        <v>1756</v>
      </c>
      <c r="I789" s="1">
        <v>2016</v>
      </c>
      <c r="J789" s="15" t="s">
        <v>1757</v>
      </c>
      <c r="K789" s="1">
        <v>2013</v>
      </c>
      <c r="L789" s="15" t="s">
        <v>1758</v>
      </c>
      <c r="M789" s="15" t="s">
        <v>480</v>
      </c>
      <c r="N789" s="15" t="s">
        <v>520</v>
      </c>
      <c r="O789" s="31">
        <v>2</v>
      </c>
      <c r="P789" s="15">
        <v>28.3</v>
      </c>
      <c r="Q789" s="15">
        <v>107.55</v>
      </c>
      <c r="R789" s="15">
        <v>1080</v>
      </c>
      <c r="S789" s="15">
        <v>940.5</v>
      </c>
      <c r="T789" s="15">
        <v>16.5</v>
      </c>
      <c r="U789" s="15" t="s">
        <v>549</v>
      </c>
      <c r="V789" s="31">
        <v>1</v>
      </c>
      <c r="W789" s="15" t="s">
        <v>1158</v>
      </c>
      <c r="X789" s="15" t="s">
        <v>521</v>
      </c>
      <c r="Y789" s="1">
        <v>6</v>
      </c>
      <c r="Z789" s="15">
        <v>5.0999999999999996</v>
      </c>
      <c r="AA789" s="15" t="s">
        <v>574</v>
      </c>
      <c r="AB789" s="15">
        <f t="shared" si="673"/>
        <v>5.0999999999999996</v>
      </c>
      <c r="AC789" s="1">
        <v>3</v>
      </c>
      <c r="AD789" s="15">
        <v>25.1</v>
      </c>
      <c r="AM789" s="1"/>
      <c r="AN789" s="15">
        <v>1.1000000000000001</v>
      </c>
      <c r="AP789" s="15" t="s">
        <v>837</v>
      </c>
      <c r="AQ789" s="1">
        <v>2</v>
      </c>
      <c r="AR789" s="1">
        <v>3</v>
      </c>
      <c r="DB789" s="15" t="s">
        <v>804</v>
      </c>
      <c r="DD789" s="15">
        <v>15000</v>
      </c>
      <c r="DE789" s="15">
        <f>DD789</f>
        <v>15000</v>
      </c>
      <c r="DF789" s="15" t="s">
        <v>766</v>
      </c>
      <c r="DI789" s="15">
        <v>6.4</v>
      </c>
      <c r="DJ789" s="15">
        <v>458.2</v>
      </c>
      <c r="DK789" s="15">
        <v>6.77</v>
      </c>
      <c r="DS789" s="15">
        <f>DE789</f>
        <v>15000</v>
      </c>
      <c r="DT789" s="15">
        <f>DS789/0.6/1000</f>
        <v>25</v>
      </c>
      <c r="DU789" s="15">
        <f>DS789*0.2</f>
        <v>3000</v>
      </c>
      <c r="FK789" s="16">
        <f t="shared" si="677"/>
        <v>5.86</v>
      </c>
      <c r="FL789" s="16">
        <f t="shared" si="678"/>
        <v>5.69</v>
      </c>
      <c r="FM789" s="15">
        <v>5.86</v>
      </c>
      <c r="FN789" s="15">
        <f>FM789*0.05</f>
        <v>0.29300000000000004</v>
      </c>
      <c r="FO789" s="15">
        <f>FN789*SQRT(AR789)</f>
        <v>0.50749088661768105</v>
      </c>
      <c r="FP789" s="15">
        <v>5.69</v>
      </c>
      <c r="FQ789" s="15">
        <f>FP789*0.05</f>
        <v>0.28450000000000003</v>
      </c>
      <c r="FR789" s="15">
        <f>FQ789*SQRT(AR789)</f>
        <v>0.49276845475334563</v>
      </c>
      <c r="FS789" s="15">
        <f t="shared" si="702"/>
        <v>0.97098976109215018</v>
      </c>
      <c r="FT789" s="15">
        <f t="shared" si="703"/>
        <v>-0.16999999999999993</v>
      </c>
      <c r="FU789" s="15">
        <f t="shared" si="704"/>
        <v>-2.9439355450681548E-2</v>
      </c>
      <c r="FV789" s="15">
        <f>((FR789*FR789)/(AR789*FP789*FP789)+(FO789*FO789)/(AR789*FM789*FM789))</f>
        <v>5.0000000000000001E-3</v>
      </c>
      <c r="FX789" s="15">
        <v>17.2</v>
      </c>
      <c r="FY789" s="15">
        <f>FX789*0.05</f>
        <v>0.86</v>
      </c>
      <c r="FZ789" s="15">
        <f>FY789*SQRT(AR789)</f>
        <v>1.4895636945092343</v>
      </c>
      <c r="GA789" s="15">
        <v>23.1</v>
      </c>
      <c r="GB789" s="15">
        <f>GA789*0.05</f>
        <v>1.155</v>
      </c>
      <c r="GC789" s="15">
        <f>GB789*SQRT(AR789)</f>
        <v>2.0005186827420531</v>
      </c>
      <c r="GD789" s="15">
        <f t="shared" si="699"/>
        <v>1.3430232558139537</v>
      </c>
      <c r="GE789" s="15">
        <f t="shared" si="700"/>
        <v>5.9000000000000021</v>
      </c>
      <c r="GF789" s="15">
        <f t="shared" si="701"/>
        <v>0.2949232337083405</v>
      </c>
      <c r="GG789" s="15">
        <f>((GC789*GC789)/(AR789*GA789*GA789)+(FZ789*FZ789)/(AR789*FX789*FX789))</f>
        <v>4.9999999999999992E-3</v>
      </c>
      <c r="HE789" s="15">
        <v>1705</v>
      </c>
      <c r="HF789" s="15">
        <f>HE789*0.05</f>
        <v>85.25</v>
      </c>
      <c r="HG789" s="15">
        <f>HF789*SQRT(AR479)</f>
        <v>147.65733134524677</v>
      </c>
      <c r="HH789" s="15">
        <v>1902.98</v>
      </c>
      <c r="HI789" s="15">
        <f>HH789*0.05</f>
        <v>95.149000000000001</v>
      </c>
      <c r="HJ789" s="15">
        <f>HI789*SQRT(AR479)</f>
        <v>164.8029022893711</v>
      </c>
      <c r="HK789" s="15">
        <f t="shared" si="684"/>
        <v>1.1161173020527859</v>
      </c>
      <c r="HL789" s="15">
        <f t="shared" si="685"/>
        <v>197.98000000000002</v>
      </c>
      <c r="HM789" s="15">
        <f t="shared" si="686"/>
        <v>0.1098559678018125</v>
      </c>
      <c r="HN789" s="15">
        <f>((HJ789*HJ789)/(AR479*HH789*HH789)+(HG789*HG789)/(AR479*HE789*HE789))</f>
        <v>4.9999999999999992E-3</v>
      </c>
      <c r="HP789" s="15" t="s">
        <v>766</v>
      </c>
      <c r="HV789" s="15">
        <f t="shared" si="687"/>
        <v>273.08484555087625</v>
      </c>
      <c r="HW789" s="15">
        <f t="shared" si="688"/>
        <v>0.1098559678018125</v>
      </c>
      <c r="HX789" s="15">
        <f>DU789</f>
        <v>3000</v>
      </c>
      <c r="HY789" s="15">
        <f t="shared" si="705"/>
        <v>15000</v>
      </c>
      <c r="HZ789" s="15">
        <f t="shared" si="705"/>
        <v>25</v>
      </c>
      <c r="IA789" s="15">
        <f t="shared" si="705"/>
        <v>3000</v>
      </c>
    </row>
    <row r="790" spans="1:235" s="15" customFormat="1" ht="19.8" customHeight="1" x14ac:dyDescent="0.25">
      <c r="A790" s="31">
        <v>788</v>
      </c>
      <c r="B790" s="1">
        <v>119</v>
      </c>
      <c r="C790" s="1">
        <v>139</v>
      </c>
      <c r="D790" s="15" t="s">
        <v>1750</v>
      </c>
      <c r="E790" s="1">
        <v>2</v>
      </c>
      <c r="F790" s="15" t="s">
        <v>777</v>
      </c>
      <c r="G790" s="15" t="s">
        <v>1754</v>
      </c>
      <c r="H790" s="15" t="s">
        <v>1756</v>
      </c>
      <c r="I790" s="1">
        <v>2016</v>
      </c>
      <c r="J790" s="15" t="s">
        <v>1757</v>
      </c>
      <c r="K790" s="1">
        <v>2013</v>
      </c>
      <c r="L790" s="15" t="s">
        <v>1758</v>
      </c>
      <c r="M790" s="15" t="s">
        <v>480</v>
      </c>
      <c r="N790" s="15" t="s">
        <v>520</v>
      </c>
      <c r="O790" s="31">
        <v>2</v>
      </c>
      <c r="P790" s="15">
        <v>28.3</v>
      </c>
      <c r="Q790" s="15">
        <v>107.55</v>
      </c>
      <c r="R790" s="15">
        <v>1080</v>
      </c>
      <c r="S790" s="15">
        <v>940.5</v>
      </c>
      <c r="T790" s="15">
        <v>16.5</v>
      </c>
      <c r="U790" s="15" t="s">
        <v>549</v>
      </c>
      <c r="V790" s="31">
        <v>1</v>
      </c>
      <c r="W790" s="15" t="s">
        <v>1158</v>
      </c>
      <c r="X790" s="15" t="s">
        <v>521</v>
      </c>
      <c r="Y790" s="1">
        <v>6</v>
      </c>
      <c r="Z790" s="15">
        <v>5.0999999999999996</v>
      </c>
      <c r="AA790" s="15" t="s">
        <v>574</v>
      </c>
      <c r="AB790" s="15">
        <f t="shared" si="673"/>
        <v>5.0999999999999996</v>
      </c>
      <c r="AC790" s="1">
        <v>3</v>
      </c>
      <c r="AD790" s="15">
        <v>25.1</v>
      </c>
      <c r="AM790" s="1"/>
      <c r="AN790" s="15">
        <v>1.1000000000000001</v>
      </c>
      <c r="AP790" s="15" t="s">
        <v>837</v>
      </c>
      <c r="AQ790" s="1">
        <v>2</v>
      </c>
      <c r="AR790" s="1">
        <v>3</v>
      </c>
      <c r="CC790" s="15" t="s">
        <v>804</v>
      </c>
      <c r="CE790" s="15">
        <v>15000</v>
      </c>
      <c r="CF790" s="15">
        <f>CE790</f>
        <v>15000</v>
      </c>
      <c r="CG790" s="15" t="s">
        <v>766</v>
      </c>
      <c r="CH790" s="15">
        <v>10.199999999999999</v>
      </c>
      <c r="CK790" s="15">
        <v>291.10000000000002</v>
      </c>
      <c r="CL790" s="15">
        <v>11.92</v>
      </c>
      <c r="CY790" s="25">
        <f>CF790</f>
        <v>15000</v>
      </c>
      <c r="CZ790" s="25">
        <f>CY790/0.78/1000</f>
        <v>19.23076923076923</v>
      </c>
      <c r="DA790" s="25">
        <f>CY790*3</f>
        <v>45000</v>
      </c>
      <c r="FK790" s="16">
        <f t="shared" si="677"/>
        <v>5.86</v>
      </c>
      <c r="FL790" s="16">
        <f t="shared" si="678"/>
        <v>5.99</v>
      </c>
      <c r="FM790" s="15">
        <v>5.86</v>
      </c>
      <c r="FN790" s="15">
        <f>FM790*0.05</f>
        <v>0.29300000000000004</v>
      </c>
      <c r="FO790" s="15">
        <f>FN790*SQRT(AR790)</f>
        <v>0.50749088661768105</v>
      </c>
      <c r="FP790" s="15">
        <v>5.99</v>
      </c>
      <c r="FQ790" s="15">
        <f>FP790*0.05</f>
        <v>0.29950000000000004</v>
      </c>
      <c r="FR790" s="15">
        <f>FQ790*SQRT(AR790)</f>
        <v>0.5187492168668788</v>
      </c>
      <c r="FS790" s="15">
        <f t="shared" si="702"/>
        <v>1.0221843003412969</v>
      </c>
      <c r="FT790" s="15">
        <f t="shared" si="703"/>
        <v>0.12999999999999989</v>
      </c>
      <c r="FU790" s="15">
        <f t="shared" si="704"/>
        <v>2.1941808538436858E-2</v>
      </c>
      <c r="FV790" s="15">
        <f>((FR790*FR790)/(AR790*FP790*FP790)+(FO790*FO790)/(AR790*FM790*FM790))</f>
        <v>5.000000000000001E-3</v>
      </c>
      <c r="FX790" s="15">
        <v>17.2</v>
      </c>
      <c r="FY790" s="15">
        <f>FX790*0.05</f>
        <v>0.86</v>
      </c>
      <c r="FZ790" s="15">
        <f>FY790*SQRT(AR790)</f>
        <v>1.4895636945092343</v>
      </c>
      <c r="GA790" s="15">
        <v>20.2</v>
      </c>
      <c r="GB790" s="15">
        <f>GA790*0.05</f>
        <v>1.01</v>
      </c>
      <c r="GC790" s="15">
        <f>GB790*SQRT(AR790)</f>
        <v>1.749371315644566</v>
      </c>
      <c r="GD790" s="15">
        <f t="shared" si="699"/>
        <v>1.1744186046511629</v>
      </c>
      <c r="GE790" s="15">
        <f t="shared" si="700"/>
        <v>3</v>
      </c>
      <c r="GF790" s="15">
        <f t="shared" si="701"/>
        <v>0.1607732205877519</v>
      </c>
      <c r="GG790" s="15">
        <f>((GC790*GC790)/(AR790*GA790*GA790)+(FZ790*FZ790)/(AR790*FX790*FX790))</f>
        <v>4.9999999999999992E-3</v>
      </c>
      <c r="HE790" s="15">
        <v>1705</v>
      </c>
      <c r="HF790" s="15">
        <f>HE790*0.05</f>
        <v>85.25</v>
      </c>
      <c r="HG790" s="15">
        <f>HF790*SQRT(AR480)</f>
        <v>147.65733134524677</v>
      </c>
      <c r="HH790" s="15">
        <v>2239.4699999999998</v>
      </c>
      <c r="HI790" s="15">
        <f>HH790*0.05</f>
        <v>111.9735</v>
      </c>
      <c r="HJ790" s="15">
        <f>HI790*SQRT(AR480)</f>
        <v>193.94379110131368</v>
      </c>
      <c r="HK790" s="15">
        <f t="shared" si="684"/>
        <v>1.3134721407624632</v>
      </c>
      <c r="HL790" s="15">
        <f t="shared" si="685"/>
        <v>534.4699999999998</v>
      </c>
      <c r="HM790" s="15">
        <f t="shared" si="686"/>
        <v>0.27267411999272451</v>
      </c>
      <c r="HN790" s="15">
        <f>((HJ790*HJ790)/(AR480*HH790*HH790)+(HG790*HG790)/(AR480*HE790*HE790))</f>
        <v>5.0000000000000001E-3</v>
      </c>
      <c r="HP790" s="15" t="s">
        <v>766</v>
      </c>
      <c r="HV790" s="15">
        <f t="shared" si="687"/>
        <v>1650.3216367288796</v>
      </c>
      <c r="HW790" s="15">
        <f t="shared" si="688"/>
        <v>0.27267411999272451</v>
      </c>
      <c r="HX790" s="25">
        <f>DA790</f>
        <v>45000</v>
      </c>
      <c r="HY790" s="25">
        <f>CY790</f>
        <v>15000</v>
      </c>
      <c r="HZ790" s="25">
        <f>CZ790</f>
        <v>19.23076923076923</v>
      </c>
      <c r="IA790" s="25">
        <f>DA790</f>
        <v>45000</v>
      </c>
    </row>
    <row r="791" spans="1:235" s="15" customFormat="1" ht="16.8" customHeight="1" x14ac:dyDescent="0.25">
      <c r="A791" s="31">
        <v>789</v>
      </c>
      <c r="B791" s="1">
        <v>119</v>
      </c>
      <c r="C791" s="1">
        <v>139</v>
      </c>
      <c r="D791" s="15" t="s">
        <v>1751</v>
      </c>
      <c r="E791" s="1">
        <v>6</v>
      </c>
      <c r="F791" s="15" t="s">
        <v>1755</v>
      </c>
      <c r="G791" s="15" t="s">
        <v>1754</v>
      </c>
      <c r="H791" s="15" t="s">
        <v>1756</v>
      </c>
      <c r="I791" s="1">
        <v>2016</v>
      </c>
      <c r="J791" s="15" t="s">
        <v>1757</v>
      </c>
      <c r="K791" s="1">
        <v>2013</v>
      </c>
      <c r="L791" s="15" t="s">
        <v>1758</v>
      </c>
      <c r="M791" s="15" t="s">
        <v>480</v>
      </c>
      <c r="N791" s="15" t="s">
        <v>520</v>
      </c>
      <c r="O791" s="31">
        <v>2</v>
      </c>
      <c r="P791" s="15">
        <v>28.3</v>
      </c>
      <c r="Q791" s="15">
        <v>107.55</v>
      </c>
      <c r="R791" s="15">
        <v>1080</v>
      </c>
      <c r="S791" s="15">
        <v>940.5</v>
      </c>
      <c r="T791" s="15">
        <v>16.5</v>
      </c>
      <c r="U791" s="15" t="s">
        <v>549</v>
      </c>
      <c r="V791" s="31">
        <v>1</v>
      </c>
      <c r="W791" s="15" t="s">
        <v>1158</v>
      </c>
      <c r="X791" s="15" t="s">
        <v>521</v>
      </c>
      <c r="Y791" s="1">
        <v>6</v>
      </c>
      <c r="Z791" s="15">
        <v>5.0999999999999996</v>
      </c>
      <c r="AA791" s="15" t="s">
        <v>574</v>
      </c>
      <c r="AB791" s="15">
        <f t="shared" si="673"/>
        <v>5.0999999999999996</v>
      </c>
      <c r="AC791" s="1">
        <v>3</v>
      </c>
      <c r="AD791" s="15">
        <v>25.1</v>
      </c>
      <c r="AM791" s="1"/>
      <c r="AN791" s="15">
        <v>1.1000000000000001</v>
      </c>
      <c r="AP791" s="15" t="s">
        <v>837</v>
      </c>
      <c r="AQ791" s="1">
        <v>2</v>
      </c>
      <c r="AR791" s="1">
        <v>3</v>
      </c>
      <c r="AT791" s="15" t="s">
        <v>546</v>
      </c>
      <c r="AW791" s="15">
        <v>2250</v>
      </c>
      <c r="AX791" s="15">
        <f>AW791*1.35</f>
        <v>3037.5</v>
      </c>
      <c r="AY791" s="15" t="s">
        <v>766</v>
      </c>
      <c r="AZ791" s="15">
        <f t="shared" ref="AZ791:AZ850" si="706">AX791</f>
        <v>3037.5</v>
      </c>
      <c r="BA791" s="15">
        <f t="shared" ref="BA791:BA850" si="707">AZ791/2.93/1000</f>
        <v>1.0366894197952217</v>
      </c>
      <c r="BB791" s="15">
        <f t="shared" ref="BB791:BB850" si="708">AZ791*0.6</f>
        <v>1822.5</v>
      </c>
      <c r="DB791" s="15" t="s">
        <v>804</v>
      </c>
      <c r="DD791" s="15">
        <v>15000</v>
      </c>
      <c r="DE791" s="15">
        <f>DD791</f>
        <v>15000</v>
      </c>
      <c r="DF791" s="15" t="s">
        <v>766</v>
      </c>
      <c r="DI791" s="15">
        <v>6.4</v>
      </c>
      <c r="DJ791" s="15">
        <v>458.2</v>
      </c>
      <c r="DK791" s="15">
        <v>6.77</v>
      </c>
      <c r="DS791" s="15">
        <f>DE791</f>
        <v>15000</v>
      </c>
      <c r="DT791" s="15">
        <f>DS791/0.6/1000</f>
        <v>25</v>
      </c>
      <c r="DU791" s="15">
        <f>DS791*0.2</f>
        <v>3000</v>
      </c>
      <c r="EW791" s="46">
        <f>AX791+BT791+CF791+DE791+DY791</f>
        <v>18037.5</v>
      </c>
      <c r="EX791" s="46">
        <f>BA791+BZ791+CZ791+DT791+ET791</f>
        <v>26.036689419795223</v>
      </c>
      <c r="EY791" s="46">
        <f>BB791+CA791+DA791+DU791+EU791</f>
        <v>4822.5</v>
      </c>
      <c r="FK791" s="16">
        <f t="shared" si="677"/>
        <v>5.86</v>
      </c>
      <c r="FL791" s="16">
        <f t="shared" si="678"/>
        <v>6.07</v>
      </c>
      <c r="FM791" s="15">
        <v>5.86</v>
      </c>
      <c r="FN791" s="15">
        <f>FM791*0.05</f>
        <v>0.29300000000000004</v>
      </c>
      <c r="FO791" s="15">
        <f>FN791*SQRT(AR791)</f>
        <v>0.50749088661768105</v>
      </c>
      <c r="FP791" s="15">
        <v>6.07</v>
      </c>
      <c r="FQ791" s="15">
        <f>FP791*0.05</f>
        <v>0.30350000000000005</v>
      </c>
      <c r="FR791" s="15">
        <f>FQ791*SQRT(AR791)</f>
        <v>0.52567742009715435</v>
      </c>
      <c r="FS791" s="15">
        <f t="shared" si="702"/>
        <v>1.0358361774744027</v>
      </c>
      <c r="FT791" s="15">
        <f t="shared" si="703"/>
        <v>0.20999999999999996</v>
      </c>
      <c r="FU791" s="15">
        <f t="shared" si="704"/>
        <v>3.5209001482485736E-2</v>
      </c>
      <c r="FV791" s="15">
        <f>((FR791*FR791)/(AR791*FP791*FP791)+(FO791*FO791)/(AR791*FM791*FM791))</f>
        <v>5.000000000000001E-3</v>
      </c>
      <c r="FX791" s="15">
        <v>17.2</v>
      </c>
      <c r="FY791" s="15">
        <f>FX791*0.05</f>
        <v>0.86</v>
      </c>
      <c r="FZ791" s="15">
        <f>FY791*SQRT(AR791)</f>
        <v>1.4895636945092343</v>
      </c>
      <c r="GA791" s="15">
        <v>27</v>
      </c>
      <c r="GB791" s="15">
        <f>GA791*0.05</f>
        <v>1.35</v>
      </c>
      <c r="GC791" s="15">
        <f>GB791*SQRT(AR791)</f>
        <v>2.3382685902179845</v>
      </c>
      <c r="GD791" s="15">
        <f t="shared" si="699"/>
        <v>1.5697674418604652</v>
      </c>
      <c r="GE791" s="15">
        <f t="shared" si="700"/>
        <v>9.8000000000000007</v>
      </c>
      <c r="GF791" s="15">
        <f t="shared" si="701"/>
        <v>0.45092748218492185</v>
      </c>
      <c r="GG791" s="15">
        <f>((GC791*GC791)/(AR791*GA791*GA791)+(FZ791*FZ791)/(AR791*FX791*FX791))</f>
        <v>5.0000000000000001E-3</v>
      </c>
      <c r="HE791" s="15">
        <v>1705</v>
      </c>
      <c r="HF791" s="15">
        <f>HE791*0.05</f>
        <v>85.25</v>
      </c>
      <c r="HG791" s="15">
        <f>HF791*SQRT(AR481)</f>
        <v>147.65733134524677</v>
      </c>
      <c r="HH791" s="15">
        <v>2353.4899999999998</v>
      </c>
      <c r="HI791" s="15">
        <f>HH791*0.05</f>
        <v>117.67449999999999</v>
      </c>
      <c r="HJ791" s="15">
        <f>HI791*SQRT(AR481)</f>
        <v>203.81821275526383</v>
      </c>
      <c r="HK791" s="15">
        <f t="shared" si="684"/>
        <v>1.3803460410557185</v>
      </c>
      <c r="HL791" s="15">
        <f t="shared" si="685"/>
        <v>648.48999999999978</v>
      </c>
      <c r="HM791" s="15">
        <f t="shared" si="686"/>
        <v>0.32233422212368801</v>
      </c>
      <c r="HN791" s="15">
        <f>((HJ791*HJ791)/(AR481*HH791*HH791)+(HG791*HG791)/(AR481*HE791*HE791))</f>
        <v>4.9999999999999992E-3</v>
      </c>
      <c r="HP791" s="15" t="s">
        <v>766</v>
      </c>
      <c r="HV791" s="15">
        <f t="shared" si="687"/>
        <v>149.6117901545521</v>
      </c>
      <c r="HW791" s="15">
        <f t="shared" si="688"/>
        <v>0.32233422212368801</v>
      </c>
      <c r="HX791" s="15">
        <f>EY791</f>
        <v>4822.5</v>
      </c>
      <c r="HY791" s="15">
        <f t="shared" ref="HY791:IA792" si="709">EW791</f>
        <v>18037.5</v>
      </c>
      <c r="HZ791" s="15">
        <f t="shared" si="709"/>
        <v>26.036689419795223</v>
      </c>
      <c r="IA791" s="15">
        <f t="shared" si="709"/>
        <v>4822.5</v>
      </c>
    </row>
    <row r="792" spans="1:235" s="15" customFormat="1" ht="16.8" customHeight="1" x14ac:dyDescent="0.25">
      <c r="A792" s="31">
        <v>790</v>
      </c>
      <c r="B792" s="1">
        <v>119</v>
      </c>
      <c r="C792" s="1">
        <v>139</v>
      </c>
      <c r="D792" s="15" t="s">
        <v>1752</v>
      </c>
      <c r="E792" s="1">
        <v>6</v>
      </c>
      <c r="F792" s="15" t="s">
        <v>1156</v>
      </c>
      <c r="G792" s="15" t="s">
        <v>1754</v>
      </c>
      <c r="H792" s="15" t="s">
        <v>1756</v>
      </c>
      <c r="I792" s="1">
        <v>2016</v>
      </c>
      <c r="J792" s="15" t="s">
        <v>1757</v>
      </c>
      <c r="K792" s="1">
        <v>2013</v>
      </c>
      <c r="L792" s="15" t="s">
        <v>1758</v>
      </c>
      <c r="M792" s="15" t="s">
        <v>480</v>
      </c>
      <c r="N792" s="15" t="s">
        <v>520</v>
      </c>
      <c r="O792" s="31">
        <v>2</v>
      </c>
      <c r="P792" s="15">
        <v>28.3</v>
      </c>
      <c r="Q792" s="15">
        <v>107.55</v>
      </c>
      <c r="R792" s="15">
        <v>1080</v>
      </c>
      <c r="S792" s="15">
        <v>940.5</v>
      </c>
      <c r="T792" s="15">
        <v>16.5</v>
      </c>
      <c r="U792" s="15" t="s">
        <v>549</v>
      </c>
      <c r="V792" s="31">
        <v>1</v>
      </c>
      <c r="W792" s="15" t="s">
        <v>1158</v>
      </c>
      <c r="X792" s="15" t="s">
        <v>521</v>
      </c>
      <c r="Y792" s="1">
        <v>6</v>
      </c>
      <c r="Z792" s="15">
        <v>5.0999999999999996</v>
      </c>
      <c r="AA792" s="15" t="s">
        <v>574</v>
      </c>
      <c r="AB792" s="15">
        <f t="shared" si="673"/>
        <v>5.0999999999999996</v>
      </c>
      <c r="AC792" s="1">
        <v>3</v>
      </c>
      <c r="AD792" s="15">
        <v>25.1</v>
      </c>
      <c r="AM792" s="1"/>
      <c r="AN792" s="15">
        <v>1.1000000000000001</v>
      </c>
      <c r="AP792" s="15" t="s">
        <v>837</v>
      </c>
      <c r="AQ792" s="1">
        <v>2</v>
      </c>
      <c r="AR792" s="1">
        <v>3</v>
      </c>
      <c r="AT792" s="15" t="s">
        <v>546</v>
      </c>
      <c r="AW792" s="15">
        <v>2250</v>
      </c>
      <c r="AX792" s="15">
        <f>AW792*1.35</f>
        <v>3037.5</v>
      </c>
      <c r="AY792" s="15" t="s">
        <v>766</v>
      </c>
      <c r="AZ792" s="15">
        <f t="shared" si="706"/>
        <v>3037.5</v>
      </c>
      <c r="BA792" s="15">
        <f t="shared" si="707"/>
        <v>1.0366894197952217</v>
      </c>
      <c r="BB792" s="15">
        <f t="shared" si="708"/>
        <v>1822.5</v>
      </c>
      <c r="CC792" s="15" t="s">
        <v>804</v>
      </c>
      <c r="CE792" s="15">
        <v>15000</v>
      </c>
      <c r="CF792" s="15">
        <f>CE792</f>
        <v>15000</v>
      </c>
      <c r="CG792" s="15" t="s">
        <v>766</v>
      </c>
      <c r="CH792" s="15">
        <v>10.199999999999999</v>
      </c>
      <c r="CK792" s="15">
        <v>291.10000000000002</v>
      </c>
      <c r="CL792" s="15">
        <v>11.92</v>
      </c>
      <c r="CY792" s="25">
        <f>CF792</f>
        <v>15000</v>
      </c>
      <c r="CZ792" s="25">
        <f>CY792/0.78/1000</f>
        <v>19.23076923076923</v>
      </c>
      <c r="DA792" s="25">
        <f>CY792*3</f>
        <v>45000</v>
      </c>
      <c r="EW792" s="46">
        <f>AX792+BT792+CF792+DE792+DY792</f>
        <v>18037.5</v>
      </c>
      <c r="EX792" s="46">
        <f>BA792+BZ792+CZ792+DT792+ET792</f>
        <v>20.26745865056445</v>
      </c>
      <c r="EY792" s="46">
        <f>BB792+CA792+DA792+DU792+EU792</f>
        <v>46822.5</v>
      </c>
      <c r="FK792" s="16">
        <f t="shared" si="677"/>
        <v>5.86</v>
      </c>
      <c r="FL792" s="16">
        <f t="shared" si="678"/>
        <v>6.11</v>
      </c>
      <c r="FM792" s="15">
        <v>5.86</v>
      </c>
      <c r="FN792" s="15">
        <f>FM792*0.05</f>
        <v>0.29300000000000004</v>
      </c>
      <c r="FO792" s="15">
        <f>FN792*SQRT(AR792)</f>
        <v>0.50749088661768105</v>
      </c>
      <c r="FP792" s="15">
        <v>6.11</v>
      </c>
      <c r="FQ792" s="15">
        <f>FP792*0.05</f>
        <v>0.30550000000000005</v>
      </c>
      <c r="FR792" s="15">
        <f>FQ792*SQRT(AR792)</f>
        <v>0.52914152171229212</v>
      </c>
      <c r="FS792" s="15">
        <f t="shared" si="702"/>
        <v>1.0426621160409557</v>
      </c>
      <c r="FT792" s="15">
        <f t="shared" si="703"/>
        <v>0.25</v>
      </c>
      <c r="FU792" s="15">
        <f t="shared" si="704"/>
        <v>4.1777169594582775E-2</v>
      </c>
      <c r="FV792" s="15">
        <f>((FR792*FR792)/(AR792*FP792*FP792)+(FO792*FO792)/(AR792*FM792*FM792))</f>
        <v>5.000000000000001E-3</v>
      </c>
      <c r="FX792" s="15">
        <v>17.2</v>
      </c>
      <c r="FY792" s="15">
        <f>FX792*0.05</f>
        <v>0.86</v>
      </c>
      <c r="FZ792" s="15">
        <f>FY792*SQRT(AR792)</f>
        <v>1.4895636945092343</v>
      </c>
      <c r="GA792" s="15">
        <v>25</v>
      </c>
      <c r="GB792" s="15">
        <f>GA792*0.05</f>
        <v>1.25</v>
      </c>
      <c r="GC792" s="15">
        <f>GB792*SQRT(AR792)</f>
        <v>2.1650635094610964</v>
      </c>
      <c r="GD792" s="15">
        <f t="shared" si="699"/>
        <v>1.4534883720930234</v>
      </c>
      <c r="GE792" s="15">
        <f t="shared" si="700"/>
        <v>7.8000000000000007</v>
      </c>
      <c r="GF792" s="15">
        <f t="shared" si="701"/>
        <v>0.37396644104879329</v>
      </c>
      <c r="GG792" s="15">
        <f>((GC792*GC792)/(AR792*GA792*GA792)+(FZ792*FZ792)/(AR792*FX792*FX792))</f>
        <v>4.9999999999999992E-3</v>
      </c>
      <c r="HE792" s="15">
        <v>1705</v>
      </c>
      <c r="HF792" s="15">
        <f>HE792*0.05</f>
        <v>85.25</v>
      </c>
      <c r="HG792" s="15">
        <f>HF792*SQRT(AR482)</f>
        <v>147.65733134524677</v>
      </c>
      <c r="HH792" s="15">
        <v>2427.7199999999998</v>
      </c>
      <c r="HI792" s="15">
        <f>HH792*0.05</f>
        <v>121.386</v>
      </c>
      <c r="HJ792" s="15">
        <f>HI792*SQRT(AR482)</f>
        <v>210.24671932755572</v>
      </c>
      <c r="HK792" s="15">
        <f t="shared" si="684"/>
        <v>1.4238826979472139</v>
      </c>
      <c r="HL792" s="15">
        <f t="shared" si="685"/>
        <v>722.7199999999998</v>
      </c>
      <c r="HM792" s="15">
        <f t="shared" si="686"/>
        <v>0.35338743455970523</v>
      </c>
      <c r="HN792" s="15">
        <f>((HJ792*HJ792)/(AR482*HH792*HH792)+(HG792*HG792)/(AR482*HE792*HE792))</f>
        <v>4.9999999999999992E-3</v>
      </c>
      <c r="HP792" s="15" t="s">
        <v>766</v>
      </c>
      <c r="HV792" s="15">
        <f t="shared" si="687"/>
        <v>1324.9622205253959</v>
      </c>
      <c r="HW792" s="15">
        <f t="shared" si="688"/>
        <v>0.35338743455970523</v>
      </c>
      <c r="HX792" s="15">
        <f>EY792</f>
        <v>46822.5</v>
      </c>
      <c r="HY792" s="15">
        <f t="shared" si="709"/>
        <v>18037.5</v>
      </c>
      <c r="HZ792" s="15">
        <f t="shared" si="709"/>
        <v>20.26745865056445</v>
      </c>
      <c r="IA792" s="15">
        <f t="shared" si="709"/>
        <v>46822.5</v>
      </c>
    </row>
    <row r="793" spans="1:235" s="15" customFormat="1" x14ac:dyDescent="0.25">
      <c r="A793" s="31">
        <v>791</v>
      </c>
      <c r="B793" s="1">
        <v>120</v>
      </c>
      <c r="C793" s="1">
        <v>140</v>
      </c>
      <c r="D793" s="15" t="s">
        <v>1753</v>
      </c>
      <c r="E793" s="1">
        <v>1</v>
      </c>
      <c r="F793" s="15" t="s">
        <v>761</v>
      </c>
      <c r="G793" s="15" t="s">
        <v>1760</v>
      </c>
      <c r="H793" s="15" t="s">
        <v>1761</v>
      </c>
      <c r="I793" s="1">
        <v>2019</v>
      </c>
      <c r="J793" s="15" t="s">
        <v>1762</v>
      </c>
      <c r="K793" s="1" t="s">
        <v>1763</v>
      </c>
      <c r="L793" s="15" t="s">
        <v>1764</v>
      </c>
      <c r="M793" s="15" t="s">
        <v>480</v>
      </c>
      <c r="N793" s="15" t="s">
        <v>520</v>
      </c>
      <c r="O793" s="31">
        <v>2</v>
      </c>
      <c r="P793" s="15">
        <v>20.82</v>
      </c>
      <c r="Q793" s="15">
        <v>110.45</v>
      </c>
      <c r="S793" s="15">
        <v>1500</v>
      </c>
      <c r="T793" s="15">
        <v>23.2</v>
      </c>
      <c r="U793" s="15" t="s">
        <v>549</v>
      </c>
      <c r="V793" s="31">
        <v>1</v>
      </c>
      <c r="W793" s="15" t="s">
        <v>1153</v>
      </c>
      <c r="X793" s="15" t="s">
        <v>1676</v>
      </c>
      <c r="Y793" s="1">
        <v>2</v>
      </c>
      <c r="Z793" s="15">
        <v>4.3</v>
      </c>
      <c r="AA793" s="15" t="s">
        <v>574</v>
      </c>
      <c r="AB793" s="15">
        <f t="shared" si="673"/>
        <v>4.3</v>
      </c>
      <c r="AC793" s="1">
        <v>1</v>
      </c>
      <c r="AD793" s="15">
        <v>37.619999999999997</v>
      </c>
      <c r="AM793" s="1"/>
      <c r="AP793" s="15" t="s">
        <v>697</v>
      </c>
      <c r="AQ793" s="1">
        <v>1</v>
      </c>
      <c r="AR793" s="1">
        <v>3</v>
      </c>
      <c r="AT793" s="15" t="s">
        <v>546</v>
      </c>
      <c r="AW793" s="15">
        <v>750</v>
      </c>
      <c r="AX793" s="15">
        <f>AW793*1.35</f>
        <v>1012.5000000000001</v>
      </c>
      <c r="AY793" s="15" t="s">
        <v>766</v>
      </c>
      <c r="AZ793" s="15">
        <f t="shared" si="706"/>
        <v>1012.5000000000001</v>
      </c>
      <c r="BA793" s="15">
        <f t="shared" si="707"/>
        <v>0.34556313993174065</v>
      </c>
      <c r="BB793" s="15">
        <f t="shared" si="708"/>
        <v>607.5</v>
      </c>
      <c r="FK793" s="16">
        <f t="shared" si="677"/>
        <v>4.25</v>
      </c>
      <c r="FL793" s="16">
        <f t="shared" si="678"/>
        <v>4.5999999999999996</v>
      </c>
      <c r="FM793" s="15">
        <v>4.25</v>
      </c>
      <c r="FN793" s="15">
        <v>0.04</v>
      </c>
      <c r="FO793" s="15">
        <f>FN793*SQRT(AR793)</f>
        <v>6.9282032302755092E-2</v>
      </c>
      <c r="FP793" s="15">
        <v>4.5999999999999996</v>
      </c>
      <c r="FQ793" s="15">
        <v>0.05</v>
      </c>
      <c r="FR793" s="15">
        <f>FQ793*SQRT(AR793)</f>
        <v>8.6602540378443865E-2</v>
      </c>
      <c r="FS793" s="15">
        <f t="shared" si="702"/>
        <v>1.0823529411764705</v>
      </c>
      <c r="FT793" s="15">
        <f t="shared" si="703"/>
        <v>0.34999999999999964</v>
      </c>
      <c r="FU793" s="15">
        <f t="shared" si="704"/>
        <v>7.91373205587238E-2</v>
      </c>
      <c r="FV793" s="15">
        <f>((FR793*FR793)/(AR793*FP793*FP793)+(FO793*FO793)/(AR793*FM793*FM793))</f>
        <v>2.0672876289401564E-4</v>
      </c>
      <c r="FX793" s="15">
        <v>39.200000000000003</v>
      </c>
      <c r="FY793" s="15">
        <v>2.96</v>
      </c>
      <c r="FZ793" s="15">
        <f>FY793*SQRT(AR793)</f>
        <v>5.1268703904038766</v>
      </c>
      <c r="GA793" s="15">
        <v>38.21</v>
      </c>
      <c r="GB793" s="15">
        <v>3.71</v>
      </c>
      <c r="GC793" s="15">
        <f>GB793*SQRT(AR793)</f>
        <v>6.4259084960805346</v>
      </c>
      <c r="GD793" s="15">
        <f t="shared" si="699"/>
        <v>0.97474489795918362</v>
      </c>
      <c r="GE793" s="15">
        <f t="shared" si="700"/>
        <v>-0.99000000000000199</v>
      </c>
      <c r="GF793" s="15">
        <f t="shared" si="701"/>
        <v>-2.5579485337608343E-2</v>
      </c>
      <c r="GG793" s="15">
        <f>((GC793*GC793)/(AR793*GA793*GA793)+(FZ793*FZ793)/(AR793*FX793*FX793))</f>
        <v>1.5129230199558683E-2</v>
      </c>
      <c r="HE793" s="15">
        <f>52778*1.4</f>
        <v>73889.2</v>
      </c>
      <c r="HF793" s="15">
        <v>1604</v>
      </c>
      <c r="HG793" s="15">
        <f>HF793*SQRT(AR483)</f>
        <v>2778.209495340479</v>
      </c>
      <c r="HH793" s="15">
        <f>50926*1.55</f>
        <v>78935.3</v>
      </c>
      <c r="HI793" s="15">
        <v>2450</v>
      </c>
      <c r="HJ793" s="15">
        <f>HI793*SQRT(AR483)</f>
        <v>4243.524478543749</v>
      </c>
      <c r="HK793" s="15">
        <f t="shared" si="684"/>
        <v>1.0682927951581558</v>
      </c>
      <c r="HL793" s="15">
        <f t="shared" si="685"/>
        <v>5046.1000000000058</v>
      </c>
      <c r="HM793" s="15">
        <f t="shared" si="686"/>
        <v>6.6061855734808717E-2</v>
      </c>
      <c r="HN793" s="15">
        <f>((HJ793*HJ793)/(AR483*HH793*HH793)+(HG793*HG793)/(AR483*HE793*HE793))</f>
        <v>1.4346073346138129E-3</v>
      </c>
      <c r="HP793" s="15" t="s">
        <v>766</v>
      </c>
      <c r="HV793" s="15">
        <f t="shared" si="687"/>
        <v>91.959269572849976</v>
      </c>
      <c r="HW793" s="15">
        <f t="shared" si="688"/>
        <v>6.6061855734808717E-2</v>
      </c>
      <c r="HX793" s="15">
        <f>BB793</f>
        <v>607.5</v>
      </c>
      <c r="HY793" s="15">
        <f>AZ793</f>
        <v>1012.5000000000001</v>
      </c>
      <c r="HZ793" s="15">
        <f>BA793</f>
        <v>0.34556313993174065</v>
      </c>
      <c r="IA793" s="15">
        <f>BB793</f>
        <v>607.5</v>
      </c>
    </row>
    <row r="794" spans="1:235" s="15" customFormat="1" x14ac:dyDescent="0.25">
      <c r="A794" s="31">
        <v>792</v>
      </c>
      <c r="B794" s="1">
        <v>120</v>
      </c>
      <c r="C794" s="1">
        <v>140</v>
      </c>
      <c r="D794" s="15" t="s">
        <v>1759</v>
      </c>
      <c r="E794" s="1">
        <v>1</v>
      </c>
      <c r="F794" s="15" t="s">
        <v>761</v>
      </c>
      <c r="G794" s="15" t="s">
        <v>1760</v>
      </c>
      <c r="H794" s="15" t="s">
        <v>1761</v>
      </c>
      <c r="I794" s="1">
        <v>2019</v>
      </c>
      <c r="J794" s="15" t="s">
        <v>1762</v>
      </c>
      <c r="K794" s="1" t="s">
        <v>1763</v>
      </c>
      <c r="L794" s="15" t="s">
        <v>1764</v>
      </c>
      <c r="M794" s="15" t="s">
        <v>480</v>
      </c>
      <c r="N794" s="15" t="s">
        <v>520</v>
      </c>
      <c r="O794" s="31">
        <v>2</v>
      </c>
      <c r="P794" s="15">
        <v>20.82</v>
      </c>
      <c r="Q794" s="15">
        <v>110.45</v>
      </c>
      <c r="S794" s="15">
        <v>1500</v>
      </c>
      <c r="T794" s="15">
        <v>23.2</v>
      </c>
      <c r="U794" s="15" t="s">
        <v>549</v>
      </c>
      <c r="V794" s="31">
        <v>1</v>
      </c>
      <c r="W794" s="15" t="s">
        <v>1153</v>
      </c>
      <c r="X794" s="15" t="s">
        <v>1676</v>
      </c>
      <c r="Y794" s="1">
        <v>2</v>
      </c>
      <c r="Z794" s="15">
        <v>4.3</v>
      </c>
      <c r="AA794" s="15" t="s">
        <v>574</v>
      </c>
      <c r="AB794" s="15">
        <f t="shared" si="673"/>
        <v>4.3</v>
      </c>
      <c r="AC794" s="1">
        <v>1</v>
      </c>
      <c r="AD794" s="15">
        <v>37.619999999999997</v>
      </c>
      <c r="AM794" s="1"/>
      <c r="AP794" s="15" t="s">
        <v>697</v>
      </c>
      <c r="AQ794" s="1">
        <v>1</v>
      </c>
      <c r="AR794" s="1">
        <v>3</v>
      </c>
      <c r="AT794" s="15" t="s">
        <v>546</v>
      </c>
      <c r="AW794" s="15">
        <v>1500</v>
      </c>
      <c r="AX794" s="15">
        <f>AW794*1.35</f>
        <v>2025.0000000000002</v>
      </c>
      <c r="AY794" s="15" t="s">
        <v>766</v>
      </c>
      <c r="AZ794" s="15">
        <f t="shared" si="706"/>
        <v>2025.0000000000002</v>
      </c>
      <c r="BA794" s="15">
        <f t="shared" si="707"/>
        <v>0.6911262798634813</v>
      </c>
      <c r="BB794" s="15">
        <f t="shared" si="708"/>
        <v>1215</v>
      </c>
      <c r="FK794" s="16">
        <f t="shared" si="677"/>
        <v>4.25</v>
      </c>
      <c r="FL794" s="16">
        <f t="shared" si="678"/>
        <v>4.92</v>
      </c>
      <c r="FM794" s="15">
        <v>4.25</v>
      </c>
      <c r="FN794" s="15">
        <v>0.04</v>
      </c>
      <c r="FO794" s="15">
        <f>FN794*SQRT(AR794)</f>
        <v>6.9282032302755092E-2</v>
      </c>
      <c r="FP794" s="15">
        <v>4.92</v>
      </c>
      <c r="FQ794" s="15">
        <v>0.1</v>
      </c>
      <c r="FR794" s="15">
        <f>FQ794*SQRT(AR794)</f>
        <v>0.17320508075688773</v>
      </c>
      <c r="FS794" s="15">
        <f t="shared" si="702"/>
        <v>1.1576470588235295</v>
      </c>
      <c r="FT794" s="15">
        <f t="shared" si="703"/>
        <v>0.66999999999999993</v>
      </c>
      <c r="FU794" s="15">
        <f t="shared" si="704"/>
        <v>0.14638954756789135</v>
      </c>
      <c r="FV794" s="15">
        <f>((FR794*FR794)/(AR794*FP794*FP794)+(FO794*FO794)/(AR794*FM794*FM794))</f>
        <v>5.0169520211532613E-4</v>
      </c>
      <c r="FX794" s="15">
        <v>39.200000000000003</v>
      </c>
      <c r="FY794" s="15">
        <v>2.96</v>
      </c>
      <c r="FZ794" s="15">
        <f>FY794*SQRT(AR794)</f>
        <v>5.1268703904038766</v>
      </c>
      <c r="GA794" s="15">
        <v>39.81</v>
      </c>
      <c r="GB794" s="15">
        <v>2.3199999999999998</v>
      </c>
      <c r="GC794" s="15">
        <f>GB794*SQRT(AR794)</f>
        <v>4.0183578735597951</v>
      </c>
      <c r="GD794" s="15">
        <f t="shared" si="699"/>
        <v>1.0155612244897958</v>
      </c>
      <c r="GE794" s="15">
        <f t="shared" si="700"/>
        <v>0.60999999999999943</v>
      </c>
      <c r="GF794" s="15">
        <f t="shared" si="701"/>
        <v>1.5441390215809037E-2</v>
      </c>
      <c r="GG794" s="15">
        <f>((GC794*GC794)/(AR794*GA794*GA794)+(FZ794*FZ794)/(AR794*FX794*FX794))</f>
        <v>9.0979780719161359E-3</v>
      </c>
      <c r="HE794" s="15">
        <f>52778*1.4</f>
        <v>73889.2</v>
      </c>
      <c r="HF794" s="15">
        <v>1604</v>
      </c>
      <c r="HG794" s="15">
        <f>HF794*SQRT(AR484)</f>
        <v>2778.209495340479</v>
      </c>
      <c r="HH794" s="15">
        <f>51852*1.6</f>
        <v>82963.200000000012</v>
      </c>
      <c r="HI794" s="15">
        <v>4036</v>
      </c>
      <c r="HJ794" s="15">
        <f>HI794*SQRT(AR484)</f>
        <v>6990.5570593479888</v>
      </c>
      <c r="HK794" s="15">
        <f t="shared" si="684"/>
        <v>1.1228054979618134</v>
      </c>
      <c r="HL794" s="15">
        <f t="shared" si="685"/>
        <v>9074.0000000000146</v>
      </c>
      <c r="HM794" s="15">
        <f t="shared" si="686"/>
        <v>0.11583046214644632</v>
      </c>
      <c r="HN794" s="15">
        <f>((HJ794*HJ794)/(AR484*HH794*HH794)+(HG794*HG794)/(AR484*HE794*HE794))</f>
        <v>2.8378802769243854E-3</v>
      </c>
      <c r="HP794" s="15" t="s">
        <v>766</v>
      </c>
      <c r="HV794" s="15">
        <f t="shared" si="687"/>
        <v>104.89468637911985</v>
      </c>
      <c r="HW794" s="15">
        <f t="shared" si="688"/>
        <v>0.11583046214644632</v>
      </c>
      <c r="HX794" s="15">
        <f>BB794</f>
        <v>1215</v>
      </c>
      <c r="HY794" s="15">
        <f>AZ794</f>
        <v>2025.0000000000002</v>
      </c>
      <c r="HZ794" s="15">
        <f>BA794</f>
        <v>0.6911262798634813</v>
      </c>
      <c r="IA794" s="15">
        <f>BB794</f>
        <v>1215</v>
      </c>
    </row>
    <row r="795" spans="1:235" s="15" customFormat="1" x14ac:dyDescent="0.25">
      <c r="A795" s="31">
        <v>793</v>
      </c>
      <c r="B795" s="1">
        <v>121</v>
      </c>
      <c r="C795" s="1">
        <v>141</v>
      </c>
      <c r="D795" s="15" t="s">
        <v>1766</v>
      </c>
      <c r="E795" s="1">
        <v>1</v>
      </c>
      <c r="F795" s="15" t="s">
        <v>761</v>
      </c>
      <c r="G795" s="15" t="s">
        <v>1765</v>
      </c>
      <c r="H795" s="15" t="s">
        <v>1772</v>
      </c>
      <c r="I795" s="1">
        <v>2016</v>
      </c>
      <c r="J795" s="15" t="s">
        <v>1773</v>
      </c>
      <c r="K795" s="1" t="s">
        <v>658</v>
      </c>
      <c r="L795" s="15" t="s">
        <v>1776</v>
      </c>
      <c r="M795" s="15" t="s">
        <v>1775</v>
      </c>
      <c r="N795" s="15" t="s">
        <v>1201</v>
      </c>
      <c r="O795" s="31">
        <v>3</v>
      </c>
      <c r="P795" s="15">
        <f t="shared" ref="P795:P802" si="710">-37.72</f>
        <v>-37.72</v>
      </c>
      <c r="Q795" s="15">
        <v>145.05000000000001</v>
      </c>
      <c r="R795" s="15">
        <v>83</v>
      </c>
      <c r="S795" s="15">
        <v>666</v>
      </c>
      <c r="T795" s="15">
        <v>14.8</v>
      </c>
      <c r="U795" s="15" t="s">
        <v>549</v>
      </c>
      <c r="V795" s="31">
        <v>1</v>
      </c>
      <c r="W795" s="15" t="s">
        <v>1164</v>
      </c>
      <c r="X795" s="15" t="s">
        <v>1778</v>
      </c>
      <c r="Y795" s="1">
        <v>8</v>
      </c>
      <c r="Z795" s="15">
        <v>4.76</v>
      </c>
      <c r="AA795" s="15" t="s">
        <v>574</v>
      </c>
      <c r="AB795" s="15">
        <f t="shared" si="673"/>
        <v>4.76</v>
      </c>
      <c r="AC795" s="1">
        <v>2</v>
      </c>
      <c r="AD795" s="15">
        <f t="shared" ref="AD795:AD802" si="711">20.5*1.74</f>
        <v>35.67</v>
      </c>
      <c r="AJ795" s="15">
        <v>29</v>
      </c>
      <c r="AK795" s="15">
        <v>61</v>
      </c>
      <c r="AL795" s="15">
        <v>10</v>
      </c>
      <c r="AM795" s="1">
        <v>2</v>
      </c>
      <c r="AN795" s="15">
        <v>1.3</v>
      </c>
      <c r="AP795" s="15" t="s">
        <v>1779</v>
      </c>
      <c r="AQ795" s="1">
        <v>8</v>
      </c>
      <c r="AR795" s="1">
        <v>3</v>
      </c>
      <c r="AT795" s="15" t="s">
        <v>576</v>
      </c>
      <c r="AW795" s="15">
        <v>600</v>
      </c>
      <c r="AX795" s="15">
        <f t="shared" ref="AX795:AX809" si="712">AW795</f>
        <v>600</v>
      </c>
      <c r="AY795" s="15" t="s">
        <v>766</v>
      </c>
      <c r="AZ795" s="15">
        <f t="shared" si="706"/>
        <v>600</v>
      </c>
      <c r="BA795" s="15">
        <f t="shared" si="707"/>
        <v>0.20477815699658702</v>
      </c>
      <c r="BB795" s="15">
        <f t="shared" si="708"/>
        <v>360</v>
      </c>
      <c r="FK795" s="16">
        <f t="shared" si="677"/>
        <v>4.76</v>
      </c>
      <c r="FL795" s="16">
        <f t="shared" si="678"/>
        <v>5.08</v>
      </c>
      <c r="FM795" s="15">
        <f>(4.8+4.72)/2</f>
        <v>4.76</v>
      </c>
      <c r="FN795" s="15">
        <f t="shared" ref="FN795:FN827" si="713">FM795*0.1</f>
        <v>0.47599999999999998</v>
      </c>
      <c r="FO795" s="15">
        <f>FN795*SQRT(AR795)</f>
        <v>0.82445618440278545</v>
      </c>
      <c r="FP795" s="15">
        <f>(5.44+4.72)/2</f>
        <v>5.08</v>
      </c>
      <c r="FQ795" s="15">
        <f t="shared" ref="FQ795:FQ827" si="714">FP795*0.1</f>
        <v>0.50800000000000001</v>
      </c>
      <c r="FR795" s="15">
        <f>FQ795*SQRT(AR795)</f>
        <v>0.87988181024498968</v>
      </c>
      <c r="FS795" s="15">
        <f t="shared" si="702"/>
        <v>1.0672268907563025</v>
      </c>
      <c r="FT795" s="15">
        <f t="shared" si="703"/>
        <v>0.32000000000000028</v>
      </c>
      <c r="FU795" s="15">
        <f t="shared" si="704"/>
        <v>6.5063593347062021E-2</v>
      </c>
      <c r="FV795" s="15">
        <f>((FR795*FR795)/(AR795*FP795*FP795)+(FO795*FO795)/(AR795*FM795*FM795))</f>
        <v>1.9999999999999997E-2</v>
      </c>
      <c r="FX795" s="15">
        <v>34.799999999999997</v>
      </c>
      <c r="FY795" s="15">
        <f t="shared" ref="FY795:FY802" si="715">FX795*0.05</f>
        <v>1.74</v>
      </c>
      <c r="FZ795" s="15">
        <f>FY795*SQRT(AR795)</f>
        <v>3.0137684051698463</v>
      </c>
      <c r="GA795" s="15">
        <v>30.299999999999997</v>
      </c>
      <c r="GB795" s="15">
        <f t="shared" ref="GB795:GB802" si="716">GA795*0.05</f>
        <v>1.5149999999999999</v>
      </c>
      <c r="GC795" s="15">
        <f>GB795*SQRT(AR795)</f>
        <v>2.6240569734668489</v>
      </c>
      <c r="GD795" s="15">
        <f t="shared" si="699"/>
        <v>0.87068965517241381</v>
      </c>
      <c r="GE795" s="15">
        <f t="shared" si="700"/>
        <v>-4.5</v>
      </c>
      <c r="GF795" s="15">
        <f t="shared" si="701"/>
        <v>-0.13846967426510526</v>
      </c>
      <c r="GG795" s="15">
        <f>((GC795*GC795)/(AR795*GA795*GA795)+(FZ795*FZ795)/(AR795*FX795*FX795))</f>
        <v>5.0000000000000001E-3</v>
      </c>
      <c r="HY795" s="15">
        <f>AZ795</f>
        <v>600</v>
      </c>
      <c r="HZ795" s="15">
        <f>BA795</f>
        <v>0.20477815699658702</v>
      </c>
      <c r="IA795" s="15">
        <f>BB795</f>
        <v>360</v>
      </c>
    </row>
    <row r="796" spans="1:235" s="15" customFormat="1" x14ac:dyDescent="0.25">
      <c r="A796" s="31">
        <v>794</v>
      </c>
      <c r="B796" s="1">
        <v>121</v>
      </c>
      <c r="C796" s="1">
        <v>141</v>
      </c>
      <c r="D796" s="15" t="s">
        <v>1767</v>
      </c>
      <c r="E796" s="1">
        <v>1</v>
      </c>
      <c r="F796" s="15" t="s">
        <v>761</v>
      </c>
      <c r="G796" s="15" t="s">
        <v>1765</v>
      </c>
      <c r="H796" s="15" t="s">
        <v>1772</v>
      </c>
      <c r="I796" s="1">
        <v>2016</v>
      </c>
      <c r="J796" s="15" t="s">
        <v>1773</v>
      </c>
      <c r="K796" s="1" t="s">
        <v>658</v>
      </c>
      <c r="L796" s="15" t="s">
        <v>1776</v>
      </c>
      <c r="M796" s="15" t="s">
        <v>1775</v>
      </c>
      <c r="N796" s="15" t="s">
        <v>1201</v>
      </c>
      <c r="O796" s="31">
        <v>3</v>
      </c>
      <c r="P796" s="15">
        <f t="shared" si="710"/>
        <v>-37.72</v>
      </c>
      <c r="Q796" s="15">
        <v>145.05000000000001</v>
      </c>
      <c r="R796" s="15">
        <v>83</v>
      </c>
      <c r="S796" s="15">
        <v>666</v>
      </c>
      <c r="T796" s="15">
        <v>14.8</v>
      </c>
      <c r="U796" s="15" t="s">
        <v>549</v>
      </c>
      <c r="V796" s="31">
        <v>1</v>
      </c>
      <c r="W796" s="15" t="s">
        <v>1164</v>
      </c>
      <c r="X796" s="15" t="s">
        <v>1778</v>
      </c>
      <c r="Y796" s="1">
        <v>8</v>
      </c>
      <c r="Z796" s="15">
        <v>4.76</v>
      </c>
      <c r="AA796" s="15" t="s">
        <v>574</v>
      </c>
      <c r="AB796" s="15">
        <f t="shared" si="673"/>
        <v>4.76</v>
      </c>
      <c r="AC796" s="1">
        <v>2</v>
      </c>
      <c r="AD796" s="15">
        <f t="shared" si="711"/>
        <v>35.67</v>
      </c>
      <c r="AJ796" s="15">
        <v>29</v>
      </c>
      <c r="AK796" s="15">
        <v>61</v>
      </c>
      <c r="AL796" s="15">
        <v>10</v>
      </c>
      <c r="AM796" s="1">
        <v>2</v>
      </c>
      <c r="AN796" s="15">
        <v>1.3</v>
      </c>
      <c r="AP796" s="15" t="s">
        <v>1779</v>
      </c>
      <c r="AQ796" s="1">
        <v>8</v>
      </c>
      <c r="AR796" s="1">
        <v>3</v>
      </c>
      <c r="AT796" s="15" t="s">
        <v>576</v>
      </c>
      <c r="AW796" s="15">
        <v>1200</v>
      </c>
      <c r="AX796" s="15">
        <f t="shared" si="712"/>
        <v>1200</v>
      </c>
      <c r="AY796" s="15" t="s">
        <v>766</v>
      </c>
      <c r="AZ796" s="15">
        <f t="shared" si="706"/>
        <v>1200</v>
      </c>
      <c r="BA796" s="15">
        <f t="shared" si="707"/>
        <v>0.40955631399317405</v>
      </c>
      <c r="BB796" s="15">
        <f t="shared" si="708"/>
        <v>720</v>
      </c>
      <c r="FK796" s="16">
        <f t="shared" si="677"/>
        <v>4.76</v>
      </c>
      <c r="FL796" s="16">
        <f t="shared" si="678"/>
        <v>5.36</v>
      </c>
      <c r="FM796" s="15">
        <f>(4.8+4.72)/2</f>
        <v>4.76</v>
      </c>
      <c r="FN796" s="15">
        <f t="shared" si="713"/>
        <v>0.47599999999999998</v>
      </c>
      <c r="FO796" s="15">
        <f>FN796*SQRT(AR796)</f>
        <v>0.82445618440278545</v>
      </c>
      <c r="FP796" s="15">
        <v>5.36</v>
      </c>
      <c r="FQ796" s="15">
        <f t="shared" si="714"/>
        <v>0.53600000000000003</v>
      </c>
      <c r="FR796" s="15">
        <f>FQ796*SQRT(AR796)</f>
        <v>0.92837923285691826</v>
      </c>
      <c r="FS796" s="15">
        <f t="shared" si="702"/>
        <v>1.1260504201680674</v>
      </c>
      <c r="FT796" s="15">
        <f t="shared" si="703"/>
        <v>0.60000000000000053</v>
      </c>
      <c r="FU796" s="15">
        <f t="shared" si="704"/>
        <v>0.11871630683938217</v>
      </c>
      <c r="FV796" s="15">
        <f>((FR796*FR796)/(AR796*FP796*FP796)+(FO796*FO796)/(AR796*FM796*FM796))</f>
        <v>1.9999999999999997E-2</v>
      </c>
      <c r="FX796" s="15">
        <v>34.799999999999997</v>
      </c>
      <c r="FY796" s="15">
        <f t="shared" si="715"/>
        <v>1.74</v>
      </c>
      <c r="FZ796" s="15">
        <f>FY796*SQRT(AR796)</f>
        <v>3.0137684051698463</v>
      </c>
      <c r="GA796" s="15">
        <v>29.799999999999997</v>
      </c>
      <c r="GB796" s="15">
        <f t="shared" si="716"/>
        <v>1.49</v>
      </c>
      <c r="GC796" s="15">
        <f>GB796*SQRT(AR796)</f>
        <v>2.5807557032776272</v>
      </c>
      <c r="GD796" s="15">
        <f t="shared" si="699"/>
        <v>0.85632183908045978</v>
      </c>
      <c r="GE796" s="15">
        <f t="shared" si="700"/>
        <v>-5</v>
      </c>
      <c r="GF796" s="15">
        <f t="shared" si="701"/>
        <v>-0.15510899326906991</v>
      </c>
      <c r="GG796" s="15">
        <f>((GC796*GC796)/(AR796*GA796*GA796)+(FZ796*FZ796)/(AR796*FX796*FX796))</f>
        <v>5.000000000000001E-3</v>
      </c>
      <c r="HY796" s="15">
        <f>AZ796</f>
        <v>1200</v>
      </c>
      <c r="HZ796" s="15">
        <f>BA796</f>
        <v>0.40955631399317405</v>
      </c>
      <c r="IA796" s="15">
        <f>BB796</f>
        <v>720</v>
      </c>
    </row>
    <row r="797" spans="1:235" s="15" customFormat="1" x14ac:dyDescent="0.25">
      <c r="A797" s="31">
        <v>795</v>
      </c>
      <c r="B797" s="1">
        <v>121</v>
      </c>
      <c r="C797" s="1">
        <v>141</v>
      </c>
      <c r="D797" s="15" t="s">
        <v>1768</v>
      </c>
      <c r="E797" s="1">
        <v>1</v>
      </c>
      <c r="F797" s="15" t="s">
        <v>761</v>
      </c>
      <c r="G797" s="15" t="s">
        <v>1765</v>
      </c>
      <c r="H797" s="15" t="s">
        <v>1772</v>
      </c>
      <c r="I797" s="1">
        <v>2016</v>
      </c>
      <c r="J797" s="15" t="s">
        <v>1773</v>
      </c>
      <c r="K797" s="1" t="s">
        <v>658</v>
      </c>
      <c r="L797" s="15" t="s">
        <v>1776</v>
      </c>
      <c r="M797" s="15" t="s">
        <v>1775</v>
      </c>
      <c r="N797" s="15" t="s">
        <v>1201</v>
      </c>
      <c r="O797" s="31">
        <v>3</v>
      </c>
      <c r="P797" s="15">
        <f t="shared" si="710"/>
        <v>-37.72</v>
      </c>
      <c r="Q797" s="15">
        <v>145.05000000000001</v>
      </c>
      <c r="R797" s="15">
        <v>83</v>
      </c>
      <c r="S797" s="15">
        <v>666</v>
      </c>
      <c r="T797" s="15">
        <v>14.8</v>
      </c>
      <c r="U797" s="15" t="s">
        <v>549</v>
      </c>
      <c r="V797" s="31">
        <v>1</v>
      </c>
      <c r="W797" s="15" t="s">
        <v>1164</v>
      </c>
      <c r="X797" s="15" t="s">
        <v>1778</v>
      </c>
      <c r="Y797" s="1">
        <v>8</v>
      </c>
      <c r="Z797" s="15">
        <v>4.76</v>
      </c>
      <c r="AA797" s="15" t="s">
        <v>574</v>
      </c>
      <c r="AB797" s="15">
        <f t="shared" si="673"/>
        <v>4.76</v>
      </c>
      <c r="AC797" s="1">
        <v>2</v>
      </c>
      <c r="AD797" s="15">
        <f t="shared" si="711"/>
        <v>35.67</v>
      </c>
      <c r="AJ797" s="15">
        <v>29</v>
      </c>
      <c r="AK797" s="15">
        <v>61</v>
      </c>
      <c r="AL797" s="15">
        <v>10</v>
      </c>
      <c r="AM797" s="1">
        <v>2</v>
      </c>
      <c r="AN797" s="15">
        <v>1.3</v>
      </c>
      <c r="AP797" s="15" t="s">
        <v>1779</v>
      </c>
      <c r="AQ797" s="1">
        <v>8</v>
      </c>
      <c r="AR797" s="1">
        <v>3</v>
      </c>
      <c r="AT797" s="15" t="s">
        <v>576</v>
      </c>
      <c r="AW797" s="15">
        <v>5000</v>
      </c>
      <c r="AX797" s="15">
        <f t="shared" si="712"/>
        <v>5000</v>
      </c>
      <c r="AY797" s="15" t="s">
        <v>766</v>
      </c>
      <c r="AZ797" s="15">
        <f t="shared" si="706"/>
        <v>5000</v>
      </c>
      <c r="BA797" s="15">
        <f t="shared" si="707"/>
        <v>1.7064846416382251</v>
      </c>
      <c r="BB797" s="15">
        <f t="shared" si="708"/>
        <v>3000</v>
      </c>
      <c r="FK797" s="16">
        <f t="shared" si="677"/>
        <v>4.76</v>
      </c>
      <c r="FL797" s="16">
        <f t="shared" si="678"/>
        <v>5.71</v>
      </c>
      <c r="FM797" s="15">
        <f>(4.8+4.72)/2</f>
        <v>4.76</v>
      </c>
      <c r="FN797" s="15">
        <f t="shared" si="713"/>
        <v>0.47599999999999998</v>
      </c>
      <c r="FO797" s="15">
        <f>FN797*SQRT(AR797)</f>
        <v>0.82445618440278545</v>
      </c>
      <c r="FP797" s="15">
        <f>(5.06+6.36)/2</f>
        <v>5.71</v>
      </c>
      <c r="FQ797" s="15">
        <f t="shared" si="714"/>
        <v>0.57100000000000006</v>
      </c>
      <c r="FR797" s="15">
        <f>FQ797*SQRT(AR797)</f>
        <v>0.98900101112182903</v>
      </c>
      <c r="FS797" s="15">
        <f t="shared" si="702"/>
        <v>1.1995798319327731</v>
      </c>
      <c r="FT797" s="15">
        <f t="shared" si="703"/>
        <v>0.95000000000000018</v>
      </c>
      <c r="FU797" s="15">
        <f t="shared" si="704"/>
        <v>0.18197135542459031</v>
      </c>
      <c r="FV797" s="15">
        <f>((FR797*FR797)/(AR797*FP797*FP797)+(FO797*FO797)/(AR797*FM797*FM797))</f>
        <v>0.02</v>
      </c>
      <c r="FX797" s="15">
        <v>34.799999999999997</v>
      </c>
      <c r="FY797" s="15">
        <f t="shared" si="715"/>
        <v>1.74</v>
      </c>
      <c r="FZ797" s="15">
        <f>FY797*SQRT(AR797)</f>
        <v>3.0137684051698463</v>
      </c>
      <c r="GA797" s="15">
        <v>30.9</v>
      </c>
      <c r="GB797" s="15">
        <f t="shared" si="716"/>
        <v>1.5449999999999999</v>
      </c>
      <c r="GC797" s="15">
        <f>GB797*SQRT(AR797)</f>
        <v>2.676018497693915</v>
      </c>
      <c r="GD797" s="15">
        <f t="shared" si="699"/>
        <v>0.88793103448275867</v>
      </c>
      <c r="GE797" s="15">
        <f t="shared" si="700"/>
        <v>-3.8999999999999986</v>
      </c>
      <c r="GF797" s="15">
        <f t="shared" si="701"/>
        <v>-0.11886120287672908</v>
      </c>
      <c r="GG797" s="15">
        <f>((GC797*GC797)/(AR797*GA797*GA797)+(FZ797*FZ797)/(AR797*FX797*FX797))</f>
        <v>4.9999999999999992E-3</v>
      </c>
      <c r="HY797" s="15">
        <f>AZ797</f>
        <v>5000</v>
      </c>
      <c r="HZ797" s="15">
        <f>BA797</f>
        <v>1.7064846416382251</v>
      </c>
      <c r="IA797" s="15">
        <f>BB797</f>
        <v>3000</v>
      </c>
    </row>
    <row r="798" spans="1:235" s="15" customFormat="1" x14ac:dyDescent="0.25">
      <c r="A798" s="31">
        <v>796</v>
      </c>
      <c r="B798" s="1">
        <v>121</v>
      </c>
      <c r="C798" s="1">
        <v>142</v>
      </c>
      <c r="D798" s="15" t="s">
        <v>1769</v>
      </c>
      <c r="E798" s="1">
        <v>1</v>
      </c>
      <c r="F798" s="15" t="s">
        <v>761</v>
      </c>
      <c r="G798" s="15" t="s">
        <v>1765</v>
      </c>
      <c r="H798" s="15" t="s">
        <v>1772</v>
      </c>
      <c r="I798" s="1">
        <v>2016</v>
      </c>
      <c r="J798" s="15" t="s">
        <v>1773</v>
      </c>
      <c r="K798" s="1" t="s">
        <v>1774</v>
      </c>
      <c r="L798" s="15" t="s">
        <v>1776</v>
      </c>
      <c r="M798" s="15" t="s">
        <v>1775</v>
      </c>
      <c r="N798" s="15" t="s">
        <v>1201</v>
      </c>
      <c r="O798" s="31">
        <v>3</v>
      </c>
      <c r="P798" s="15">
        <f t="shared" si="710"/>
        <v>-37.72</v>
      </c>
      <c r="Q798" s="15">
        <v>145.05000000000001</v>
      </c>
      <c r="R798" s="15">
        <v>83</v>
      </c>
      <c r="S798" s="15">
        <v>666</v>
      </c>
      <c r="T798" s="15">
        <v>14.8</v>
      </c>
      <c r="U798" s="15" t="s">
        <v>549</v>
      </c>
      <c r="V798" s="31">
        <v>1</v>
      </c>
      <c r="W798" s="15" t="s">
        <v>1164</v>
      </c>
      <c r="X798" s="15" t="s">
        <v>1778</v>
      </c>
      <c r="Y798" s="1">
        <v>8</v>
      </c>
      <c r="Z798" s="15">
        <v>4.76</v>
      </c>
      <c r="AA798" s="15" t="s">
        <v>574</v>
      </c>
      <c r="AB798" s="15">
        <f t="shared" si="673"/>
        <v>4.76</v>
      </c>
      <c r="AC798" s="1">
        <v>2</v>
      </c>
      <c r="AD798" s="15">
        <f t="shared" si="711"/>
        <v>35.67</v>
      </c>
      <c r="AJ798" s="15">
        <v>29</v>
      </c>
      <c r="AK798" s="15">
        <v>61</v>
      </c>
      <c r="AL798" s="15">
        <v>10</v>
      </c>
      <c r="AM798" s="1">
        <v>2</v>
      </c>
      <c r="AN798" s="15">
        <v>1.3</v>
      </c>
      <c r="AP798" s="15" t="s">
        <v>1779</v>
      </c>
      <c r="AQ798" s="1">
        <v>8</v>
      </c>
      <c r="AR798" s="1">
        <v>3</v>
      </c>
      <c r="AT798" s="15" t="s">
        <v>576</v>
      </c>
      <c r="AW798" s="15">
        <v>10000</v>
      </c>
      <c r="AX798" s="15">
        <f t="shared" si="712"/>
        <v>10000</v>
      </c>
      <c r="AY798" s="15" t="s">
        <v>766</v>
      </c>
      <c r="AZ798" s="15">
        <f t="shared" si="706"/>
        <v>10000</v>
      </c>
      <c r="BA798" s="15">
        <f t="shared" si="707"/>
        <v>3.4129692832764502</v>
      </c>
      <c r="BB798" s="15">
        <f t="shared" si="708"/>
        <v>6000</v>
      </c>
      <c r="FK798" s="16">
        <f t="shared" si="677"/>
        <v>4.76</v>
      </c>
      <c r="FL798" s="16">
        <f t="shared" si="678"/>
        <v>5.82</v>
      </c>
      <c r="FM798" s="15">
        <f>(4.8+4.72)/2</f>
        <v>4.76</v>
      </c>
      <c r="FN798" s="15">
        <f t="shared" si="713"/>
        <v>0.47599999999999998</v>
      </c>
      <c r="FO798" s="15">
        <f>FN798*SQRT(AR798)</f>
        <v>0.82445618440278545</v>
      </c>
      <c r="FP798" s="15">
        <v>5.82</v>
      </c>
      <c r="FQ798" s="15">
        <f t="shared" si="714"/>
        <v>0.58200000000000007</v>
      </c>
      <c r="FR798" s="15">
        <f>FQ798*SQRT(AR798)</f>
        <v>1.0080535700050866</v>
      </c>
      <c r="FS798" s="15">
        <f t="shared" si="702"/>
        <v>1.2226890756302522</v>
      </c>
      <c r="FT798" s="15">
        <f t="shared" si="703"/>
        <v>1.0600000000000005</v>
      </c>
      <c r="FU798" s="15">
        <f t="shared" si="704"/>
        <v>0.20105259350001781</v>
      </c>
      <c r="FV798" s="15">
        <f>((FR798*FR798)/(AR798*FP798*FP798)+(FO798*FO798)/(AR798*FM798*FM798))</f>
        <v>1.9999999999999997E-2</v>
      </c>
      <c r="FX798" s="15">
        <v>34.799999999999997</v>
      </c>
      <c r="FY798" s="15">
        <f t="shared" si="715"/>
        <v>1.74</v>
      </c>
      <c r="FZ798" s="15">
        <f>FY798*SQRT(AR798)</f>
        <v>3.0137684051698463</v>
      </c>
      <c r="GA798" s="15">
        <v>29.1</v>
      </c>
      <c r="GB798" s="15">
        <f t="shared" si="716"/>
        <v>1.4550000000000001</v>
      </c>
      <c r="GC798" s="15">
        <f>GB798*SQRT(AR798)</f>
        <v>2.5201339250127166</v>
      </c>
      <c r="GD798" s="15">
        <f t="shared" si="699"/>
        <v>0.8362068965517242</v>
      </c>
      <c r="GE798" s="15">
        <f t="shared" si="700"/>
        <v>-5.6999999999999957</v>
      </c>
      <c r="GF798" s="15">
        <f t="shared" si="701"/>
        <v>-0.17887921260298167</v>
      </c>
      <c r="GG798" s="15">
        <f>((GC798*GC798)/(AR798*GA798*GA798)+(FZ798*FZ798)/(AR798*FX798*FX798))</f>
        <v>5.0000000000000001E-3</v>
      </c>
      <c r="HY798" s="15">
        <f>AZ798</f>
        <v>10000</v>
      </c>
      <c r="HZ798" s="15">
        <f>BA798</f>
        <v>3.4129692832764502</v>
      </c>
      <c r="IA798" s="15">
        <f>BB798</f>
        <v>6000</v>
      </c>
    </row>
    <row r="799" spans="1:235" s="15" customFormat="1" x14ac:dyDescent="0.25">
      <c r="A799" s="31">
        <v>797</v>
      </c>
      <c r="B799" s="1">
        <v>121</v>
      </c>
      <c r="C799" s="1">
        <v>142</v>
      </c>
      <c r="D799" s="15" t="s">
        <v>1770</v>
      </c>
      <c r="E799" s="1">
        <v>1</v>
      </c>
      <c r="F799" s="15" t="s">
        <v>761</v>
      </c>
      <c r="G799" s="15" t="s">
        <v>1765</v>
      </c>
      <c r="H799" s="15" t="s">
        <v>1772</v>
      </c>
      <c r="I799" s="1">
        <v>2016</v>
      </c>
      <c r="J799" s="15" t="s">
        <v>1773</v>
      </c>
      <c r="K799" s="1" t="s">
        <v>1774</v>
      </c>
      <c r="L799" s="15" t="s">
        <v>1776</v>
      </c>
      <c r="M799" s="15" t="s">
        <v>1775</v>
      </c>
      <c r="N799" s="15" t="s">
        <v>1201</v>
      </c>
      <c r="O799" s="31">
        <v>3</v>
      </c>
      <c r="P799" s="15">
        <f t="shared" si="710"/>
        <v>-37.72</v>
      </c>
      <c r="Q799" s="15">
        <v>145.05000000000001</v>
      </c>
      <c r="R799" s="15">
        <v>83</v>
      </c>
      <c r="S799" s="15">
        <v>666</v>
      </c>
      <c r="T799" s="15">
        <v>14.8</v>
      </c>
      <c r="U799" s="15" t="s">
        <v>549</v>
      </c>
      <c r="V799" s="31">
        <v>1</v>
      </c>
      <c r="W799" s="15" t="s">
        <v>1777</v>
      </c>
      <c r="X799" s="15" t="s">
        <v>1778</v>
      </c>
      <c r="Y799" s="1">
        <v>8</v>
      </c>
      <c r="Z799" s="15">
        <v>4.78</v>
      </c>
      <c r="AA799" s="15" t="s">
        <v>574</v>
      </c>
      <c r="AB799" s="15">
        <f t="shared" si="673"/>
        <v>4.78</v>
      </c>
      <c r="AC799" s="1">
        <v>2</v>
      </c>
      <c r="AD799" s="15">
        <f t="shared" si="711"/>
        <v>35.67</v>
      </c>
      <c r="AJ799" s="15">
        <v>29</v>
      </c>
      <c r="AK799" s="15">
        <v>61</v>
      </c>
      <c r="AL799" s="15">
        <v>10</v>
      </c>
      <c r="AM799" s="1">
        <v>2</v>
      </c>
      <c r="AN799" s="15">
        <v>1.3</v>
      </c>
      <c r="AP799" s="15" t="s">
        <v>1779</v>
      </c>
      <c r="AQ799" s="1">
        <v>8</v>
      </c>
      <c r="AR799" s="1">
        <v>3</v>
      </c>
      <c r="AT799" s="15" t="s">
        <v>576</v>
      </c>
      <c r="AW799" s="15">
        <v>367.64705882352939</v>
      </c>
      <c r="AX799" s="15">
        <f t="shared" si="712"/>
        <v>367.64705882352939</v>
      </c>
      <c r="AY799" s="15" t="s">
        <v>766</v>
      </c>
      <c r="AZ799" s="15">
        <f t="shared" si="706"/>
        <v>367.64705882352939</v>
      </c>
      <c r="BA799" s="15">
        <f t="shared" si="707"/>
        <v>0.1254768118851636</v>
      </c>
      <c r="BB799" s="15">
        <f t="shared" si="708"/>
        <v>220.58823529411762</v>
      </c>
      <c r="FK799" s="16">
        <f t="shared" si="677"/>
        <v>4.78</v>
      </c>
      <c r="FL799" s="16">
        <f t="shared" si="678"/>
        <v>5.35</v>
      </c>
      <c r="FM799" s="15">
        <v>4.78</v>
      </c>
      <c r="FN799" s="15">
        <f t="shared" si="713"/>
        <v>0.47800000000000004</v>
      </c>
      <c r="FO799" s="15">
        <f>FN799*SQRT(AR799)</f>
        <v>0.82792028601792333</v>
      </c>
      <c r="FP799" s="15">
        <v>5.35</v>
      </c>
      <c r="FQ799" s="15">
        <f t="shared" si="714"/>
        <v>0.53500000000000003</v>
      </c>
      <c r="FR799" s="15">
        <f>FQ799*SQRT(AR799)</f>
        <v>0.92664718204934937</v>
      </c>
      <c r="FS799" s="15">
        <f t="shared" si="702"/>
        <v>1.119246861924686</v>
      </c>
      <c r="FT799" s="15">
        <f t="shared" si="703"/>
        <v>0.5699999999999994</v>
      </c>
      <c r="FU799" s="15">
        <f t="shared" si="704"/>
        <v>0.11265601440455053</v>
      </c>
      <c r="FV799" s="15">
        <f>((FR799*FR799)/(AR799*FP799*FP799)+(FO799*FO799)/(AR799*FM799*FM799))</f>
        <v>2.0000000000000004E-2</v>
      </c>
      <c r="FX799" s="15">
        <v>26.3</v>
      </c>
      <c r="FY799" s="15">
        <f t="shared" si="715"/>
        <v>1.3150000000000002</v>
      </c>
      <c r="FZ799" s="15">
        <f>FY799*SQRT(AR799)</f>
        <v>2.2776468119530739</v>
      </c>
      <c r="GA799" s="15">
        <v>24.5</v>
      </c>
      <c r="GB799" s="15">
        <f t="shared" si="716"/>
        <v>1.2250000000000001</v>
      </c>
      <c r="GC799" s="15">
        <f>GB799*SQRT(AR799)</f>
        <v>2.1217622392718747</v>
      </c>
      <c r="GD799" s="15">
        <f t="shared" si="699"/>
        <v>0.9315589353612167</v>
      </c>
      <c r="GE799" s="15">
        <f t="shared" si="700"/>
        <v>-1.8000000000000007</v>
      </c>
      <c r="GF799" s="15">
        <f t="shared" si="701"/>
        <v>-7.0895821633037315E-2</v>
      </c>
      <c r="GG799" s="15">
        <f>((GC799*GC799)/(AR799*GA799*GA799)+(FZ799*FZ799)/(AR799*FX799*FX799))</f>
        <v>5.000000000000001E-3</v>
      </c>
      <c r="HY799" s="15">
        <f>AZ799</f>
        <v>367.64705882352939</v>
      </c>
      <c r="HZ799" s="15">
        <f>BA799</f>
        <v>0.1254768118851636</v>
      </c>
      <c r="IA799" s="15">
        <f>BB799</f>
        <v>220.58823529411762</v>
      </c>
    </row>
    <row r="800" spans="1:235" s="15" customFormat="1" x14ac:dyDescent="0.25">
      <c r="A800" s="31">
        <v>798</v>
      </c>
      <c r="B800" s="1">
        <v>121</v>
      </c>
      <c r="C800" s="1">
        <v>142</v>
      </c>
      <c r="D800" s="15" t="s">
        <v>1771</v>
      </c>
      <c r="E800" s="1">
        <v>1</v>
      </c>
      <c r="F800" s="15" t="s">
        <v>761</v>
      </c>
      <c r="G800" s="15" t="s">
        <v>1765</v>
      </c>
      <c r="H800" s="15" t="s">
        <v>1772</v>
      </c>
      <c r="I800" s="1">
        <v>2016</v>
      </c>
      <c r="J800" s="15" t="s">
        <v>1773</v>
      </c>
      <c r="K800" s="1" t="s">
        <v>1774</v>
      </c>
      <c r="L800" s="15" t="s">
        <v>1776</v>
      </c>
      <c r="M800" s="15" t="s">
        <v>1775</v>
      </c>
      <c r="N800" s="15" t="s">
        <v>1201</v>
      </c>
      <c r="O800" s="31">
        <v>3</v>
      </c>
      <c r="P800" s="15">
        <f t="shared" si="710"/>
        <v>-37.72</v>
      </c>
      <c r="Q800" s="15">
        <v>145.05000000000001</v>
      </c>
      <c r="R800" s="15">
        <v>83</v>
      </c>
      <c r="S800" s="15">
        <v>666</v>
      </c>
      <c r="T800" s="15">
        <v>14.8</v>
      </c>
      <c r="U800" s="15" t="s">
        <v>549</v>
      </c>
      <c r="V800" s="31">
        <v>1</v>
      </c>
      <c r="W800" s="15" t="s">
        <v>1777</v>
      </c>
      <c r="X800" s="15" t="s">
        <v>1778</v>
      </c>
      <c r="Y800" s="1">
        <v>8</v>
      </c>
      <c r="Z800" s="15">
        <v>4.78</v>
      </c>
      <c r="AA800" s="15" t="s">
        <v>574</v>
      </c>
      <c r="AB800" s="15">
        <f t="shared" si="673"/>
        <v>4.78</v>
      </c>
      <c r="AC800" s="1">
        <v>2</v>
      </c>
      <c r="AD800" s="15">
        <f t="shared" si="711"/>
        <v>35.67</v>
      </c>
      <c r="AJ800" s="15">
        <v>29</v>
      </c>
      <c r="AK800" s="15">
        <v>61</v>
      </c>
      <c r="AL800" s="15">
        <v>10</v>
      </c>
      <c r="AM800" s="1">
        <v>2</v>
      </c>
      <c r="AN800" s="15">
        <v>1.3</v>
      </c>
      <c r="AP800" s="15" t="s">
        <v>1779</v>
      </c>
      <c r="AQ800" s="1">
        <v>8</v>
      </c>
      <c r="AR800" s="1">
        <v>3</v>
      </c>
      <c r="AT800" s="15" t="s">
        <v>576</v>
      </c>
      <c r="AW800" s="15">
        <v>735.29411764705878</v>
      </c>
      <c r="AX800" s="15">
        <f t="shared" si="712"/>
        <v>735.29411764705878</v>
      </c>
      <c r="AY800" s="15" t="s">
        <v>766</v>
      </c>
      <c r="AZ800" s="15">
        <f t="shared" si="706"/>
        <v>735.29411764705878</v>
      </c>
      <c r="BA800" s="15">
        <f t="shared" si="707"/>
        <v>0.25095362377032721</v>
      </c>
      <c r="BB800" s="15">
        <f t="shared" si="708"/>
        <v>441.17647058823525</v>
      </c>
      <c r="FK800" s="16">
        <f t="shared" si="677"/>
        <v>4.78</v>
      </c>
      <c r="FL800" s="16">
        <f t="shared" si="678"/>
        <v>5.82</v>
      </c>
      <c r="FM800" s="15">
        <v>4.78</v>
      </c>
      <c r="FN800" s="15">
        <f t="shared" si="713"/>
        <v>0.47800000000000004</v>
      </c>
      <c r="FO800" s="15">
        <f>FN800*SQRT(AR800)</f>
        <v>0.82792028601792333</v>
      </c>
      <c r="FP800" s="15">
        <v>5.82</v>
      </c>
      <c r="FQ800" s="15">
        <f t="shared" si="714"/>
        <v>0.58200000000000007</v>
      </c>
      <c r="FR800" s="15">
        <f>FQ800*SQRT(AR800)</f>
        <v>1.0080535700050866</v>
      </c>
      <c r="FS800" s="15">
        <f t="shared" si="702"/>
        <v>1.2175732217573221</v>
      </c>
      <c r="FT800" s="15">
        <f t="shared" si="703"/>
        <v>1.04</v>
      </c>
      <c r="FU800" s="15">
        <f t="shared" si="704"/>
        <v>0.1968597152399818</v>
      </c>
      <c r="FV800" s="15">
        <f>((FR800*FR800)/(AR800*FP800*FP800)+(FO800*FO800)/(AR800*FM800*FM800))</f>
        <v>1.9999999999999997E-2</v>
      </c>
      <c r="FX800" s="15">
        <v>26.3</v>
      </c>
      <c r="FY800" s="15">
        <f t="shared" si="715"/>
        <v>1.3150000000000002</v>
      </c>
      <c r="FZ800" s="15">
        <f>FY800*SQRT(AR800)</f>
        <v>2.2776468119530739</v>
      </c>
      <c r="GA800" s="15">
        <v>23.6</v>
      </c>
      <c r="GB800" s="15">
        <f t="shared" si="716"/>
        <v>1.1800000000000002</v>
      </c>
      <c r="GC800" s="15">
        <f>GB800*SQRT(AR800)</f>
        <v>2.0438199529312753</v>
      </c>
      <c r="GD800" s="15">
        <f t="shared" si="699"/>
        <v>0.89733840304182511</v>
      </c>
      <c r="GE800" s="15">
        <f t="shared" si="700"/>
        <v>-2.6999999999999993</v>
      </c>
      <c r="GF800" s="15">
        <f t="shared" si="701"/>
        <v>-0.10832222715215423</v>
      </c>
      <c r="GG800" s="15">
        <f>((GC800*GC800)/(AR800*GA800*GA800)+(FZ800*FZ800)/(AR800*FX800*FX800))</f>
        <v>5.0000000000000001E-3</v>
      </c>
      <c r="HY800" s="15">
        <f>AZ800</f>
        <v>735.29411764705878</v>
      </c>
      <c r="HZ800" s="15">
        <f>BA800</f>
        <v>0.25095362377032721</v>
      </c>
      <c r="IA800" s="15">
        <f>BB800</f>
        <v>441.17647058823525</v>
      </c>
    </row>
    <row r="801" spans="1:235" s="15" customFormat="1" x14ac:dyDescent="0.25">
      <c r="A801" s="31">
        <v>799</v>
      </c>
      <c r="B801" s="1">
        <v>121</v>
      </c>
      <c r="C801" s="1">
        <v>142</v>
      </c>
      <c r="D801" s="15" t="s">
        <v>1780</v>
      </c>
      <c r="E801" s="1">
        <v>1</v>
      </c>
      <c r="F801" s="15" t="s">
        <v>761</v>
      </c>
      <c r="G801" s="15" t="s">
        <v>1765</v>
      </c>
      <c r="H801" s="15" t="s">
        <v>1772</v>
      </c>
      <c r="I801" s="1">
        <v>2016</v>
      </c>
      <c r="J801" s="15" t="s">
        <v>1773</v>
      </c>
      <c r="K801" s="1" t="s">
        <v>1774</v>
      </c>
      <c r="L801" s="15" t="s">
        <v>1776</v>
      </c>
      <c r="M801" s="15" t="s">
        <v>1775</v>
      </c>
      <c r="N801" s="15" t="s">
        <v>1201</v>
      </c>
      <c r="O801" s="31">
        <v>3</v>
      </c>
      <c r="P801" s="15">
        <f t="shared" si="710"/>
        <v>-37.72</v>
      </c>
      <c r="Q801" s="15">
        <v>145.05000000000001</v>
      </c>
      <c r="R801" s="15">
        <v>83</v>
      </c>
      <c r="S801" s="15">
        <v>666</v>
      </c>
      <c r="T801" s="15">
        <v>14.8</v>
      </c>
      <c r="U801" s="15" t="s">
        <v>549</v>
      </c>
      <c r="V801" s="31">
        <v>1</v>
      </c>
      <c r="W801" s="15" t="s">
        <v>1777</v>
      </c>
      <c r="X801" s="15" t="s">
        <v>1778</v>
      </c>
      <c r="Y801" s="1">
        <v>8</v>
      </c>
      <c r="Z801" s="15">
        <v>4.78</v>
      </c>
      <c r="AA801" s="15" t="s">
        <v>574</v>
      </c>
      <c r="AB801" s="15">
        <f t="shared" si="673"/>
        <v>4.78</v>
      </c>
      <c r="AC801" s="1">
        <v>2</v>
      </c>
      <c r="AD801" s="15">
        <f t="shared" si="711"/>
        <v>35.67</v>
      </c>
      <c r="AJ801" s="15">
        <v>29</v>
      </c>
      <c r="AK801" s="15">
        <v>61</v>
      </c>
      <c r="AL801" s="15">
        <v>10</v>
      </c>
      <c r="AM801" s="1">
        <v>2</v>
      </c>
      <c r="AN801" s="15">
        <v>1.3</v>
      </c>
      <c r="AP801" s="15" t="s">
        <v>1779</v>
      </c>
      <c r="AQ801" s="1">
        <v>8</v>
      </c>
      <c r="AR801" s="1">
        <v>3</v>
      </c>
      <c r="AT801" s="15" t="s">
        <v>576</v>
      </c>
      <c r="AW801" s="15">
        <v>2205.8823529411766</v>
      </c>
      <c r="AX801" s="15">
        <f t="shared" si="712"/>
        <v>2205.8823529411766</v>
      </c>
      <c r="AY801" s="15" t="s">
        <v>766</v>
      </c>
      <c r="AZ801" s="15">
        <f t="shared" si="706"/>
        <v>2205.8823529411766</v>
      </c>
      <c r="BA801" s="15">
        <f t="shared" si="707"/>
        <v>0.75286087131098167</v>
      </c>
      <c r="BB801" s="15">
        <f t="shared" si="708"/>
        <v>1323.5294117647059</v>
      </c>
      <c r="FK801" s="16">
        <f t="shared" si="677"/>
        <v>4.78</v>
      </c>
      <c r="FL801" s="16">
        <f t="shared" si="678"/>
        <v>6.01</v>
      </c>
      <c r="FM801" s="15">
        <v>4.78</v>
      </c>
      <c r="FN801" s="15">
        <f t="shared" si="713"/>
        <v>0.47800000000000004</v>
      </c>
      <c r="FO801" s="15">
        <f>FN801*SQRT(AR801)</f>
        <v>0.82792028601792333</v>
      </c>
      <c r="FP801" s="15">
        <v>6.01</v>
      </c>
      <c r="FQ801" s="15">
        <f t="shared" si="714"/>
        <v>0.60099999999999998</v>
      </c>
      <c r="FR801" s="15">
        <f>FQ801*SQRT(AR801)</f>
        <v>1.0409625353488952</v>
      </c>
      <c r="FS801" s="15">
        <f t="shared" si="702"/>
        <v>1.2573221757322175</v>
      </c>
      <c r="FT801" s="15">
        <f t="shared" si="703"/>
        <v>1.2299999999999995</v>
      </c>
      <c r="FU801" s="15">
        <f t="shared" si="704"/>
        <v>0.22898420204375158</v>
      </c>
      <c r="FV801" s="15">
        <f>((FR801*FR801)/(AR801*FP801*FP801)+(FO801*FO801)/(AR801*FM801*FM801))</f>
        <v>1.9999999999999997E-2</v>
      </c>
      <c r="FX801" s="15">
        <v>26.3</v>
      </c>
      <c r="FY801" s="15">
        <f t="shared" si="715"/>
        <v>1.3150000000000002</v>
      </c>
      <c r="FZ801" s="15">
        <f>FY801*SQRT(AR801)</f>
        <v>2.2776468119530739</v>
      </c>
      <c r="GA801" s="15">
        <v>23</v>
      </c>
      <c r="GB801" s="15">
        <f t="shared" si="716"/>
        <v>1.1500000000000001</v>
      </c>
      <c r="GC801" s="15">
        <f>GB801*SQRT(AR801)</f>
        <v>1.9918584287042089</v>
      </c>
      <c r="GD801" s="15">
        <f t="shared" si="699"/>
        <v>0.87452471482889726</v>
      </c>
      <c r="GE801" s="15">
        <f t="shared" si="700"/>
        <v>-3.3000000000000007</v>
      </c>
      <c r="GF801" s="15">
        <f t="shared" si="701"/>
        <v>-0.13407472325456915</v>
      </c>
      <c r="GG801" s="15">
        <f>((GC801*GC801)/(AR801*GA801*GA801)+(FZ801*FZ801)/(AR801*FX801*FX801))</f>
        <v>5.000000000000001E-3</v>
      </c>
      <c r="HY801" s="25">
        <f>CY801</f>
        <v>0</v>
      </c>
      <c r="HZ801" s="25">
        <f>CZ801</f>
        <v>0</v>
      </c>
      <c r="IA801" s="25">
        <f>DA801</f>
        <v>0</v>
      </c>
    </row>
    <row r="802" spans="1:235" s="15" customFormat="1" x14ac:dyDescent="0.25">
      <c r="A802" s="31">
        <v>800</v>
      </c>
      <c r="B802" s="1">
        <v>121</v>
      </c>
      <c r="C802" s="1">
        <v>142</v>
      </c>
      <c r="D802" s="15" t="s">
        <v>1781</v>
      </c>
      <c r="E802" s="1">
        <v>1</v>
      </c>
      <c r="F802" s="15" t="s">
        <v>761</v>
      </c>
      <c r="G802" s="15" t="s">
        <v>1765</v>
      </c>
      <c r="H802" s="15" t="s">
        <v>1772</v>
      </c>
      <c r="I802" s="1">
        <v>2016</v>
      </c>
      <c r="J802" s="15" t="s">
        <v>1773</v>
      </c>
      <c r="K802" s="1" t="s">
        <v>1774</v>
      </c>
      <c r="L802" s="15" t="s">
        <v>1776</v>
      </c>
      <c r="M802" s="15" t="s">
        <v>1775</v>
      </c>
      <c r="N802" s="15" t="s">
        <v>1201</v>
      </c>
      <c r="O802" s="31">
        <v>3</v>
      </c>
      <c r="P802" s="15">
        <f t="shared" si="710"/>
        <v>-37.72</v>
      </c>
      <c r="Q802" s="15">
        <v>145.05000000000001</v>
      </c>
      <c r="R802" s="15">
        <v>83</v>
      </c>
      <c r="S802" s="15">
        <v>666</v>
      </c>
      <c r="T802" s="15">
        <v>14.8</v>
      </c>
      <c r="U802" s="15" t="s">
        <v>549</v>
      </c>
      <c r="V802" s="31">
        <v>1</v>
      </c>
      <c r="W802" s="15" t="s">
        <v>1777</v>
      </c>
      <c r="X802" s="15" t="s">
        <v>1778</v>
      </c>
      <c r="Y802" s="1">
        <v>8</v>
      </c>
      <c r="Z802" s="15">
        <v>4.78</v>
      </c>
      <c r="AA802" s="15" t="s">
        <v>574</v>
      </c>
      <c r="AB802" s="15">
        <f t="shared" si="673"/>
        <v>4.78</v>
      </c>
      <c r="AC802" s="1">
        <v>2</v>
      </c>
      <c r="AD802" s="15">
        <f t="shared" si="711"/>
        <v>35.67</v>
      </c>
      <c r="AJ802" s="15">
        <v>29</v>
      </c>
      <c r="AK802" s="15">
        <v>61</v>
      </c>
      <c r="AL802" s="15">
        <v>10</v>
      </c>
      <c r="AM802" s="1">
        <v>2</v>
      </c>
      <c r="AN802" s="15">
        <v>1.3</v>
      </c>
      <c r="AP802" s="15" t="s">
        <v>1779</v>
      </c>
      <c r="AQ802" s="1">
        <v>8</v>
      </c>
      <c r="AR802" s="1">
        <v>3</v>
      </c>
      <c r="AT802" s="15" t="s">
        <v>576</v>
      </c>
      <c r="AW802" s="15">
        <v>2941.1764705882351</v>
      </c>
      <c r="AX802" s="15">
        <f t="shared" si="712"/>
        <v>2941.1764705882351</v>
      </c>
      <c r="AY802" s="15" t="s">
        <v>766</v>
      </c>
      <c r="AZ802" s="15">
        <f t="shared" si="706"/>
        <v>2941.1764705882351</v>
      </c>
      <c r="BA802" s="15">
        <f t="shared" si="707"/>
        <v>1.0038144950813088</v>
      </c>
      <c r="BB802" s="15">
        <f t="shared" si="708"/>
        <v>1764.705882352941</v>
      </c>
      <c r="FK802" s="16">
        <f t="shared" si="677"/>
        <v>4.78</v>
      </c>
      <c r="FL802" s="16">
        <f t="shared" si="678"/>
        <v>6.32</v>
      </c>
      <c r="FM802" s="15">
        <v>4.78</v>
      </c>
      <c r="FN802" s="15">
        <f t="shared" si="713"/>
        <v>0.47800000000000004</v>
      </c>
      <c r="FO802" s="15">
        <f>FN802*SQRT(AR802)</f>
        <v>0.82792028601792333</v>
      </c>
      <c r="FP802" s="15">
        <v>6.32</v>
      </c>
      <c r="FQ802" s="15">
        <f t="shared" si="714"/>
        <v>0.63200000000000012</v>
      </c>
      <c r="FR802" s="15">
        <f>FQ802*SQRT(AR802)</f>
        <v>1.0946561103835306</v>
      </c>
      <c r="FS802" s="15">
        <f t="shared" si="702"/>
        <v>1.3221757322175731</v>
      </c>
      <c r="FT802" s="15">
        <f t="shared" si="703"/>
        <v>1.54</v>
      </c>
      <c r="FU802" s="15">
        <f t="shared" si="704"/>
        <v>0.27927866165540149</v>
      </c>
      <c r="FV802" s="15">
        <f>((FR802*FR802)/(AR802*FP802*FP802)+(FO802*FO802)/(AR802*FM802*FM802))</f>
        <v>2.0000000000000004E-2</v>
      </c>
      <c r="FX802" s="15">
        <v>26.3</v>
      </c>
      <c r="FY802" s="15">
        <f t="shared" si="715"/>
        <v>1.3150000000000002</v>
      </c>
      <c r="FZ802" s="15">
        <f>FY802*SQRT(AR802)</f>
        <v>2.2776468119530739</v>
      </c>
      <c r="GA802" s="15">
        <v>22.1</v>
      </c>
      <c r="GB802" s="15">
        <f t="shared" si="716"/>
        <v>1.1050000000000002</v>
      </c>
      <c r="GC802" s="15">
        <f>GB802*SQRT(AR802)</f>
        <v>1.9139161423636097</v>
      </c>
      <c r="GD802" s="15">
        <f t="shared" si="699"/>
        <v>0.84030418250950578</v>
      </c>
      <c r="GE802" s="15">
        <f t="shared" si="700"/>
        <v>-4.1999999999999993</v>
      </c>
      <c r="GF802" s="15">
        <f t="shared" si="701"/>
        <v>-0.17399133066001182</v>
      </c>
      <c r="GG802" s="15">
        <f>((GC802*GC802)/(AR802*GA802*GA802)+(FZ802*FZ802)/(AR802*FX802*FX802))</f>
        <v>5.000000000000001E-3</v>
      </c>
      <c r="HY802" s="15">
        <f>AZ802</f>
        <v>2941.1764705882351</v>
      </c>
      <c r="HZ802" s="15">
        <f>BA802</f>
        <v>1.0038144950813088</v>
      </c>
      <c r="IA802" s="15">
        <f>BB802</f>
        <v>1764.705882352941</v>
      </c>
    </row>
    <row r="803" spans="1:235" s="15" customFormat="1" x14ac:dyDescent="0.25">
      <c r="A803" s="31">
        <v>801</v>
      </c>
      <c r="B803" s="43">
        <v>122</v>
      </c>
      <c r="C803" s="1">
        <v>143</v>
      </c>
      <c r="D803" s="15" t="s">
        <v>1788</v>
      </c>
      <c r="E803" s="31">
        <v>1</v>
      </c>
      <c r="F803" s="15" t="s">
        <v>761</v>
      </c>
      <c r="G803" s="15" t="s">
        <v>1829</v>
      </c>
      <c r="H803" s="15" t="s">
        <v>1830</v>
      </c>
      <c r="I803" s="31">
        <v>2020</v>
      </c>
      <c r="J803" s="15" t="s">
        <v>1324</v>
      </c>
      <c r="K803" s="1" t="s">
        <v>1863</v>
      </c>
      <c r="L803" s="15" t="s">
        <v>1258</v>
      </c>
      <c r="M803" s="15" t="s">
        <v>480</v>
      </c>
      <c r="N803" s="15" t="s">
        <v>23</v>
      </c>
      <c r="O803" s="31">
        <v>2</v>
      </c>
      <c r="P803" s="15">
        <v>27.29</v>
      </c>
      <c r="Q803" s="15">
        <v>119.32</v>
      </c>
      <c r="R803" s="15">
        <v>853</v>
      </c>
      <c r="S803" s="15">
        <v>1556</v>
      </c>
      <c r="T803" s="15">
        <v>14.2</v>
      </c>
      <c r="U803" s="15" t="s">
        <v>1893</v>
      </c>
      <c r="V803" s="31">
        <v>1</v>
      </c>
      <c r="W803" s="16" t="s">
        <v>1894</v>
      </c>
      <c r="X803" s="15" t="s">
        <v>1900</v>
      </c>
      <c r="Y803" s="1">
        <v>1</v>
      </c>
      <c r="Z803" s="15">
        <v>4.95</v>
      </c>
      <c r="AA803" s="15" t="s">
        <v>573</v>
      </c>
      <c r="AB803" s="15">
        <f t="shared" si="673"/>
        <v>4.95</v>
      </c>
      <c r="AC803" s="1">
        <v>2</v>
      </c>
      <c r="AD803" s="15">
        <v>26.2</v>
      </c>
      <c r="AF803" s="15">
        <v>7.9</v>
      </c>
      <c r="AM803" s="1"/>
      <c r="AP803" s="15" t="s">
        <v>1912</v>
      </c>
      <c r="AQ803" s="1">
        <v>5</v>
      </c>
      <c r="AR803" s="1">
        <v>3</v>
      </c>
      <c r="AT803" s="15" t="s">
        <v>576</v>
      </c>
      <c r="AW803" s="15">
        <v>1500</v>
      </c>
      <c r="AX803" s="15">
        <f t="shared" si="712"/>
        <v>1500</v>
      </c>
      <c r="AY803" s="15" t="s">
        <v>766</v>
      </c>
      <c r="AZ803" s="15">
        <f t="shared" si="706"/>
        <v>1500</v>
      </c>
      <c r="BA803" s="15">
        <f t="shared" si="707"/>
        <v>0.51194539249146753</v>
      </c>
      <c r="BB803" s="15">
        <f t="shared" si="708"/>
        <v>900</v>
      </c>
      <c r="BP803" s="16"/>
      <c r="BQ803" s="16"/>
      <c r="BR803" s="16"/>
      <c r="BU803" s="16"/>
      <c r="EZ803" s="16"/>
      <c r="FA803" s="16"/>
      <c r="FB803" s="16"/>
      <c r="FC803" s="16"/>
      <c r="FD803" s="16"/>
      <c r="FE803" s="16"/>
      <c r="FF803" s="16"/>
      <c r="FG803" s="16"/>
      <c r="FH803" s="16"/>
      <c r="FI803" s="16"/>
      <c r="FJ803" s="16"/>
      <c r="FK803" s="16">
        <f t="shared" si="677"/>
        <v>4.82</v>
      </c>
      <c r="FL803" s="16">
        <f t="shared" si="678"/>
        <v>5.32</v>
      </c>
      <c r="FM803" s="15">
        <v>4.82</v>
      </c>
      <c r="FN803" s="15">
        <f t="shared" si="713"/>
        <v>0.48200000000000004</v>
      </c>
      <c r="FO803" s="15">
        <f>FN803*SQRT(AR803)</f>
        <v>0.83484848924819888</v>
      </c>
      <c r="FP803" s="15">
        <v>5.32</v>
      </c>
      <c r="FQ803" s="15">
        <f t="shared" si="714"/>
        <v>0.53200000000000003</v>
      </c>
      <c r="FR803" s="15">
        <f>FQ803*SQRT(AR803)</f>
        <v>0.92145102962664271</v>
      </c>
      <c r="FS803" s="15">
        <f t="shared" si="702"/>
        <v>1.103734439834025</v>
      </c>
      <c r="FT803" s="15">
        <f t="shared" si="703"/>
        <v>0.5</v>
      </c>
      <c r="FU803" s="15">
        <f t="shared" si="704"/>
        <v>9.8699375291044111E-2</v>
      </c>
      <c r="FV803" s="15">
        <f>((FR803*FR803)/(AR803*FP803*FP803)+(FO803*FO803)/(AR803*FM803*FM803))</f>
        <v>1.9999999999999997E-2</v>
      </c>
      <c r="HE803" s="15">
        <v>6155.6</v>
      </c>
      <c r="HF803" s="15">
        <f t="shared" ref="HF803:HF830" si="717">HE803*0.05</f>
        <v>307.78000000000003</v>
      </c>
      <c r="HG803" s="15">
        <f>HF803*SQRT(AR803)</f>
        <v>533.09059755354906</v>
      </c>
      <c r="HH803" s="15">
        <v>6690.6</v>
      </c>
      <c r="HI803" s="15">
        <f t="shared" ref="HI803:HI830" si="718">HH803*0.05</f>
        <v>334.53000000000003</v>
      </c>
      <c r="HJ803" s="15">
        <f>HI803*SQRT(AR803)</f>
        <v>579.42295665601659</v>
      </c>
      <c r="HK803" s="15">
        <f t="shared" ref="HK803:HK866" si="719">HH803/HE803</f>
        <v>1.0869127298719865</v>
      </c>
      <c r="HL803" s="15">
        <f t="shared" ref="HL803:HL866" si="720">HH803-HE803</f>
        <v>535</v>
      </c>
      <c r="HM803" s="15">
        <f t="shared" ref="HM803:HM866" si="721">LN(HH803)-LN(HE803)</f>
        <v>8.3341319609674613E-2</v>
      </c>
      <c r="HN803" s="15">
        <f>((HJ803*HJ803)/(AR803*HH803*HH803)+(HG803*HG803)/(AR803*HE803*HE803))</f>
        <v>5.0000000000000001E-3</v>
      </c>
      <c r="HP803" s="15" t="s">
        <v>766</v>
      </c>
      <c r="HV803" s="15">
        <f t="shared" ref="HV803:HV866" si="722">HX803/HW803/100</f>
        <v>107.9896507776827</v>
      </c>
      <c r="HW803" s="15">
        <f t="shared" ref="HW803:HW834" si="723">HM803</f>
        <v>8.3341319609674613E-2</v>
      </c>
      <c r="HX803" s="15">
        <f>BB803</f>
        <v>900</v>
      </c>
      <c r="HY803" s="15">
        <f>AZ803</f>
        <v>1500</v>
      </c>
      <c r="HZ803" s="15">
        <f>BA803</f>
        <v>0.51194539249146753</v>
      </c>
      <c r="IA803" s="15">
        <f>BB803</f>
        <v>900</v>
      </c>
    </row>
    <row r="804" spans="1:235" s="15" customFormat="1" x14ac:dyDescent="0.25">
      <c r="A804" s="31">
        <v>802</v>
      </c>
      <c r="B804" s="1">
        <v>122</v>
      </c>
      <c r="C804" s="1">
        <v>143</v>
      </c>
      <c r="D804" s="15" t="s">
        <v>1789</v>
      </c>
      <c r="E804" s="31">
        <v>1</v>
      </c>
      <c r="F804" s="15" t="s">
        <v>761</v>
      </c>
      <c r="G804" s="15" t="s">
        <v>1829</v>
      </c>
      <c r="H804" s="15" t="s">
        <v>1830</v>
      </c>
      <c r="I804" s="31">
        <v>2020</v>
      </c>
      <c r="J804" s="15" t="s">
        <v>1324</v>
      </c>
      <c r="K804" s="1" t="s">
        <v>1863</v>
      </c>
      <c r="L804" s="15" t="s">
        <v>1258</v>
      </c>
      <c r="M804" s="15" t="s">
        <v>480</v>
      </c>
      <c r="N804" s="15" t="s">
        <v>23</v>
      </c>
      <c r="O804" s="31">
        <v>2</v>
      </c>
      <c r="P804" s="15">
        <v>27.29</v>
      </c>
      <c r="Q804" s="15">
        <v>119.32</v>
      </c>
      <c r="R804" s="15">
        <v>853</v>
      </c>
      <c r="S804" s="15">
        <v>1556</v>
      </c>
      <c r="T804" s="15">
        <v>14.2</v>
      </c>
      <c r="U804" s="15" t="s">
        <v>1893</v>
      </c>
      <c r="V804" s="31">
        <v>1</v>
      </c>
      <c r="W804" s="16" t="s">
        <v>1894</v>
      </c>
      <c r="X804" s="15" t="s">
        <v>1900</v>
      </c>
      <c r="Y804" s="57">
        <v>1</v>
      </c>
      <c r="Z804" s="15">
        <v>4.95</v>
      </c>
      <c r="AA804" s="15" t="s">
        <v>573</v>
      </c>
      <c r="AB804" s="15">
        <f t="shared" si="673"/>
        <v>4.95</v>
      </c>
      <c r="AC804" s="57">
        <v>2</v>
      </c>
      <c r="AD804" s="15">
        <v>26.2</v>
      </c>
      <c r="AF804" s="15">
        <v>7.9</v>
      </c>
      <c r="AM804" s="1"/>
      <c r="AQ804" s="1"/>
      <c r="AR804" s="1">
        <v>3</v>
      </c>
      <c r="AT804" s="15" t="s">
        <v>576</v>
      </c>
      <c r="AW804" s="15">
        <v>3000</v>
      </c>
      <c r="AX804" s="25">
        <f t="shared" si="712"/>
        <v>3000</v>
      </c>
      <c r="AY804" s="15" t="s">
        <v>766</v>
      </c>
      <c r="AZ804" s="15">
        <f t="shared" si="706"/>
        <v>3000</v>
      </c>
      <c r="BA804" s="15">
        <f t="shared" si="707"/>
        <v>1.0238907849829351</v>
      </c>
      <c r="BB804" s="15">
        <f t="shared" si="708"/>
        <v>1800</v>
      </c>
      <c r="BP804" s="16"/>
      <c r="BQ804" s="16"/>
      <c r="BR804" s="16"/>
      <c r="BU804" s="16"/>
      <c r="EZ804" s="16"/>
      <c r="FA804" s="16"/>
      <c r="FB804" s="16"/>
      <c r="FC804" s="16"/>
      <c r="FD804" s="16"/>
      <c r="FE804" s="16"/>
      <c r="FF804" s="16"/>
      <c r="FG804" s="16"/>
      <c r="FH804" s="16"/>
      <c r="FI804" s="16"/>
      <c r="FJ804" s="16"/>
      <c r="FK804" s="16">
        <f t="shared" si="677"/>
        <v>4.82</v>
      </c>
      <c r="FL804" s="16">
        <f t="shared" si="678"/>
        <v>5.69</v>
      </c>
      <c r="FM804" s="15">
        <v>4.82</v>
      </c>
      <c r="FN804" s="15">
        <f t="shared" si="713"/>
        <v>0.48200000000000004</v>
      </c>
      <c r="FO804" s="15">
        <f>FN804*SQRT(AR804)</f>
        <v>0.83484848924819888</v>
      </c>
      <c r="FP804" s="15">
        <v>5.69</v>
      </c>
      <c r="FQ804" s="15">
        <f t="shared" si="714"/>
        <v>0.56900000000000006</v>
      </c>
      <c r="FR804" s="15">
        <f>FQ804*SQRT(AR804)</f>
        <v>0.98553690950669126</v>
      </c>
      <c r="FS804" s="15">
        <f t="shared" si="702"/>
        <v>1.1804979253112033</v>
      </c>
      <c r="FT804" s="15">
        <f t="shared" si="703"/>
        <v>0.87000000000000011</v>
      </c>
      <c r="FU804" s="15">
        <f t="shared" si="704"/>
        <v>0.16593632007573067</v>
      </c>
      <c r="FV804" s="15">
        <f>((FR804*FR804)/(AR804*FP804*FP804)+(FO804*FO804)/(AR804*FM804*FM804))</f>
        <v>1.9999999999999997E-2</v>
      </c>
      <c r="HE804" s="25">
        <v>6155.6</v>
      </c>
      <c r="HF804" s="15">
        <f t="shared" si="717"/>
        <v>307.78000000000003</v>
      </c>
      <c r="HG804" s="15">
        <f>HF804*SQRT(AR804)</f>
        <v>533.09059755354906</v>
      </c>
      <c r="HH804" s="15">
        <v>6973.4</v>
      </c>
      <c r="HI804" s="15">
        <f t="shared" si="718"/>
        <v>348.67</v>
      </c>
      <c r="HJ804" s="15">
        <f>HI804*SQRT(AR804)</f>
        <v>603.91415507504041</v>
      </c>
      <c r="HK804" s="15">
        <f t="shared" si="719"/>
        <v>1.1328546364286176</v>
      </c>
      <c r="HL804" s="15">
        <f t="shared" si="720"/>
        <v>817.79999999999927</v>
      </c>
      <c r="HM804" s="15">
        <f t="shared" si="721"/>
        <v>0.12474067410479961</v>
      </c>
      <c r="HN804" s="15">
        <f>((HJ804*HJ804)/(AR804*HH804*HH804)+(HG804*HG804)/(AR804*HE804*HE804))</f>
        <v>4.9999999999999992E-3</v>
      </c>
      <c r="HP804" s="15" t="s">
        <v>766</v>
      </c>
      <c r="HV804" s="15">
        <f t="shared" si="722"/>
        <v>144.2993644949961</v>
      </c>
      <c r="HW804" s="15">
        <f t="shared" si="723"/>
        <v>0.12474067410479961</v>
      </c>
      <c r="HX804" s="15">
        <f>BB804</f>
        <v>1800</v>
      </c>
      <c r="HY804" s="15">
        <f>AZ804</f>
        <v>3000</v>
      </c>
      <c r="HZ804" s="15">
        <f>BA804</f>
        <v>1.0238907849829351</v>
      </c>
      <c r="IA804" s="15">
        <f>BB804</f>
        <v>1800</v>
      </c>
    </row>
    <row r="805" spans="1:235" s="15" customFormat="1" x14ac:dyDescent="0.25">
      <c r="A805" s="31">
        <v>803</v>
      </c>
      <c r="B805" s="1">
        <v>122</v>
      </c>
      <c r="C805" s="1">
        <v>143</v>
      </c>
      <c r="D805" s="15" t="s">
        <v>1790</v>
      </c>
      <c r="E805" s="31">
        <v>1</v>
      </c>
      <c r="F805" s="15" t="s">
        <v>761</v>
      </c>
      <c r="G805" s="15" t="s">
        <v>1829</v>
      </c>
      <c r="H805" s="15" t="s">
        <v>1830</v>
      </c>
      <c r="I805" s="31">
        <v>2020</v>
      </c>
      <c r="J805" s="15" t="s">
        <v>1324</v>
      </c>
      <c r="K805" s="1" t="s">
        <v>1863</v>
      </c>
      <c r="L805" s="15" t="s">
        <v>1258</v>
      </c>
      <c r="M805" s="15" t="s">
        <v>480</v>
      </c>
      <c r="N805" s="15" t="s">
        <v>23</v>
      </c>
      <c r="O805" s="31">
        <v>2</v>
      </c>
      <c r="P805" s="15">
        <v>27.29</v>
      </c>
      <c r="Q805" s="15">
        <v>119.32</v>
      </c>
      <c r="R805" s="15">
        <v>853</v>
      </c>
      <c r="S805" s="15">
        <v>1556</v>
      </c>
      <c r="T805" s="15">
        <v>14.2</v>
      </c>
      <c r="U805" s="15" t="s">
        <v>1893</v>
      </c>
      <c r="V805" s="31">
        <v>1</v>
      </c>
      <c r="W805" s="16" t="s">
        <v>1894</v>
      </c>
      <c r="X805" s="15" t="s">
        <v>1900</v>
      </c>
      <c r="Y805" s="57">
        <v>1</v>
      </c>
      <c r="Z805" s="15">
        <v>4.95</v>
      </c>
      <c r="AA805" s="15" t="s">
        <v>573</v>
      </c>
      <c r="AB805" s="15">
        <f t="shared" si="673"/>
        <v>4.95</v>
      </c>
      <c r="AC805" s="57">
        <v>2</v>
      </c>
      <c r="AD805" s="15">
        <v>26.2</v>
      </c>
      <c r="AF805" s="15">
        <v>7.9</v>
      </c>
      <c r="AM805" s="1"/>
      <c r="AQ805" s="1"/>
      <c r="AR805" s="1">
        <v>3</v>
      </c>
      <c r="AT805" s="15" t="s">
        <v>576</v>
      </c>
      <c r="AW805" s="15">
        <v>4500</v>
      </c>
      <c r="AX805" s="25">
        <f t="shared" si="712"/>
        <v>4500</v>
      </c>
      <c r="AY805" s="15" t="s">
        <v>766</v>
      </c>
      <c r="AZ805" s="15">
        <f t="shared" si="706"/>
        <v>4500</v>
      </c>
      <c r="BA805" s="15">
        <f t="shared" si="707"/>
        <v>1.5358361774744025</v>
      </c>
      <c r="BB805" s="15">
        <f t="shared" si="708"/>
        <v>2700</v>
      </c>
      <c r="BP805" s="16"/>
      <c r="BQ805" s="16"/>
      <c r="BR805" s="16"/>
      <c r="BU805" s="16"/>
      <c r="EZ805" s="16"/>
      <c r="FA805" s="16"/>
      <c r="FB805" s="16"/>
      <c r="FC805" s="16"/>
      <c r="FD805" s="16"/>
      <c r="FE805" s="16"/>
      <c r="FF805" s="16"/>
      <c r="FG805" s="16"/>
      <c r="FH805" s="16"/>
      <c r="FI805" s="16"/>
      <c r="FJ805" s="16"/>
      <c r="FK805" s="16">
        <f t="shared" si="677"/>
        <v>4.82</v>
      </c>
      <c r="FL805" s="16">
        <f t="shared" si="678"/>
        <v>6.24</v>
      </c>
      <c r="FM805" s="15">
        <v>4.82</v>
      </c>
      <c r="FN805" s="15">
        <f t="shared" si="713"/>
        <v>0.48200000000000004</v>
      </c>
      <c r="FO805" s="15">
        <f>FN805*SQRT(AR805)</f>
        <v>0.83484848924819888</v>
      </c>
      <c r="FP805" s="15">
        <v>6.24</v>
      </c>
      <c r="FQ805" s="15">
        <f t="shared" si="714"/>
        <v>0.62400000000000011</v>
      </c>
      <c r="FR805" s="15">
        <f>FQ805*SQRT(AR805)</f>
        <v>1.0807997039229795</v>
      </c>
      <c r="FS805" s="15">
        <f t="shared" si="702"/>
        <v>1.2946058091286308</v>
      </c>
      <c r="FT805" s="15">
        <f t="shared" si="703"/>
        <v>1.42</v>
      </c>
      <c r="FU805" s="15">
        <f t="shared" si="704"/>
        <v>0.25820625431882727</v>
      </c>
      <c r="FV805" s="15">
        <f>((FR805*FR805)/(AR805*FP805*FP805)+(FO805*FO805)/(AR805*FM805*FM805))</f>
        <v>0.02</v>
      </c>
      <c r="HE805" s="25">
        <v>6155.6</v>
      </c>
      <c r="HF805" s="15">
        <f t="shared" si="717"/>
        <v>307.78000000000003</v>
      </c>
      <c r="HG805" s="15">
        <f>HF805*SQRT(AR805)</f>
        <v>533.09059755354906</v>
      </c>
      <c r="HH805" s="15">
        <v>6647</v>
      </c>
      <c r="HI805" s="15">
        <f t="shared" si="718"/>
        <v>332.35</v>
      </c>
      <c r="HJ805" s="15">
        <f>HI805*SQRT(AR805)</f>
        <v>575.6470858955164</v>
      </c>
      <c r="HK805" s="15">
        <f t="shared" si="719"/>
        <v>1.0798297485216712</v>
      </c>
      <c r="HL805" s="15">
        <f t="shared" si="720"/>
        <v>491.39999999999964</v>
      </c>
      <c r="HM805" s="15">
        <f t="shared" si="721"/>
        <v>7.6803388451885723E-2</v>
      </c>
      <c r="HN805" s="15">
        <f>((HJ805*HJ805)/(AR805*HH805*HH805)+(HG805*HG805)/(AR805*HE805*HE805))</f>
        <v>4.9999999999999992E-3</v>
      </c>
      <c r="HP805" s="15" t="s">
        <v>766</v>
      </c>
      <c r="HV805" s="15">
        <f t="shared" si="722"/>
        <v>351.54698958255506</v>
      </c>
      <c r="HW805" s="15">
        <f t="shared" si="723"/>
        <v>7.6803388451885723E-2</v>
      </c>
      <c r="HX805" s="15">
        <f>BB805</f>
        <v>2700</v>
      </c>
      <c r="HY805" s="15">
        <f>AZ805</f>
        <v>4500</v>
      </c>
      <c r="HZ805" s="15">
        <f>BA805</f>
        <v>1.5358361774744025</v>
      </c>
      <c r="IA805" s="15">
        <f>BB805</f>
        <v>2700</v>
      </c>
    </row>
    <row r="806" spans="1:235" s="15" customFormat="1" x14ac:dyDescent="0.25">
      <c r="A806" s="31">
        <v>804</v>
      </c>
      <c r="B806" s="1">
        <v>122</v>
      </c>
      <c r="C806" s="1">
        <v>144</v>
      </c>
      <c r="D806" s="15" t="s">
        <v>1791</v>
      </c>
      <c r="E806" s="31">
        <v>1</v>
      </c>
      <c r="F806" s="15" t="s">
        <v>761</v>
      </c>
      <c r="G806" s="15" t="s">
        <v>1829</v>
      </c>
      <c r="H806" s="15" t="s">
        <v>1830</v>
      </c>
      <c r="I806" s="31">
        <v>2020</v>
      </c>
      <c r="J806" s="15" t="s">
        <v>1324</v>
      </c>
      <c r="K806" s="1" t="s">
        <v>1863</v>
      </c>
      <c r="L806" s="15" t="s">
        <v>1258</v>
      </c>
      <c r="M806" s="15" t="s">
        <v>480</v>
      </c>
      <c r="N806" s="15" t="s">
        <v>23</v>
      </c>
      <c r="O806" s="31">
        <v>2</v>
      </c>
      <c r="P806" s="15">
        <v>27.29</v>
      </c>
      <c r="Q806" s="15">
        <v>119.32</v>
      </c>
      <c r="R806" s="15">
        <v>853</v>
      </c>
      <c r="S806" s="15">
        <v>1556</v>
      </c>
      <c r="T806" s="15">
        <v>14.2</v>
      </c>
      <c r="U806" s="15" t="s">
        <v>1893</v>
      </c>
      <c r="V806" s="31">
        <v>1</v>
      </c>
      <c r="W806" s="16" t="s">
        <v>1894</v>
      </c>
      <c r="X806" s="15" t="s">
        <v>1900</v>
      </c>
      <c r="Y806" s="57">
        <v>1</v>
      </c>
      <c r="Z806" s="15">
        <v>4.93</v>
      </c>
      <c r="AA806" s="15" t="s">
        <v>573</v>
      </c>
      <c r="AB806" s="15">
        <f t="shared" si="673"/>
        <v>4.93</v>
      </c>
      <c r="AC806" s="57">
        <v>2</v>
      </c>
      <c r="AD806" s="15">
        <v>28.9</v>
      </c>
      <c r="AF806" s="15">
        <v>9.4</v>
      </c>
      <c r="AM806" s="1"/>
      <c r="AQ806" s="1"/>
      <c r="AR806" s="1">
        <v>3</v>
      </c>
      <c r="AT806" s="15" t="s">
        <v>576</v>
      </c>
      <c r="AW806" s="15">
        <v>1500</v>
      </c>
      <c r="AX806" s="25">
        <f t="shared" si="712"/>
        <v>1500</v>
      </c>
      <c r="AY806" s="15" t="s">
        <v>766</v>
      </c>
      <c r="AZ806" s="15">
        <f t="shared" si="706"/>
        <v>1500</v>
      </c>
      <c r="BA806" s="15">
        <f t="shared" si="707"/>
        <v>0.51194539249146753</v>
      </c>
      <c r="BB806" s="15">
        <f t="shared" si="708"/>
        <v>900</v>
      </c>
      <c r="BP806" s="16"/>
      <c r="BQ806" s="16"/>
      <c r="BR806" s="16"/>
      <c r="BU806" s="16"/>
      <c r="EZ806" s="16"/>
      <c r="FA806" s="16"/>
      <c r="FB806" s="16"/>
      <c r="FC806" s="16"/>
      <c r="FD806" s="16"/>
      <c r="FE806" s="16"/>
      <c r="FF806" s="16"/>
      <c r="FG806" s="16"/>
      <c r="FH806" s="16"/>
      <c r="FI806" s="16"/>
      <c r="FJ806" s="16"/>
      <c r="FK806" s="16">
        <f t="shared" si="677"/>
        <v>4.8499999999999996</v>
      </c>
      <c r="FL806" s="16">
        <f t="shared" si="678"/>
        <v>5.54</v>
      </c>
      <c r="FM806" s="15">
        <v>4.8499999999999996</v>
      </c>
      <c r="FN806" s="15">
        <f t="shared" si="713"/>
        <v>0.48499999999999999</v>
      </c>
      <c r="FO806" s="15">
        <f>FN806*SQRT(AR806)</f>
        <v>0.84004464167090542</v>
      </c>
      <c r="FP806" s="15">
        <v>5.54</v>
      </c>
      <c r="FQ806" s="15">
        <f t="shared" si="714"/>
        <v>0.55400000000000005</v>
      </c>
      <c r="FR806" s="15">
        <f>FQ806*SQRT(AR806)</f>
        <v>0.95955614739315809</v>
      </c>
      <c r="FS806" s="15">
        <f t="shared" si="702"/>
        <v>1.1422680412371136</v>
      </c>
      <c r="FT806" s="15">
        <f t="shared" si="703"/>
        <v>0.69000000000000039</v>
      </c>
      <c r="FU806" s="15">
        <f t="shared" si="704"/>
        <v>0.13301579580980061</v>
      </c>
      <c r="FV806" s="15">
        <f>((FR806*FR806)/(AR806*FP806*FP806)+(FO806*FO806)/(AR806*FM806*FM806))</f>
        <v>0.02</v>
      </c>
      <c r="HE806" s="15">
        <v>6255.6</v>
      </c>
      <c r="HF806" s="15">
        <f t="shared" si="717"/>
        <v>312.78000000000003</v>
      </c>
      <c r="HG806" s="15">
        <f>HF806*SQRT(AR806)</f>
        <v>541.75085159139348</v>
      </c>
      <c r="HH806" s="15">
        <v>6995</v>
      </c>
      <c r="HI806" s="15">
        <f t="shared" si="718"/>
        <v>349.75</v>
      </c>
      <c r="HJ806" s="15">
        <f>HI806*SQRT(AR806)</f>
        <v>605.78476994721484</v>
      </c>
      <c r="HK806" s="15">
        <f t="shared" si="719"/>
        <v>1.1181980945073213</v>
      </c>
      <c r="HL806" s="15">
        <f t="shared" si="720"/>
        <v>739.39999999999964</v>
      </c>
      <c r="HM806" s="15">
        <f t="shared" si="721"/>
        <v>0.1117185455375207</v>
      </c>
      <c r="HN806" s="15">
        <f>((HJ806*HJ806)/(AR806*HH806*HH806)+(HG806*HG806)/(AR806*HE806*HE806))</f>
        <v>5.0000000000000001E-3</v>
      </c>
      <c r="HP806" s="15" t="s">
        <v>766</v>
      </c>
      <c r="HV806" s="15">
        <f t="shared" si="722"/>
        <v>80.559587995865456</v>
      </c>
      <c r="HW806" s="15">
        <f t="shared" si="723"/>
        <v>0.1117185455375207</v>
      </c>
      <c r="HX806" s="15">
        <f>BB806</f>
        <v>900</v>
      </c>
      <c r="HY806" s="15">
        <f>AZ806</f>
        <v>1500</v>
      </c>
      <c r="HZ806" s="15">
        <f>BA806</f>
        <v>0.51194539249146753</v>
      </c>
      <c r="IA806" s="15">
        <f>BB806</f>
        <v>900</v>
      </c>
    </row>
    <row r="807" spans="1:235" s="15" customFormat="1" x14ac:dyDescent="0.25">
      <c r="A807" s="31">
        <v>805</v>
      </c>
      <c r="B807" s="1">
        <v>122</v>
      </c>
      <c r="C807" s="1">
        <v>144</v>
      </c>
      <c r="D807" s="15" t="s">
        <v>1792</v>
      </c>
      <c r="E807" s="31">
        <v>1</v>
      </c>
      <c r="F807" s="15" t="s">
        <v>761</v>
      </c>
      <c r="G807" s="15" t="s">
        <v>1829</v>
      </c>
      <c r="H807" s="15" t="s">
        <v>1830</v>
      </c>
      <c r="I807" s="31">
        <v>2020</v>
      </c>
      <c r="J807" s="15" t="s">
        <v>1324</v>
      </c>
      <c r="K807" s="1" t="s">
        <v>1863</v>
      </c>
      <c r="L807" s="15" t="s">
        <v>1258</v>
      </c>
      <c r="M807" s="15" t="s">
        <v>480</v>
      </c>
      <c r="N807" s="15" t="s">
        <v>23</v>
      </c>
      <c r="O807" s="31">
        <v>2</v>
      </c>
      <c r="P807" s="15">
        <v>27.29</v>
      </c>
      <c r="Q807" s="15">
        <v>119.32</v>
      </c>
      <c r="R807" s="15">
        <v>853</v>
      </c>
      <c r="S807" s="15">
        <v>1556</v>
      </c>
      <c r="T807" s="15">
        <v>14.2</v>
      </c>
      <c r="U807" s="15" t="s">
        <v>1893</v>
      </c>
      <c r="V807" s="31">
        <v>1</v>
      </c>
      <c r="W807" s="16" t="s">
        <v>1894</v>
      </c>
      <c r="X807" s="15" t="s">
        <v>1900</v>
      </c>
      <c r="Y807" s="57">
        <v>1</v>
      </c>
      <c r="Z807" s="15">
        <v>4.93</v>
      </c>
      <c r="AA807" s="15" t="s">
        <v>573</v>
      </c>
      <c r="AB807" s="15">
        <f t="shared" si="673"/>
        <v>4.93</v>
      </c>
      <c r="AC807" s="57">
        <v>2</v>
      </c>
      <c r="AD807" s="15">
        <v>28.9</v>
      </c>
      <c r="AF807" s="15">
        <v>9.4</v>
      </c>
      <c r="AM807" s="1"/>
      <c r="AQ807" s="1"/>
      <c r="AR807" s="1">
        <v>3</v>
      </c>
      <c r="AT807" s="15" t="s">
        <v>576</v>
      </c>
      <c r="AW807" s="15">
        <v>3000</v>
      </c>
      <c r="AX807" s="25">
        <f t="shared" si="712"/>
        <v>3000</v>
      </c>
      <c r="AY807" s="15" t="s">
        <v>766</v>
      </c>
      <c r="AZ807" s="15">
        <f t="shared" si="706"/>
        <v>3000</v>
      </c>
      <c r="BA807" s="15">
        <f t="shared" si="707"/>
        <v>1.0238907849829351</v>
      </c>
      <c r="BB807" s="15">
        <f t="shared" si="708"/>
        <v>1800</v>
      </c>
      <c r="BP807" s="16"/>
      <c r="BQ807" s="16"/>
      <c r="BR807" s="16"/>
      <c r="BU807" s="16"/>
      <c r="EZ807" s="16"/>
      <c r="FA807" s="16"/>
      <c r="FB807" s="16"/>
      <c r="FC807" s="16"/>
      <c r="FD807" s="16"/>
      <c r="FE807" s="16"/>
      <c r="FF807" s="16"/>
      <c r="FG807" s="16"/>
      <c r="FH807" s="16"/>
      <c r="FI807" s="16"/>
      <c r="FJ807" s="16"/>
      <c r="FK807" s="16">
        <f t="shared" si="677"/>
        <v>4.8499999999999996</v>
      </c>
      <c r="FL807" s="16">
        <f t="shared" si="678"/>
        <v>6.24</v>
      </c>
      <c r="FM807" s="15">
        <v>4.8499999999999996</v>
      </c>
      <c r="FN807" s="15">
        <f t="shared" si="713"/>
        <v>0.48499999999999999</v>
      </c>
      <c r="FO807" s="15">
        <f>FN807*SQRT(AR807)</f>
        <v>0.84004464167090542</v>
      </c>
      <c r="FP807" s="15">
        <v>6.24</v>
      </c>
      <c r="FQ807" s="15">
        <f t="shared" si="714"/>
        <v>0.62400000000000011</v>
      </c>
      <c r="FR807" s="15">
        <f>FQ807*SQRT(AR807)</f>
        <v>1.0807997039229795</v>
      </c>
      <c r="FS807" s="15">
        <f t="shared" si="702"/>
        <v>1.28659793814433</v>
      </c>
      <c r="FT807" s="15">
        <f t="shared" si="703"/>
        <v>1.3900000000000006</v>
      </c>
      <c r="FU807" s="15">
        <f t="shared" si="704"/>
        <v>0.25200147743194456</v>
      </c>
      <c r="FV807" s="15">
        <f>((FR807*FR807)/(AR807*FP807*FP807)+(FO807*FO807)/(AR807*FM807*FM807))</f>
        <v>2.0000000000000004E-2</v>
      </c>
      <c r="HE807" s="15">
        <v>6255.6</v>
      </c>
      <c r="HF807" s="15">
        <f t="shared" si="717"/>
        <v>312.78000000000003</v>
      </c>
      <c r="HG807" s="15">
        <f>HF807*SQRT(AR807)</f>
        <v>541.75085159139348</v>
      </c>
      <c r="HH807" s="15">
        <v>6534</v>
      </c>
      <c r="HI807" s="15">
        <f t="shared" si="718"/>
        <v>326.70000000000005</v>
      </c>
      <c r="HJ807" s="15">
        <f>HI807*SQRT(AR807)</f>
        <v>565.86099883275222</v>
      </c>
      <c r="HK807" s="15">
        <f t="shared" si="719"/>
        <v>1.0445041243046229</v>
      </c>
      <c r="HL807" s="15">
        <f t="shared" si="720"/>
        <v>278.39999999999964</v>
      </c>
      <c r="HM807" s="15">
        <f t="shared" si="721"/>
        <v>4.3542250598955334E-2</v>
      </c>
      <c r="HN807" s="15">
        <f>((HJ807*HJ807)/(AR807*HH807*HH807)+(HG807*HG807)/(AR807*HE807*HE807))</f>
        <v>5.0000000000000001E-3</v>
      </c>
      <c r="HP807" s="15" t="s">
        <v>766</v>
      </c>
      <c r="HV807" s="15">
        <f t="shared" si="722"/>
        <v>413.39158523955251</v>
      </c>
      <c r="HW807" s="15">
        <f t="shared" si="723"/>
        <v>4.3542250598955334E-2</v>
      </c>
      <c r="HX807" s="15">
        <f>BB807</f>
        <v>1800</v>
      </c>
      <c r="HY807" s="15">
        <f>AZ807</f>
        <v>3000</v>
      </c>
      <c r="HZ807" s="15">
        <f>BA807</f>
        <v>1.0238907849829351</v>
      </c>
      <c r="IA807" s="15">
        <f>BB807</f>
        <v>1800</v>
      </c>
    </row>
    <row r="808" spans="1:235" s="15" customFormat="1" x14ac:dyDescent="0.25">
      <c r="A808" s="31">
        <v>806</v>
      </c>
      <c r="B808" s="1">
        <v>122</v>
      </c>
      <c r="C808" s="1">
        <v>144</v>
      </c>
      <c r="D808" s="15" t="s">
        <v>1793</v>
      </c>
      <c r="E808" s="31">
        <v>1</v>
      </c>
      <c r="F808" s="15" t="s">
        <v>761</v>
      </c>
      <c r="G808" s="15" t="s">
        <v>1829</v>
      </c>
      <c r="H808" s="15" t="s">
        <v>1830</v>
      </c>
      <c r="I808" s="31">
        <v>2020</v>
      </c>
      <c r="J808" s="15" t="s">
        <v>1324</v>
      </c>
      <c r="K808" s="1" t="s">
        <v>1863</v>
      </c>
      <c r="L808" s="15" t="s">
        <v>1258</v>
      </c>
      <c r="M808" s="15" t="s">
        <v>480</v>
      </c>
      <c r="N808" s="15" t="s">
        <v>23</v>
      </c>
      <c r="O808" s="31">
        <v>2</v>
      </c>
      <c r="P808" s="15">
        <v>27.29</v>
      </c>
      <c r="Q808" s="15">
        <v>119.32</v>
      </c>
      <c r="R808" s="15">
        <v>853</v>
      </c>
      <c r="S808" s="15">
        <v>1556</v>
      </c>
      <c r="T808" s="15">
        <v>14.2</v>
      </c>
      <c r="U808" s="15" t="s">
        <v>1893</v>
      </c>
      <c r="V808" s="31">
        <v>1</v>
      </c>
      <c r="W808" s="16" t="s">
        <v>1894</v>
      </c>
      <c r="X808" s="15" t="s">
        <v>1900</v>
      </c>
      <c r="Y808" s="57">
        <v>1</v>
      </c>
      <c r="Z808" s="15">
        <v>4.93</v>
      </c>
      <c r="AA808" s="15" t="s">
        <v>573</v>
      </c>
      <c r="AB808" s="15">
        <f t="shared" si="673"/>
        <v>4.93</v>
      </c>
      <c r="AC808" s="57">
        <v>2</v>
      </c>
      <c r="AD808" s="15">
        <v>28.9</v>
      </c>
      <c r="AF808" s="15">
        <v>9.4</v>
      </c>
      <c r="AM808" s="1"/>
      <c r="AQ808" s="1"/>
      <c r="AR808" s="1">
        <v>3</v>
      </c>
      <c r="AT808" s="15" t="s">
        <v>576</v>
      </c>
      <c r="AW808" s="15">
        <v>4500</v>
      </c>
      <c r="AX808" s="25">
        <f t="shared" si="712"/>
        <v>4500</v>
      </c>
      <c r="AY808" s="15" t="s">
        <v>766</v>
      </c>
      <c r="AZ808" s="15">
        <f t="shared" si="706"/>
        <v>4500</v>
      </c>
      <c r="BA808" s="15">
        <f t="shared" si="707"/>
        <v>1.5358361774744025</v>
      </c>
      <c r="BB808" s="15">
        <f t="shared" si="708"/>
        <v>2700</v>
      </c>
      <c r="BP808" s="16"/>
      <c r="BQ808" s="16"/>
      <c r="BR808" s="16"/>
      <c r="BU808" s="16"/>
      <c r="EZ808" s="16"/>
      <c r="FA808" s="16"/>
      <c r="FB808" s="16"/>
      <c r="FC808" s="16"/>
      <c r="FD808" s="16"/>
      <c r="FE808" s="16"/>
      <c r="FF808" s="16"/>
      <c r="FG808" s="16"/>
      <c r="FH808" s="16"/>
      <c r="FI808" s="16"/>
      <c r="FJ808" s="16"/>
      <c r="FK808" s="16">
        <f t="shared" si="677"/>
        <v>4.8499999999999996</v>
      </c>
      <c r="FL808" s="16">
        <f t="shared" si="678"/>
        <v>6.66</v>
      </c>
      <c r="FM808" s="15">
        <v>4.8499999999999996</v>
      </c>
      <c r="FN808" s="15">
        <f t="shared" si="713"/>
        <v>0.48499999999999999</v>
      </c>
      <c r="FO808" s="15">
        <f>FN808*SQRT(AR808)</f>
        <v>0.84004464167090542</v>
      </c>
      <c r="FP808" s="15">
        <v>6.66</v>
      </c>
      <c r="FQ808" s="15">
        <f t="shared" si="714"/>
        <v>0.66600000000000004</v>
      </c>
      <c r="FR808" s="15">
        <f>FQ808*SQRT(AR808)</f>
        <v>1.1535458378408723</v>
      </c>
      <c r="FS808" s="15">
        <f t="shared" si="702"/>
        <v>1.37319587628866</v>
      </c>
      <c r="FT808" s="15">
        <f t="shared" si="703"/>
        <v>1.8100000000000005</v>
      </c>
      <c r="FU808" s="15">
        <f t="shared" si="704"/>
        <v>0.31714077960290599</v>
      </c>
      <c r="FV808" s="15">
        <f>((FR808*FR808)/(AR808*FP808*FP808)+(FO808*FO808)/(AR808*FM808*FM808))</f>
        <v>0.02</v>
      </c>
      <c r="HE808" s="15">
        <v>6255.6</v>
      </c>
      <c r="HF808" s="15">
        <f t="shared" si="717"/>
        <v>312.78000000000003</v>
      </c>
      <c r="HG808" s="15">
        <f>HF808*SQRT(AR808)</f>
        <v>541.75085159139348</v>
      </c>
      <c r="HH808" s="15">
        <v>6481</v>
      </c>
      <c r="HI808" s="15">
        <f t="shared" si="718"/>
        <v>324.05</v>
      </c>
      <c r="HJ808" s="15">
        <f>HI808*SQRT(AR808)</f>
        <v>561.27106419269467</v>
      </c>
      <c r="HK808" s="15">
        <f t="shared" si="719"/>
        <v>1.0360317155828378</v>
      </c>
      <c r="HL808" s="15">
        <f t="shared" si="720"/>
        <v>225.39999999999964</v>
      </c>
      <c r="HM808" s="15">
        <f t="shared" si="721"/>
        <v>3.5397756865656049E-2</v>
      </c>
      <c r="HN808" s="15">
        <f>((HJ808*HJ808)/(AR808*HH808*HH808)+(HG808*HG808)/(AR808*HE808*HE808))</f>
        <v>4.9999999999999992E-3</v>
      </c>
      <c r="HP808" s="15" t="s">
        <v>766</v>
      </c>
      <c r="HV808" s="15">
        <f t="shared" si="722"/>
        <v>762.76019699418293</v>
      </c>
      <c r="HW808" s="15">
        <f t="shared" si="723"/>
        <v>3.5397756865656049E-2</v>
      </c>
      <c r="HX808" s="15">
        <f>BB808</f>
        <v>2700</v>
      </c>
      <c r="HY808" s="15">
        <f>AZ808</f>
        <v>4500</v>
      </c>
      <c r="HZ808" s="15">
        <f>BA808</f>
        <v>1.5358361774744025</v>
      </c>
      <c r="IA808" s="15">
        <f>BB808</f>
        <v>2700</v>
      </c>
    </row>
    <row r="809" spans="1:235" s="15" customFormat="1" x14ac:dyDescent="0.25">
      <c r="A809" s="31">
        <v>807</v>
      </c>
      <c r="B809" s="43">
        <v>123</v>
      </c>
      <c r="C809" s="1">
        <v>145</v>
      </c>
      <c r="D809" s="15" t="s">
        <v>1794</v>
      </c>
      <c r="E809" s="31">
        <v>1</v>
      </c>
      <c r="F809" s="15" t="s">
        <v>761</v>
      </c>
      <c r="G809" s="15" t="s">
        <v>1831</v>
      </c>
      <c r="H809" s="15" t="s">
        <v>1832</v>
      </c>
      <c r="I809" s="31">
        <v>2018</v>
      </c>
      <c r="J809" s="15" t="s">
        <v>1856</v>
      </c>
      <c r="K809" s="1" t="s">
        <v>1864</v>
      </c>
      <c r="L809" s="15" t="s">
        <v>1872</v>
      </c>
      <c r="M809" s="15" t="s">
        <v>480</v>
      </c>
      <c r="N809" s="15" t="s">
        <v>23</v>
      </c>
      <c r="O809" s="31">
        <v>2</v>
      </c>
      <c r="P809" s="15">
        <v>21.91</v>
      </c>
      <c r="Q809" s="15">
        <v>109.5</v>
      </c>
      <c r="R809" s="15">
        <v>1118</v>
      </c>
      <c r="S809" s="15">
        <v>1600</v>
      </c>
      <c r="T809" s="15" t="s">
        <v>1890</v>
      </c>
      <c r="U809" s="15" t="s">
        <v>1893</v>
      </c>
      <c r="V809" s="31">
        <v>1</v>
      </c>
      <c r="W809" s="16" t="s">
        <v>1895</v>
      </c>
      <c r="X809" s="15" t="s">
        <v>1901</v>
      </c>
      <c r="Y809" s="1">
        <v>2</v>
      </c>
      <c r="Z809" s="15">
        <v>4.5599999999999996</v>
      </c>
      <c r="AA809" s="15" t="s">
        <v>573</v>
      </c>
      <c r="AB809" s="15">
        <f t="shared" si="673"/>
        <v>4.5599999999999996</v>
      </c>
      <c r="AC809" s="57">
        <v>2</v>
      </c>
      <c r="AD809" s="15" t="s">
        <v>1911</v>
      </c>
      <c r="AM809" s="1"/>
      <c r="AP809" s="15" t="s">
        <v>1913</v>
      </c>
      <c r="AQ809" s="1">
        <v>3</v>
      </c>
      <c r="AR809" s="1">
        <v>3</v>
      </c>
      <c r="AS809" s="15">
        <v>12.1</v>
      </c>
      <c r="AT809" s="15" t="s">
        <v>576</v>
      </c>
      <c r="AW809" s="15">
        <v>6000</v>
      </c>
      <c r="AX809" s="25">
        <f t="shared" si="712"/>
        <v>6000</v>
      </c>
      <c r="AY809" s="15" t="s">
        <v>766</v>
      </c>
      <c r="AZ809" s="15">
        <f t="shared" si="706"/>
        <v>6000</v>
      </c>
      <c r="BA809" s="15">
        <f t="shared" si="707"/>
        <v>2.0477815699658701</v>
      </c>
      <c r="BB809" s="15">
        <f t="shared" si="708"/>
        <v>3600</v>
      </c>
      <c r="BP809" s="16"/>
      <c r="BQ809" s="16"/>
      <c r="BR809" s="16"/>
      <c r="BU809" s="16"/>
      <c r="EZ809" s="16"/>
      <c r="FA809" s="16"/>
      <c r="FB809" s="16"/>
      <c r="FC809" s="16"/>
      <c r="FD809" s="16"/>
      <c r="FE809" s="16"/>
      <c r="FF809" s="16"/>
      <c r="FG809" s="16"/>
      <c r="FH809" s="16"/>
      <c r="FI809" s="16"/>
      <c r="FJ809" s="16"/>
      <c r="FK809" s="16">
        <f t="shared" si="677"/>
        <v>4.5599999999999996</v>
      </c>
      <c r="FL809" s="16">
        <f t="shared" si="678"/>
        <v>5.4</v>
      </c>
      <c r="FM809" s="15">
        <v>4.5599999999999996</v>
      </c>
      <c r="FN809" s="15">
        <f t="shared" si="713"/>
        <v>0.45599999999999996</v>
      </c>
      <c r="FO809" s="15">
        <f>FN809*SQRT(AR809)</f>
        <v>0.78981516825140796</v>
      </c>
      <c r="FP809" s="15">
        <v>5.4</v>
      </c>
      <c r="FQ809" s="15">
        <f t="shared" si="714"/>
        <v>0.54</v>
      </c>
      <c r="FR809" s="15">
        <f>FQ809*SQRT(AR809)</f>
        <v>0.9353074360871938</v>
      </c>
      <c r="FS809" s="15">
        <f t="shared" si="702"/>
        <v>1.1842105263157896</v>
      </c>
      <c r="FT809" s="15">
        <f t="shared" si="703"/>
        <v>0.84000000000000075</v>
      </c>
      <c r="FU809" s="15">
        <f t="shared" si="704"/>
        <v>0.16907633004393419</v>
      </c>
      <c r="FV809" s="15">
        <f>((FR809*FR809)/(AR809*FP809*FP809)+(FO809*FO809)/(AR809*FM809*FM809))</f>
        <v>0.02</v>
      </c>
      <c r="HE809" s="15">
        <v>6000</v>
      </c>
      <c r="HF809" s="15">
        <f t="shared" si="717"/>
        <v>300</v>
      </c>
      <c r="HG809" s="15">
        <f>HF809*SQRT(AR809)</f>
        <v>519.6152422706632</v>
      </c>
      <c r="HH809" s="15">
        <v>7900</v>
      </c>
      <c r="HI809" s="15">
        <f t="shared" si="718"/>
        <v>395</v>
      </c>
      <c r="HJ809" s="15">
        <f>HI809*SQRT(AR809)</f>
        <v>684.16006898970647</v>
      </c>
      <c r="HK809" s="15">
        <f t="shared" si="719"/>
        <v>1.3166666666666667</v>
      </c>
      <c r="HL809" s="15">
        <f t="shared" si="720"/>
        <v>1900</v>
      </c>
      <c r="HM809" s="15">
        <f t="shared" si="721"/>
        <v>0.27510329024492108</v>
      </c>
      <c r="HN809" s="15">
        <f>((HJ809*HJ809)/(AR809*HH809*HH809)+(HG809*HG809)/(AR809*HE809*HE809))</f>
        <v>4.9999999999999992E-3</v>
      </c>
      <c r="HP809" s="15" t="s">
        <v>766</v>
      </c>
      <c r="HV809" s="15">
        <f t="shared" si="722"/>
        <v>130.85993979915557</v>
      </c>
      <c r="HW809" s="15">
        <f t="shared" si="723"/>
        <v>0.27510329024492108</v>
      </c>
      <c r="HX809" s="15">
        <f>BB809</f>
        <v>3600</v>
      </c>
      <c r="HY809" s="15">
        <f>AZ809</f>
        <v>6000</v>
      </c>
      <c r="HZ809" s="15">
        <f>BA809</f>
        <v>2.0477815699658701</v>
      </c>
      <c r="IA809" s="15">
        <f>BB809</f>
        <v>3600</v>
      </c>
    </row>
    <row r="810" spans="1:235" s="15" customFormat="1" x14ac:dyDescent="0.25">
      <c r="A810" s="31">
        <v>808</v>
      </c>
      <c r="B810" s="43">
        <v>124</v>
      </c>
      <c r="C810" s="1">
        <v>146</v>
      </c>
      <c r="D810" s="15" t="s">
        <v>1795</v>
      </c>
      <c r="E810" s="31">
        <v>1</v>
      </c>
      <c r="F810" s="15" t="s">
        <v>761</v>
      </c>
      <c r="G810" s="15" t="s">
        <v>1833</v>
      </c>
      <c r="H810" s="15" t="s">
        <v>1834</v>
      </c>
      <c r="I810" s="31">
        <v>2019</v>
      </c>
      <c r="J810" s="15" t="s">
        <v>1857</v>
      </c>
      <c r="K810" s="1" t="s">
        <v>1865</v>
      </c>
      <c r="L810" s="15" t="s">
        <v>1254</v>
      </c>
      <c r="M810" s="15" t="s">
        <v>480</v>
      </c>
      <c r="N810" s="15" t="s">
        <v>23</v>
      </c>
      <c r="O810" s="31">
        <v>2</v>
      </c>
      <c r="P810" s="15">
        <v>28.57</v>
      </c>
      <c r="Q810" s="15">
        <v>109.3</v>
      </c>
      <c r="R810" s="15">
        <v>280</v>
      </c>
      <c r="S810" s="15">
        <v>1341.1</v>
      </c>
      <c r="T810" s="15">
        <v>16</v>
      </c>
      <c r="U810" s="15" t="s">
        <v>1893</v>
      </c>
      <c r="V810" s="31">
        <v>1</v>
      </c>
      <c r="W810" s="16" t="s">
        <v>1896</v>
      </c>
      <c r="X810" s="15" t="s">
        <v>1902</v>
      </c>
      <c r="Y810" s="1">
        <v>4</v>
      </c>
      <c r="Z810" s="15">
        <v>5.8</v>
      </c>
      <c r="AA810" s="15" t="s">
        <v>573</v>
      </c>
      <c r="AB810" s="15">
        <f t="shared" si="673"/>
        <v>5.8</v>
      </c>
      <c r="AC810" s="1">
        <v>4</v>
      </c>
      <c r="AD810" s="15">
        <v>19</v>
      </c>
      <c r="AM810" s="1"/>
      <c r="AP810" s="15" t="s">
        <v>1914</v>
      </c>
      <c r="AQ810" s="1">
        <v>2</v>
      </c>
      <c r="AR810" s="1">
        <v>3</v>
      </c>
      <c r="AT810" s="15" t="s">
        <v>545</v>
      </c>
      <c r="AW810" s="15">
        <v>2250</v>
      </c>
      <c r="AX810" s="15">
        <f>AW810*1.78</f>
        <v>4005</v>
      </c>
      <c r="AY810" s="15" t="s">
        <v>766</v>
      </c>
      <c r="AZ810" s="15">
        <f t="shared" si="706"/>
        <v>4005</v>
      </c>
      <c r="BA810" s="15">
        <f t="shared" si="707"/>
        <v>1.3668941979522182</v>
      </c>
      <c r="BB810" s="15">
        <f t="shared" si="708"/>
        <v>2403</v>
      </c>
      <c r="BP810" s="16"/>
      <c r="BQ810" s="16"/>
      <c r="BR810" s="16"/>
      <c r="BU810" s="16"/>
      <c r="EZ810" s="16"/>
      <c r="FA810" s="16"/>
      <c r="FB810" s="16"/>
      <c r="FC810" s="16"/>
      <c r="FD810" s="16"/>
      <c r="FE810" s="16"/>
      <c r="FF810" s="16"/>
      <c r="FG810" s="16"/>
      <c r="FH810" s="16"/>
      <c r="FI810" s="16"/>
      <c r="FJ810" s="16"/>
      <c r="FK810" s="16">
        <f t="shared" si="677"/>
        <v>5.5</v>
      </c>
      <c r="FL810" s="16">
        <f t="shared" si="678"/>
        <v>6.2</v>
      </c>
      <c r="FM810" s="15">
        <v>5.5</v>
      </c>
      <c r="FN810" s="15">
        <f t="shared" si="713"/>
        <v>0.55000000000000004</v>
      </c>
      <c r="FO810" s="15">
        <f>FN810*SQRT(AR810)</f>
        <v>0.95262794416288255</v>
      </c>
      <c r="FP810" s="15">
        <v>6.2</v>
      </c>
      <c r="FQ810" s="15">
        <f t="shared" si="714"/>
        <v>0.62000000000000011</v>
      </c>
      <c r="FR810" s="15">
        <f>FQ810*SQRT(AR810)</f>
        <v>1.073871500692704</v>
      </c>
      <c r="FS810" s="15">
        <f t="shared" si="702"/>
        <v>1.1272727272727272</v>
      </c>
      <c r="FT810" s="15">
        <f t="shared" si="703"/>
        <v>0.70000000000000018</v>
      </c>
      <c r="FU810" s="15">
        <f t="shared" si="704"/>
        <v>0.11980119981262072</v>
      </c>
      <c r="FV810" s="15">
        <f>((FR810*FR810)/(AR810*FP810*FP810)+(FO810*FO810)/(AR810*FM810*FM810))</f>
        <v>2.0000000000000004E-2</v>
      </c>
      <c r="FX810" s="15">
        <v>17.7</v>
      </c>
      <c r="FY810" s="15">
        <f>FX810*0.05</f>
        <v>0.88500000000000001</v>
      </c>
      <c r="FZ810" s="15">
        <f>FY810*SQRT(AR810)</f>
        <v>1.5328649646984562</v>
      </c>
      <c r="GA810" s="15">
        <v>18.100000000000001</v>
      </c>
      <c r="GB810" s="15">
        <f>GA810*0.05</f>
        <v>0.90500000000000014</v>
      </c>
      <c r="GC810" s="15">
        <f>GB810*SQRT(AR810)</f>
        <v>1.5675059808498342</v>
      </c>
      <c r="GD810" s="15">
        <v>1.0225988700564972</v>
      </c>
      <c r="GE810" s="15">
        <v>0.40000000000000213</v>
      </c>
      <c r="GF810" s="15">
        <f>LN(GA810)-LN(FX810)</f>
        <v>2.2347298691996809E-2</v>
      </c>
      <c r="GG810" s="15">
        <f>((GC810*GC810)/(AR810*GA810*GA810)+(FZ810*FZ810)/(AR810*FX810*FX810))</f>
        <v>4.9999999999999992E-3</v>
      </c>
      <c r="HE810" s="15">
        <f>2214.6*15</f>
        <v>33219</v>
      </c>
      <c r="HF810" s="15">
        <f t="shared" si="717"/>
        <v>1660.95</v>
      </c>
      <c r="HG810" s="15">
        <f>HF810*SQRT(AR810)</f>
        <v>2876.8497888315264</v>
      </c>
      <c r="HH810" s="15">
        <f>2264.6*15</f>
        <v>33969</v>
      </c>
      <c r="HI810" s="15">
        <f t="shared" si="718"/>
        <v>1698.45</v>
      </c>
      <c r="HJ810" s="15">
        <f>HI810*SQRT(AR810)</f>
        <v>2941.8016941153596</v>
      </c>
      <c r="HK810" s="15">
        <f t="shared" si="719"/>
        <v>1.0225774406213313</v>
      </c>
      <c r="HL810" s="15">
        <f t="shared" si="720"/>
        <v>750</v>
      </c>
      <c r="HM810" s="15">
        <f t="shared" si="721"/>
        <v>2.2326342615931694E-2</v>
      </c>
      <c r="HN810" s="15">
        <f>((HJ810*HJ810)/(AR810*HH810*HH810)+(HG810*HG810)/(AR810*HE810*HE810))</f>
        <v>4.9999999999999992E-3</v>
      </c>
      <c r="HP810" s="15" t="s">
        <v>766</v>
      </c>
      <c r="HV810" s="15">
        <f t="shared" si="722"/>
        <v>1076.3070518703141</v>
      </c>
      <c r="HW810" s="15">
        <f t="shared" si="723"/>
        <v>2.2326342615931694E-2</v>
      </c>
      <c r="HX810" s="15">
        <f>BB810</f>
        <v>2403</v>
      </c>
      <c r="HY810" s="15">
        <f>AZ810</f>
        <v>4005</v>
      </c>
      <c r="HZ810" s="15">
        <f>BA810</f>
        <v>1.3668941979522182</v>
      </c>
      <c r="IA810" s="15">
        <f>BB810</f>
        <v>2403</v>
      </c>
    </row>
    <row r="811" spans="1:235" s="15" customFormat="1" x14ac:dyDescent="0.25">
      <c r="A811" s="31">
        <v>809</v>
      </c>
      <c r="B811" s="43">
        <v>124</v>
      </c>
      <c r="C811" s="1">
        <v>146</v>
      </c>
      <c r="D811" s="15" t="s">
        <v>1796</v>
      </c>
      <c r="E811" s="31">
        <v>1</v>
      </c>
      <c r="F811" s="15" t="s">
        <v>761</v>
      </c>
      <c r="G811" s="15" t="s">
        <v>1833</v>
      </c>
      <c r="H811" s="15" t="s">
        <v>1834</v>
      </c>
      <c r="I811" s="31">
        <v>2019</v>
      </c>
      <c r="J811" s="15" t="s">
        <v>1857</v>
      </c>
      <c r="K811" s="1" t="s">
        <v>1865</v>
      </c>
      <c r="L811" s="15" t="s">
        <v>1254</v>
      </c>
      <c r="M811" s="15" t="s">
        <v>480</v>
      </c>
      <c r="N811" s="15" t="s">
        <v>23</v>
      </c>
      <c r="O811" s="31">
        <v>2</v>
      </c>
      <c r="P811" s="15">
        <v>28.57</v>
      </c>
      <c r="Q811" s="15">
        <v>109.3</v>
      </c>
      <c r="R811" s="15">
        <v>280</v>
      </c>
      <c r="S811" s="15">
        <v>1341.1</v>
      </c>
      <c r="T811" s="15">
        <v>16</v>
      </c>
      <c r="U811" s="15" t="s">
        <v>1893</v>
      </c>
      <c r="V811" s="31">
        <v>1</v>
      </c>
      <c r="W811" s="16" t="s">
        <v>1897</v>
      </c>
      <c r="X811" s="15" t="s">
        <v>1902</v>
      </c>
      <c r="Y811" s="1">
        <v>4</v>
      </c>
      <c r="Z811" s="15">
        <v>5.8</v>
      </c>
      <c r="AA811" s="15" t="s">
        <v>573</v>
      </c>
      <c r="AB811" s="15">
        <f t="shared" si="673"/>
        <v>5.8</v>
      </c>
      <c r="AC811" s="1">
        <v>4</v>
      </c>
      <c r="AD811" s="15">
        <v>19</v>
      </c>
      <c r="AM811" s="1"/>
      <c r="AP811" s="15" t="s">
        <v>1914</v>
      </c>
      <c r="AQ811" s="1">
        <v>2</v>
      </c>
      <c r="AR811" s="1">
        <v>3</v>
      </c>
      <c r="AT811" s="15" t="s">
        <v>545</v>
      </c>
      <c r="AW811" s="15">
        <v>2250</v>
      </c>
      <c r="AX811" s="15">
        <f>AW811*1.78</f>
        <v>4005</v>
      </c>
      <c r="AY811" s="15" t="s">
        <v>766</v>
      </c>
      <c r="AZ811" s="15">
        <f t="shared" si="706"/>
        <v>4005</v>
      </c>
      <c r="BA811" s="15">
        <f t="shared" si="707"/>
        <v>1.3668941979522182</v>
      </c>
      <c r="BB811" s="15">
        <f t="shared" si="708"/>
        <v>2403</v>
      </c>
      <c r="BP811" s="16"/>
      <c r="BQ811" s="16"/>
      <c r="BR811" s="16"/>
      <c r="BU811" s="16"/>
      <c r="EZ811" s="16"/>
      <c r="FA811" s="16"/>
      <c r="FB811" s="16"/>
      <c r="FC811" s="16"/>
      <c r="FD811" s="16"/>
      <c r="FE811" s="16"/>
      <c r="FF811" s="16"/>
      <c r="FG811" s="16"/>
      <c r="FH811" s="16"/>
      <c r="FI811" s="16"/>
      <c r="FJ811" s="16"/>
      <c r="FK811" s="16">
        <f t="shared" si="677"/>
        <v>5.3</v>
      </c>
      <c r="FL811" s="16">
        <f t="shared" si="678"/>
        <v>6</v>
      </c>
      <c r="FM811" s="15">
        <v>5.3</v>
      </c>
      <c r="FN811" s="15">
        <f t="shared" si="713"/>
        <v>0.53</v>
      </c>
      <c r="FO811" s="15">
        <f>FN811*SQRT(AR811)</f>
        <v>0.91798692801150494</v>
      </c>
      <c r="FP811" s="15">
        <v>6</v>
      </c>
      <c r="FQ811" s="15">
        <f t="shared" si="714"/>
        <v>0.60000000000000009</v>
      </c>
      <c r="FR811" s="15">
        <f>FQ811*SQRT(AR811)</f>
        <v>1.0392304845413265</v>
      </c>
      <c r="FS811" s="15">
        <f t="shared" si="702"/>
        <v>1.1320754716981132</v>
      </c>
      <c r="FT811" s="15">
        <f t="shared" si="703"/>
        <v>0.70000000000000018</v>
      </c>
      <c r="FU811" s="15">
        <f t="shared" si="704"/>
        <v>0.12405264866997889</v>
      </c>
      <c r="FV811" s="15">
        <f>((FR811*FR811)/(AR811*FP811*FP811)+(FO811*FO811)/(AR811*FM811*FM811))</f>
        <v>2.0000000000000004E-2</v>
      </c>
      <c r="FX811" s="15">
        <v>17.8</v>
      </c>
      <c r="FY811" s="15">
        <f>FX811*0.05</f>
        <v>0.89000000000000012</v>
      </c>
      <c r="FZ811" s="15">
        <f>FY811*SQRT(AR811)</f>
        <v>1.5415252187363009</v>
      </c>
      <c r="GA811" s="15">
        <v>18.100000000000001</v>
      </c>
      <c r="GB811" s="15">
        <f>GA811*0.05</f>
        <v>0.90500000000000014</v>
      </c>
      <c r="GC811" s="15">
        <f>GB811*SQRT(AR811)</f>
        <v>1.5675059808498342</v>
      </c>
      <c r="GD811" s="15">
        <v>1.0168539325842696</v>
      </c>
      <c r="GE811" s="15">
        <v>0.30000000000000071</v>
      </c>
      <c r="GF811" s="15">
        <f>LN(GA811)-LN(FX811)</f>
        <v>1.6713480973740591E-2</v>
      </c>
      <c r="GG811" s="15">
        <f>((GC811*GC811)/(AR811*GA811*GA811)+(FZ811*FZ811)/(AR811*FX811*FX811))</f>
        <v>4.9999999999999992E-3</v>
      </c>
      <c r="HE811" s="15">
        <f>2375.6*15</f>
        <v>35634</v>
      </c>
      <c r="HF811" s="15">
        <f t="shared" si="717"/>
        <v>1781.7</v>
      </c>
      <c r="HG811" s="15">
        <f>HF811*SQRT(AR811)</f>
        <v>3085.9949238454687</v>
      </c>
      <c r="HH811" s="15">
        <f>2456*15</f>
        <v>36840</v>
      </c>
      <c r="HI811" s="15">
        <f t="shared" si="718"/>
        <v>1842</v>
      </c>
      <c r="HJ811" s="15">
        <f>HI811*SQRT(AR811)</f>
        <v>3190.4375875418718</v>
      </c>
      <c r="HK811" s="15">
        <f t="shared" si="719"/>
        <v>1.0338440814952012</v>
      </c>
      <c r="HL811" s="15">
        <f t="shared" si="720"/>
        <v>1206</v>
      </c>
      <c r="HM811" s="15">
        <f t="shared" si="721"/>
        <v>3.3283973125328714E-2</v>
      </c>
      <c r="HN811" s="15">
        <f>((HJ811*HJ811)/(AR811*HH811*HH811)+(HG811*HG811)/(AR811*HE811*HE811))</f>
        <v>5.0000000000000001E-3</v>
      </c>
      <c r="HP811" s="15" t="s">
        <v>766</v>
      </c>
      <c r="HV811" s="15">
        <f t="shared" si="722"/>
        <v>721.96909634305189</v>
      </c>
      <c r="HW811" s="15">
        <f t="shared" si="723"/>
        <v>3.3283973125328714E-2</v>
      </c>
      <c r="HX811" s="15">
        <f>BB811</f>
        <v>2403</v>
      </c>
      <c r="HY811" s="15">
        <f>AZ811</f>
        <v>4005</v>
      </c>
      <c r="HZ811" s="15">
        <f>BA811</f>
        <v>1.3668941979522182</v>
      </c>
      <c r="IA811" s="15">
        <f>BB811</f>
        <v>2403</v>
      </c>
    </row>
    <row r="812" spans="1:235" s="15" customFormat="1" x14ac:dyDescent="0.25">
      <c r="A812" s="31">
        <v>810</v>
      </c>
      <c r="B812" s="43">
        <v>125</v>
      </c>
      <c r="C812" s="1">
        <v>147</v>
      </c>
      <c r="D812" s="15" t="s">
        <v>1797</v>
      </c>
      <c r="E812" s="31">
        <v>1</v>
      </c>
      <c r="F812" s="15" t="s">
        <v>761</v>
      </c>
      <c r="G812" s="15" t="s">
        <v>1835</v>
      </c>
      <c r="H812" s="15" t="s">
        <v>1836</v>
      </c>
      <c r="I812" s="31">
        <v>2018</v>
      </c>
      <c r="J812" s="15" t="s">
        <v>1858</v>
      </c>
      <c r="K812" s="1" t="s">
        <v>1866</v>
      </c>
      <c r="L812" s="15" t="s">
        <v>1873</v>
      </c>
      <c r="M812" s="15" t="s">
        <v>480</v>
      </c>
      <c r="N812" s="15" t="s">
        <v>23</v>
      </c>
      <c r="O812" s="31">
        <v>2</v>
      </c>
      <c r="P812" s="15">
        <v>32.688048999999999</v>
      </c>
      <c r="Q812" s="15">
        <v>115.531548</v>
      </c>
      <c r="R812" s="15" t="s">
        <v>1879</v>
      </c>
      <c r="S812" s="15">
        <v>900</v>
      </c>
      <c r="T812" s="15">
        <v>15</v>
      </c>
      <c r="U812" s="15" t="s">
        <v>1893</v>
      </c>
      <c r="V812" s="31">
        <v>1</v>
      </c>
      <c r="W812" s="16" t="s">
        <v>1898</v>
      </c>
      <c r="X812" s="15" t="s">
        <v>1903</v>
      </c>
      <c r="Y812" s="1">
        <v>3</v>
      </c>
      <c r="Z812" s="15">
        <v>5.62</v>
      </c>
      <c r="AA812" s="15" t="s">
        <v>573</v>
      </c>
      <c r="AB812" s="15">
        <f t="shared" si="673"/>
        <v>5.62</v>
      </c>
      <c r="AC812" s="1">
        <v>4</v>
      </c>
      <c r="AM812" s="1"/>
      <c r="AP812" s="15" t="s">
        <v>1915</v>
      </c>
      <c r="AQ812" s="1">
        <v>4</v>
      </c>
      <c r="AR812" s="1">
        <v>3</v>
      </c>
      <c r="AT812" s="15" t="s">
        <v>546</v>
      </c>
      <c r="AW812" s="15">
        <v>750</v>
      </c>
      <c r="AX812" s="15">
        <f>AW812*1.35</f>
        <v>1012.5000000000001</v>
      </c>
      <c r="AY812" s="15" t="s">
        <v>766</v>
      </c>
      <c r="AZ812" s="15">
        <f t="shared" si="706"/>
        <v>1012.5000000000001</v>
      </c>
      <c r="BA812" s="15">
        <f t="shared" si="707"/>
        <v>0.34556313993174065</v>
      </c>
      <c r="BB812" s="15">
        <f t="shared" si="708"/>
        <v>607.5</v>
      </c>
      <c r="BP812" s="16"/>
      <c r="BQ812" s="16"/>
      <c r="BR812" s="16"/>
      <c r="BU812" s="16"/>
      <c r="EZ812" s="16"/>
      <c r="FA812" s="16"/>
      <c r="FB812" s="16"/>
      <c r="FC812" s="16"/>
      <c r="FD812" s="16"/>
      <c r="FE812" s="16"/>
      <c r="FF812" s="16"/>
      <c r="FG812" s="16"/>
      <c r="FH812" s="16"/>
      <c r="FI812" s="16"/>
      <c r="FJ812" s="16"/>
      <c r="FK812" s="16">
        <f t="shared" si="677"/>
        <v>5.51</v>
      </c>
      <c r="FL812" s="16">
        <f t="shared" si="678"/>
        <v>6.16</v>
      </c>
      <c r="FM812" s="15">
        <v>5.51</v>
      </c>
      <c r="FN812" s="15">
        <f t="shared" si="713"/>
        <v>0.55100000000000005</v>
      </c>
      <c r="FO812" s="15">
        <f>FN812*SQRT(AR812)</f>
        <v>0.95435999497045143</v>
      </c>
      <c r="FP812" s="15">
        <v>6.16</v>
      </c>
      <c r="FQ812" s="15">
        <f t="shared" si="714"/>
        <v>0.6160000000000001</v>
      </c>
      <c r="FR812" s="15">
        <f>FQ812*SQRT(AR812)</f>
        <v>1.0669432974624284</v>
      </c>
      <c r="FS812" s="15">
        <f t="shared" si="702"/>
        <v>1.117967332123412</v>
      </c>
      <c r="FT812" s="15">
        <f t="shared" si="703"/>
        <v>0.65000000000000036</v>
      </c>
      <c r="FU812" s="15">
        <f t="shared" si="704"/>
        <v>0.11151215438060547</v>
      </c>
      <c r="FV812" s="15">
        <f>((FR812*FR812)/(AR812*FP812*FP812)+(FO812*FO812)/(AR812*FM812*FM812))</f>
        <v>0.02</v>
      </c>
      <c r="HE812" s="15">
        <v>22809</v>
      </c>
      <c r="HF812" s="15">
        <f t="shared" si="717"/>
        <v>1140.45</v>
      </c>
      <c r="HG812" s="15">
        <f>HF812*SQRT(AR812)</f>
        <v>1975.3173434919261</v>
      </c>
      <c r="HH812" s="15">
        <v>24402</v>
      </c>
      <c r="HI812" s="15">
        <f t="shared" si="718"/>
        <v>1220.1000000000001</v>
      </c>
      <c r="HJ812" s="15">
        <f>HI812*SQRT(AR812)</f>
        <v>2113.2751903147873</v>
      </c>
      <c r="HK812" s="15">
        <f t="shared" si="719"/>
        <v>1.0698408522951466</v>
      </c>
      <c r="HL812" s="15">
        <f t="shared" si="720"/>
        <v>1593</v>
      </c>
      <c r="HM812" s="15">
        <f t="shared" si="721"/>
        <v>6.7509901238732795E-2</v>
      </c>
      <c r="HN812" s="15">
        <f>((HJ812*HJ812)/(AR812*HH812*HH812)+(HG812*HG812)/(AR812*HE812*HE812))</f>
        <v>5.0000000000000001E-3</v>
      </c>
      <c r="HP812" s="15" t="s">
        <v>766</v>
      </c>
      <c r="HV812" s="15">
        <f t="shared" si="722"/>
        <v>89.986800284556779</v>
      </c>
      <c r="HW812" s="15">
        <f t="shared" si="723"/>
        <v>6.7509901238732795E-2</v>
      </c>
      <c r="HX812" s="15">
        <f>BB812</f>
        <v>607.5</v>
      </c>
      <c r="HY812" s="15">
        <f>AZ812</f>
        <v>1012.5000000000001</v>
      </c>
      <c r="HZ812" s="15">
        <f>BA812</f>
        <v>0.34556313993174065</v>
      </c>
      <c r="IA812" s="15">
        <f>BB812</f>
        <v>607.5</v>
      </c>
    </row>
    <row r="813" spans="1:235" s="15" customFormat="1" x14ac:dyDescent="0.25">
      <c r="A813" s="31">
        <v>811</v>
      </c>
      <c r="B813" s="43">
        <v>125</v>
      </c>
      <c r="C813" s="1">
        <v>147</v>
      </c>
      <c r="D813" s="15" t="s">
        <v>1798</v>
      </c>
      <c r="E813" s="31">
        <v>1</v>
      </c>
      <c r="F813" s="15" t="s">
        <v>761</v>
      </c>
      <c r="G813" s="15" t="s">
        <v>1835</v>
      </c>
      <c r="H813" s="15" t="s">
        <v>1836</v>
      </c>
      <c r="I813" s="31">
        <v>2018</v>
      </c>
      <c r="J813" s="15" t="s">
        <v>1858</v>
      </c>
      <c r="K813" s="1" t="s">
        <v>1866</v>
      </c>
      <c r="L813" s="15" t="s">
        <v>1873</v>
      </c>
      <c r="M813" s="15" t="s">
        <v>480</v>
      </c>
      <c r="N813" s="15" t="s">
        <v>23</v>
      </c>
      <c r="O813" s="31">
        <v>2</v>
      </c>
      <c r="P813" s="15">
        <v>32.688048999999999</v>
      </c>
      <c r="Q813" s="15">
        <v>115.531548</v>
      </c>
      <c r="R813" s="15" t="s">
        <v>1879</v>
      </c>
      <c r="S813" s="15">
        <v>900</v>
      </c>
      <c r="T813" s="15">
        <v>15</v>
      </c>
      <c r="U813" s="15" t="s">
        <v>1893</v>
      </c>
      <c r="V813" s="31">
        <v>1</v>
      </c>
      <c r="W813" s="16" t="s">
        <v>1898</v>
      </c>
      <c r="X813" s="15" t="s">
        <v>1903</v>
      </c>
      <c r="Y813" s="1">
        <v>3</v>
      </c>
      <c r="Z813" s="15">
        <v>5.62</v>
      </c>
      <c r="AA813" s="15" t="s">
        <v>573</v>
      </c>
      <c r="AB813" s="15">
        <f t="shared" si="673"/>
        <v>5.62</v>
      </c>
      <c r="AC813" s="1">
        <v>4</v>
      </c>
      <c r="AM813" s="1"/>
      <c r="AP813" s="15" t="s">
        <v>1915</v>
      </c>
      <c r="AQ813" s="1">
        <v>4</v>
      </c>
      <c r="AR813" s="1">
        <v>3</v>
      </c>
      <c r="AT813" s="15" t="s">
        <v>546</v>
      </c>
      <c r="AW813" s="15">
        <v>1500</v>
      </c>
      <c r="AX813" s="15">
        <f>AW813*1.35</f>
        <v>2025.0000000000002</v>
      </c>
      <c r="AY813" s="15" t="s">
        <v>766</v>
      </c>
      <c r="AZ813" s="15">
        <f t="shared" si="706"/>
        <v>2025.0000000000002</v>
      </c>
      <c r="BA813" s="15">
        <f t="shared" si="707"/>
        <v>0.6911262798634813</v>
      </c>
      <c r="BB813" s="15">
        <f t="shared" si="708"/>
        <v>1215</v>
      </c>
      <c r="BP813" s="16"/>
      <c r="BQ813" s="16"/>
      <c r="BR813" s="16"/>
      <c r="BU813" s="16"/>
      <c r="EZ813" s="16"/>
      <c r="FA813" s="16"/>
      <c r="FB813" s="16"/>
      <c r="FC813" s="16"/>
      <c r="FD813" s="16"/>
      <c r="FE813" s="16"/>
      <c r="FF813" s="16"/>
      <c r="FG813" s="16"/>
      <c r="FH813" s="16"/>
      <c r="FI813" s="16"/>
      <c r="FJ813" s="16"/>
      <c r="FK813" s="16">
        <f t="shared" si="677"/>
        <v>5.51</v>
      </c>
      <c r="FL813" s="16">
        <f t="shared" si="678"/>
        <v>6.48</v>
      </c>
      <c r="FM813" s="15">
        <v>5.51</v>
      </c>
      <c r="FN813" s="15">
        <f t="shared" si="713"/>
        <v>0.55100000000000005</v>
      </c>
      <c r="FO813" s="15">
        <f>FN813*SQRT(AR813)</f>
        <v>0.95435999497045143</v>
      </c>
      <c r="FP813" s="15">
        <v>6.48</v>
      </c>
      <c r="FQ813" s="15">
        <f t="shared" si="714"/>
        <v>0.64800000000000013</v>
      </c>
      <c r="FR813" s="15">
        <f>FQ813*SQRT(AR813)</f>
        <v>1.1223689233046326</v>
      </c>
      <c r="FS813" s="15">
        <f t="shared" si="702"/>
        <v>1.1760435571687842</v>
      </c>
      <c r="FT813" s="15">
        <f t="shared" si="703"/>
        <v>0.97000000000000064</v>
      </c>
      <c r="FU813" s="15">
        <f t="shared" si="704"/>
        <v>0.16215588719936025</v>
      </c>
      <c r="FV813" s="15">
        <f>((FR813*FR813)/(AR813*FP813*FP813)+(FO813*FO813)/(AR813*FM813*FM813))</f>
        <v>0.02</v>
      </c>
      <c r="HE813" s="15">
        <v>22809</v>
      </c>
      <c r="HF813" s="15">
        <f t="shared" si="717"/>
        <v>1140.45</v>
      </c>
      <c r="HG813" s="15">
        <f>HF813*SQRT(AR813)</f>
        <v>1975.3173434919261</v>
      </c>
      <c r="HH813" s="15">
        <v>26021</v>
      </c>
      <c r="HI813" s="15">
        <f t="shared" si="718"/>
        <v>1301.0500000000002</v>
      </c>
      <c r="HJ813" s="15">
        <f>HI813*SQRT(AR813)</f>
        <v>2253.4847031874879</v>
      </c>
      <c r="HK813" s="15">
        <f t="shared" si="719"/>
        <v>1.1408216055065983</v>
      </c>
      <c r="HL813" s="15">
        <f t="shared" si="720"/>
        <v>3212</v>
      </c>
      <c r="HM813" s="15">
        <f t="shared" si="721"/>
        <v>0.1317487094068639</v>
      </c>
      <c r="HN813" s="15">
        <f>((HJ813*HJ813)/(AR813*HH813*HH813)+(HG813*HG813)/(AR813*HE813*HE813))</f>
        <v>5.0000000000000001E-3</v>
      </c>
      <c r="HP813" s="15" t="s">
        <v>766</v>
      </c>
      <c r="HV813" s="15">
        <f t="shared" si="722"/>
        <v>92.221017228173352</v>
      </c>
      <c r="HW813" s="15">
        <f t="shared" si="723"/>
        <v>0.1317487094068639</v>
      </c>
      <c r="HX813" s="15">
        <f>BB813</f>
        <v>1215</v>
      </c>
      <c r="HY813" s="15">
        <f>AZ813</f>
        <v>2025.0000000000002</v>
      </c>
      <c r="HZ813" s="15">
        <f>BA813</f>
        <v>0.6911262798634813</v>
      </c>
      <c r="IA813" s="15">
        <f>BB813</f>
        <v>1215</v>
      </c>
    </row>
    <row r="814" spans="1:235" s="15" customFormat="1" x14ac:dyDescent="0.25">
      <c r="A814" s="31">
        <v>812</v>
      </c>
      <c r="B814" s="43">
        <v>125</v>
      </c>
      <c r="C814" s="1">
        <v>147</v>
      </c>
      <c r="D814" s="15" t="s">
        <v>1799</v>
      </c>
      <c r="E814" s="31">
        <v>1</v>
      </c>
      <c r="F814" s="15" t="s">
        <v>761</v>
      </c>
      <c r="G814" s="15" t="s">
        <v>1835</v>
      </c>
      <c r="H814" s="15" t="s">
        <v>1836</v>
      </c>
      <c r="I814" s="31">
        <v>2018</v>
      </c>
      <c r="J814" s="15" t="s">
        <v>1858</v>
      </c>
      <c r="K814" s="1" t="s">
        <v>1866</v>
      </c>
      <c r="L814" s="15" t="s">
        <v>1873</v>
      </c>
      <c r="M814" s="15" t="s">
        <v>480</v>
      </c>
      <c r="N814" s="15" t="s">
        <v>23</v>
      </c>
      <c r="O814" s="31">
        <v>2</v>
      </c>
      <c r="P814" s="15">
        <v>32.688048999999999</v>
      </c>
      <c r="Q814" s="15">
        <v>115.531548</v>
      </c>
      <c r="R814" s="15" t="s">
        <v>1879</v>
      </c>
      <c r="S814" s="15">
        <v>900</v>
      </c>
      <c r="T814" s="15">
        <v>15</v>
      </c>
      <c r="U814" s="15" t="s">
        <v>1893</v>
      </c>
      <c r="V814" s="31">
        <v>1</v>
      </c>
      <c r="W814" s="16" t="s">
        <v>1898</v>
      </c>
      <c r="X814" s="15" t="s">
        <v>1903</v>
      </c>
      <c r="Y814" s="1">
        <v>3</v>
      </c>
      <c r="Z814" s="15">
        <v>5.62</v>
      </c>
      <c r="AA814" s="15" t="s">
        <v>573</v>
      </c>
      <c r="AB814" s="15">
        <f t="shared" si="673"/>
        <v>5.62</v>
      </c>
      <c r="AC814" s="1">
        <v>4</v>
      </c>
      <c r="AM814" s="1"/>
      <c r="AP814" s="15" t="s">
        <v>1915</v>
      </c>
      <c r="AQ814" s="1">
        <v>4</v>
      </c>
      <c r="AR814" s="1">
        <v>3</v>
      </c>
      <c r="AT814" s="15" t="s">
        <v>546</v>
      </c>
      <c r="AW814" s="15">
        <v>2250</v>
      </c>
      <c r="AX814" s="15">
        <f>AW814*1.35</f>
        <v>3037.5</v>
      </c>
      <c r="AY814" s="15" t="s">
        <v>766</v>
      </c>
      <c r="AZ814" s="15">
        <f t="shared" si="706"/>
        <v>3037.5</v>
      </c>
      <c r="BA814" s="15">
        <f t="shared" si="707"/>
        <v>1.0366894197952217</v>
      </c>
      <c r="BB814" s="15">
        <f t="shared" si="708"/>
        <v>1822.5</v>
      </c>
      <c r="BP814" s="16"/>
      <c r="BQ814" s="16"/>
      <c r="BR814" s="16"/>
      <c r="BU814" s="16"/>
      <c r="EZ814" s="16"/>
      <c r="FA814" s="16"/>
      <c r="FB814" s="16"/>
      <c r="FC814" s="16"/>
      <c r="FD814" s="16"/>
      <c r="FE814" s="16"/>
      <c r="FF814" s="16"/>
      <c r="FG814" s="16"/>
      <c r="FH814" s="16"/>
      <c r="FI814" s="16"/>
      <c r="FJ814" s="16"/>
      <c r="FK814" s="16">
        <f t="shared" si="677"/>
        <v>5.51</v>
      </c>
      <c r="FL814" s="16">
        <f t="shared" si="678"/>
        <v>7.03</v>
      </c>
      <c r="FM814" s="15">
        <v>5.51</v>
      </c>
      <c r="FN814" s="15">
        <f t="shared" si="713"/>
        <v>0.55100000000000005</v>
      </c>
      <c r="FO814" s="15">
        <f>FN814*SQRT(AR814)</f>
        <v>0.95435999497045143</v>
      </c>
      <c r="FP814" s="15">
        <v>7.03</v>
      </c>
      <c r="FQ814" s="15">
        <f t="shared" si="714"/>
        <v>0.70300000000000007</v>
      </c>
      <c r="FR814" s="15">
        <f>FQ814*SQRT(AR814)</f>
        <v>1.2176317177209208</v>
      </c>
      <c r="FS814" s="15">
        <f t="shared" si="702"/>
        <v>1.2758620689655173</v>
      </c>
      <c r="FT814" s="15">
        <f t="shared" si="703"/>
        <v>1.5200000000000005</v>
      </c>
      <c r="FU814" s="15">
        <f t="shared" si="704"/>
        <v>0.24362208265775043</v>
      </c>
      <c r="FV814" s="15">
        <f>((FR814*FR814)/(AR814*FP814*FP814)+(FO814*FO814)/(AR814*FM814*FM814))</f>
        <v>2.0000000000000004E-2</v>
      </c>
      <c r="HE814" s="15">
        <v>22809</v>
      </c>
      <c r="HF814" s="15">
        <f t="shared" si="717"/>
        <v>1140.45</v>
      </c>
      <c r="HG814" s="15">
        <f>HF814*SQRT(AR814)</f>
        <v>1975.3173434919261</v>
      </c>
      <c r="HH814" s="15">
        <v>25489</v>
      </c>
      <c r="HI814" s="15">
        <f t="shared" si="718"/>
        <v>1274.45</v>
      </c>
      <c r="HJ814" s="15">
        <f>HI814*SQRT(AR814)</f>
        <v>2207.4121517061558</v>
      </c>
      <c r="HK814" s="15">
        <f t="shared" si="719"/>
        <v>1.1174974790652812</v>
      </c>
      <c r="HL814" s="15">
        <f t="shared" si="720"/>
        <v>2680</v>
      </c>
      <c r="HM814" s="15">
        <f t="shared" si="721"/>
        <v>0.11109179163304717</v>
      </c>
      <c r="HN814" s="15">
        <f>((HJ814*HJ814)/(AR814*HH814*HH814)+(HG814*HG814)/(AR814*HE814*HE814))</f>
        <v>5.000000000000001E-3</v>
      </c>
      <c r="HP814" s="15" t="s">
        <v>766</v>
      </c>
      <c r="HV814" s="15">
        <f t="shared" si="722"/>
        <v>164.05352485627296</v>
      </c>
      <c r="HW814" s="15">
        <f t="shared" si="723"/>
        <v>0.11109179163304717</v>
      </c>
      <c r="HX814" s="15">
        <f>BB814</f>
        <v>1822.5</v>
      </c>
      <c r="HY814" s="15">
        <f>AZ814</f>
        <v>3037.5</v>
      </c>
      <c r="HZ814" s="15">
        <f>BA814</f>
        <v>1.0366894197952217</v>
      </c>
      <c r="IA814" s="15">
        <f>BB814</f>
        <v>1822.5</v>
      </c>
    </row>
    <row r="815" spans="1:235" s="15" customFormat="1" x14ac:dyDescent="0.25">
      <c r="A815" s="31">
        <v>813</v>
      </c>
      <c r="B815" s="43">
        <v>125</v>
      </c>
      <c r="C815" s="1">
        <v>147</v>
      </c>
      <c r="D815" s="15" t="s">
        <v>1800</v>
      </c>
      <c r="E815" s="31">
        <v>1</v>
      </c>
      <c r="F815" s="15" t="s">
        <v>761</v>
      </c>
      <c r="G815" s="15" t="s">
        <v>1835</v>
      </c>
      <c r="H815" s="15" t="s">
        <v>1836</v>
      </c>
      <c r="I815" s="31">
        <v>2018</v>
      </c>
      <c r="J815" s="15" t="s">
        <v>1858</v>
      </c>
      <c r="K815" s="1" t="s">
        <v>1866</v>
      </c>
      <c r="L815" s="15" t="s">
        <v>1873</v>
      </c>
      <c r="M815" s="15" t="s">
        <v>480</v>
      </c>
      <c r="N815" s="15" t="s">
        <v>23</v>
      </c>
      <c r="O815" s="31">
        <v>2</v>
      </c>
      <c r="P815" s="15">
        <v>32.688048999999999</v>
      </c>
      <c r="Q815" s="15">
        <v>115.531548</v>
      </c>
      <c r="R815" s="15" t="s">
        <v>1879</v>
      </c>
      <c r="S815" s="15">
        <v>900</v>
      </c>
      <c r="T815" s="15">
        <v>15</v>
      </c>
      <c r="U815" s="15" t="s">
        <v>1893</v>
      </c>
      <c r="V815" s="31">
        <v>1</v>
      </c>
      <c r="W815" s="16" t="s">
        <v>1898</v>
      </c>
      <c r="X815" s="15" t="s">
        <v>1903</v>
      </c>
      <c r="Y815" s="1">
        <v>3</v>
      </c>
      <c r="Z815" s="15">
        <v>5.62</v>
      </c>
      <c r="AA815" s="15" t="s">
        <v>573</v>
      </c>
      <c r="AB815" s="15">
        <f t="shared" si="673"/>
        <v>5.62</v>
      </c>
      <c r="AC815" s="1">
        <v>4</v>
      </c>
      <c r="AM815" s="1"/>
      <c r="AP815" s="15" t="s">
        <v>1915</v>
      </c>
      <c r="AQ815" s="1">
        <v>4</v>
      </c>
      <c r="AR815" s="1">
        <v>3</v>
      </c>
      <c r="AT815" s="15" t="s">
        <v>546</v>
      </c>
      <c r="AW815" s="15">
        <v>3000</v>
      </c>
      <c r="AX815" s="15">
        <f>AW815*1.35</f>
        <v>4050.0000000000005</v>
      </c>
      <c r="AY815" s="15" t="s">
        <v>766</v>
      </c>
      <c r="AZ815" s="15">
        <f t="shared" si="706"/>
        <v>4050.0000000000005</v>
      </c>
      <c r="BA815" s="15">
        <f t="shared" si="707"/>
        <v>1.3822525597269626</v>
      </c>
      <c r="BB815" s="15">
        <f t="shared" si="708"/>
        <v>2430</v>
      </c>
      <c r="BP815" s="16"/>
      <c r="BQ815" s="16"/>
      <c r="BR815" s="16"/>
      <c r="BU815" s="16"/>
      <c r="EZ815" s="16"/>
      <c r="FA815" s="16"/>
      <c r="FB815" s="16"/>
      <c r="FC815" s="16"/>
      <c r="FD815" s="16"/>
      <c r="FE815" s="16"/>
      <c r="FF815" s="16"/>
      <c r="FG815" s="16"/>
      <c r="FH815" s="16"/>
      <c r="FI815" s="16"/>
      <c r="FJ815" s="16"/>
      <c r="FK815" s="16">
        <f t="shared" si="677"/>
        <v>5.51</v>
      </c>
      <c r="FL815" s="16">
        <f t="shared" si="678"/>
        <v>7.11</v>
      </c>
      <c r="FM815" s="15">
        <v>5.51</v>
      </c>
      <c r="FN815" s="15">
        <f t="shared" si="713"/>
        <v>0.55100000000000005</v>
      </c>
      <c r="FO815" s="15">
        <f>FN815*SQRT(AR815)</f>
        <v>0.95435999497045143</v>
      </c>
      <c r="FP815" s="15">
        <v>7.11</v>
      </c>
      <c r="FQ815" s="15">
        <f t="shared" si="714"/>
        <v>0.71100000000000008</v>
      </c>
      <c r="FR815" s="15">
        <f>FQ815*SQRT(AR815)</f>
        <v>1.2314881241814719</v>
      </c>
      <c r="FS815" s="15">
        <f t="shared" si="702"/>
        <v>1.2903811252268604</v>
      </c>
      <c r="FT815" s="15">
        <f t="shared" si="703"/>
        <v>1.6000000000000005</v>
      </c>
      <c r="FU815" s="15">
        <f t="shared" si="704"/>
        <v>0.25493762065032644</v>
      </c>
      <c r="FV815" s="15">
        <f>((FR815*FR815)/(AR815*FP815*FP815)+(FO815*FO815)/(AR815*FM815*FM815))</f>
        <v>2.0000000000000004E-2</v>
      </c>
      <c r="HE815" s="15">
        <v>22809</v>
      </c>
      <c r="HF815" s="15">
        <f t="shared" si="717"/>
        <v>1140.45</v>
      </c>
      <c r="HG815" s="15">
        <f>HF815*SQRT(AR815)</f>
        <v>1975.3173434919261</v>
      </c>
      <c r="HH815" s="15">
        <v>24602</v>
      </c>
      <c r="HI815" s="15">
        <f t="shared" si="718"/>
        <v>1230.1000000000001</v>
      </c>
      <c r="HJ815" s="15">
        <f>HI815*SQRT(AR815)</f>
        <v>2130.5956983904762</v>
      </c>
      <c r="HK815" s="15">
        <f t="shared" si="719"/>
        <v>1.0786093208821079</v>
      </c>
      <c r="HL815" s="15">
        <f t="shared" si="720"/>
        <v>1793</v>
      </c>
      <c r="HM815" s="15">
        <f t="shared" si="721"/>
        <v>7.5672545532183833E-2</v>
      </c>
      <c r="HN815" s="15">
        <f>((HJ815*HJ815)/(AR815*HH815*HH815)+(HG815*HG815)/(AR815*HE815*HE815))</f>
        <v>5.000000000000001E-3</v>
      </c>
      <c r="HP815" s="15" t="s">
        <v>766</v>
      </c>
      <c r="HV815" s="15">
        <f t="shared" si="722"/>
        <v>321.12042523619237</v>
      </c>
      <c r="HW815" s="15">
        <f t="shared" si="723"/>
        <v>7.5672545532183833E-2</v>
      </c>
      <c r="HX815" s="15">
        <f>BB815</f>
        <v>2430</v>
      </c>
      <c r="HY815" s="15">
        <f>AZ815</f>
        <v>4050.0000000000005</v>
      </c>
      <c r="HZ815" s="15">
        <f>BA815</f>
        <v>1.3822525597269626</v>
      </c>
      <c r="IA815" s="15">
        <f>BB815</f>
        <v>2430</v>
      </c>
    </row>
    <row r="816" spans="1:235" s="15" customFormat="1" x14ac:dyDescent="0.25">
      <c r="A816" s="31">
        <v>814</v>
      </c>
      <c r="B816" s="43">
        <v>126</v>
      </c>
      <c r="C816" s="1">
        <v>148</v>
      </c>
      <c r="D816" s="15" t="s">
        <v>1801</v>
      </c>
      <c r="E816" s="31">
        <v>1</v>
      </c>
      <c r="F816" s="15" t="s">
        <v>761</v>
      </c>
      <c r="G816" s="15" t="s">
        <v>1837</v>
      </c>
      <c r="H816" s="15" t="s">
        <v>1838</v>
      </c>
      <c r="I816" s="31">
        <v>2016</v>
      </c>
      <c r="J816" s="15" t="s">
        <v>1859</v>
      </c>
      <c r="K816" s="1" t="s">
        <v>1867</v>
      </c>
      <c r="L816" s="15" t="s">
        <v>1874</v>
      </c>
      <c r="M816" s="15" t="s">
        <v>480</v>
      </c>
      <c r="N816" s="15" t="s">
        <v>23</v>
      </c>
      <c r="O816" s="31">
        <v>2</v>
      </c>
      <c r="P816" s="15">
        <v>44.049683000000002</v>
      </c>
      <c r="Q816" s="15">
        <v>126.110527</v>
      </c>
      <c r="R816" s="15" t="s">
        <v>1880</v>
      </c>
      <c r="S816" s="15" t="s">
        <v>1881</v>
      </c>
      <c r="T816" s="15">
        <v>4.8</v>
      </c>
      <c r="U816" s="15" t="s">
        <v>1893</v>
      </c>
      <c r="V816" s="31">
        <v>1</v>
      </c>
      <c r="W816" s="16" t="s">
        <v>1226</v>
      </c>
      <c r="X816" s="15" t="s">
        <v>1904</v>
      </c>
      <c r="Y816" s="1">
        <v>9</v>
      </c>
      <c r="Z816" s="15">
        <v>5.13</v>
      </c>
      <c r="AA816" s="15" t="s">
        <v>573</v>
      </c>
      <c r="AB816" s="15">
        <f t="shared" si="673"/>
        <v>5.13</v>
      </c>
      <c r="AC816" s="1">
        <v>3</v>
      </c>
      <c r="AD816" s="15">
        <v>70.2</v>
      </c>
      <c r="AM816" s="1"/>
      <c r="AQ816" s="1"/>
      <c r="AR816" s="1">
        <v>3</v>
      </c>
      <c r="AT816" s="15" t="s">
        <v>545</v>
      </c>
      <c r="AW816" s="15">
        <v>1500</v>
      </c>
      <c r="AX816" s="15">
        <f t="shared" ref="AX816:AX834" si="724">AW816*1.78</f>
        <v>2670</v>
      </c>
      <c r="AY816" s="15" t="s">
        <v>766</v>
      </c>
      <c r="AZ816" s="15">
        <f t="shared" si="706"/>
        <v>2670</v>
      </c>
      <c r="BA816" s="15">
        <f t="shared" si="707"/>
        <v>0.9112627986348123</v>
      </c>
      <c r="BB816" s="15">
        <f t="shared" si="708"/>
        <v>1602</v>
      </c>
      <c r="BP816" s="16"/>
      <c r="BQ816" s="16"/>
      <c r="BR816" s="16"/>
      <c r="BU816" s="16"/>
      <c r="EZ816" s="16"/>
      <c r="FA816" s="16"/>
      <c r="FB816" s="16"/>
      <c r="FC816" s="16"/>
      <c r="FD816" s="16"/>
      <c r="FE816" s="16"/>
      <c r="FF816" s="16"/>
      <c r="FG816" s="16"/>
      <c r="FH816" s="16"/>
      <c r="FI816" s="16"/>
      <c r="FJ816" s="16"/>
      <c r="FK816" s="16">
        <f t="shared" si="677"/>
        <v>5.13</v>
      </c>
      <c r="FL816" s="16">
        <f t="shared" si="678"/>
        <v>6.08</v>
      </c>
      <c r="FM816" s="15">
        <v>5.13</v>
      </c>
      <c r="FN816" s="15">
        <f t="shared" si="713"/>
        <v>0.51300000000000001</v>
      </c>
      <c r="FO816" s="15">
        <f>FN816*SQRT(AR816)</f>
        <v>0.888542064282834</v>
      </c>
      <c r="FP816" s="15">
        <v>6.08</v>
      </c>
      <c r="FQ816" s="15">
        <f t="shared" si="714"/>
        <v>0.6080000000000001</v>
      </c>
      <c r="FR816" s="15">
        <f>FQ816*SQRT(AR816)</f>
        <v>1.0530868910018776</v>
      </c>
      <c r="FS816" s="15">
        <f t="shared" si="702"/>
        <v>1.1851851851851851</v>
      </c>
      <c r="FT816" s="15">
        <f t="shared" si="703"/>
        <v>0.95000000000000018</v>
      </c>
      <c r="FU816" s="15">
        <f t="shared" si="704"/>
        <v>0.16989903679539742</v>
      </c>
      <c r="FV816" s="15">
        <f>((FR816*FR816)/(AR816*FP816*FP816)+(FO816*FO816)/(AR816*FM816*FM816))</f>
        <v>2.0000000000000004E-2</v>
      </c>
      <c r="FX816" s="15">
        <v>70.2</v>
      </c>
      <c r="FY816" s="15">
        <f>FX816*0.05</f>
        <v>3.5100000000000002</v>
      </c>
      <c r="FZ816" s="15">
        <f>FY816*SQRT(AR816)</f>
        <v>6.0794983345667593</v>
      </c>
      <c r="GA816" s="15">
        <v>57.2</v>
      </c>
      <c r="GB816" s="15">
        <f>GA816*0.05</f>
        <v>2.8600000000000003</v>
      </c>
      <c r="GC816" s="15">
        <f>GB816*SQRT(AR816)</f>
        <v>4.9536653096469889</v>
      </c>
      <c r="GD816" s="15">
        <v>0.81481481481481477</v>
      </c>
      <c r="GE816" s="15">
        <f>GA816-FX816</f>
        <v>-13</v>
      </c>
      <c r="GF816" s="15">
        <f>LN(GA816)-LN(FX816)</f>
        <v>-0.20479441264601395</v>
      </c>
      <c r="GG816" s="15">
        <f>((GC816*GC816)/(AR816*GA816*GA816)+(FZ816*FZ816)/(AR816*FX816*FX816))</f>
        <v>4.9999999999999984E-3</v>
      </c>
      <c r="HE816" s="15">
        <v>21800</v>
      </c>
      <c r="HF816" s="15">
        <f t="shared" si="717"/>
        <v>1090</v>
      </c>
      <c r="HG816" s="15">
        <f>HF816*SQRT(AR816)</f>
        <v>1887.9353802500762</v>
      </c>
      <c r="HH816" s="15">
        <v>25200</v>
      </c>
      <c r="HI816" s="15">
        <f t="shared" si="718"/>
        <v>1260</v>
      </c>
      <c r="HJ816" s="15">
        <f>HI816*SQRT(AR816)</f>
        <v>2182.3840175367854</v>
      </c>
      <c r="HK816" s="15">
        <f t="shared" si="719"/>
        <v>1.1559633027522935</v>
      </c>
      <c r="HL816" s="15">
        <f t="shared" si="720"/>
        <v>3400</v>
      </c>
      <c r="HM816" s="15">
        <f t="shared" si="721"/>
        <v>0.14493402472233363</v>
      </c>
      <c r="HN816" s="15">
        <f>((HJ816*HJ816)/(AR816*HH816*HH816)+(HG816*HG816)/(AR816*HE816*HE816))</f>
        <v>4.9999999999999992E-3</v>
      </c>
      <c r="HP816" s="15" t="s">
        <v>766</v>
      </c>
      <c r="HV816" s="15">
        <f t="shared" si="722"/>
        <v>110.53305137072755</v>
      </c>
      <c r="HW816" s="15">
        <f t="shared" si="723"/>
        <v>0.14493402472233363</v>
      </c>
      <c r="HX816" s="15">
        <f>BB816</f>
        <v>1602</v>
      </c>
      <c r="HY816" s="15">
        <f>AZ816</f>
        <v>2670</v>
      </c>
      <c r="HZ816" s="15">
        <f>BA816</f>
        <v>0.9112627986348123</v>
      </c>
      <c r="IA816" s="15">
        <f>BB816</f>
        <v>1602</v>
      </c>
    </row>
    <row r="817" spans="1:235" s="15" customFormat="1" x14ac:dyDescent="0.25">
      <c r="A817" s="31">
        <v>815</v>
      </c>
      <c r="B817" s="43">
        <v>127</v>
      </c>
      <c r="C817" s="1">
        <v>149</v>
      </c>
      <c r="D817" s="15" t="s">
        <v>1802</v>
      </c>
      <c r="E817" s="31">
        <v>1</v>
      </c>
      <c r="F817" s="15" t="s">
        <v>761</v>
      </c>
      <c r="G817" s="15" t="s">
        <v>1839</v>
      </c>
      <c r="H817" s="15" t="s">
        <v>1840</v>
      </c>
      <c r="I817" s="31">
        <v>2017</v>
      </c>
      <c r="J817" s="15" t="s">
        <v>1860</v>
      </c>
      <c r="K817" s="1" t="s">
        <v>1868</v>
      </c>
      <c r="L817" s="15" t="s">
        <v>1021</v>
      </c>
      <c r="M817" s="15" t="s">
        <v>480</v>
      </c>
      <c r="N817" s="15" t="s">
        <v>23</v>
      </c>
      <c r="O817" s="31">
        <v>2</v>
      </c>
      <c r="P817" s="15">
        <v>28.874814000000001</v>
      </c>
      <c r="Q817" s="15">
        <v>117.275065</v>
      </c>
      <c r="R817" s="15">
        <v>320</v>
      </c>
      <c r="S817" s="15">
        <v>1763.5</v>
      </c>
      <c r="T817" s="15">
        <v>17</v>
      </c>
      <c r="U817" s="15" t="s">
        <v>1893</v>
      </c>
      <c r="V817" s="31">
        <v>1</v>
      </c>
      <c r="W817" s="16" t="s">
        <v>1898</v>
      </c>
      <c r="X817" s="15" t="s">
        <v>1900</v>
      </c>
      <c r="Y817" s="1">
        <v>1</v>
      </c>
      <c r="Z817" s="15" t="s">
        <v>1910</v>
      </c>
      <c r="AA817" s="15" t="s">
        <v>573</v>
      </c>
      <c r="AB817" s="15" t="str">
        <f t="shared" si="673"/>
        <v xml:space="preserve"> 4. 66</v>
      </c>
      <c r="AC817" s="1">
        <v>2</v>
      </c>
      <c r="AD817" s="15">
        <v>29</v>
      </c>
      <c r="AM817" s="1"/>
      <c r="AP817" s="15" t="s">
        <v>1916</v>
      </c>
      <c r="AQ817" s="57">
        <v>5</v>
      </c>
      <c r="AR817" s="1">
        <v>3</v>
      </c>
      <c r="AT817" s="15" t="s">
        <v>1920</v>
      </c>
      <c r="AU817" s="15" t="s">
        <v>1921</v>
      </c>
      <c r="AW817" s="15">
        <v>450</v>
      </c>
      <c r="AX817" s="15">
        <f t="shared" si="724"/>
        <v>801</v>
      </c>
      <c r="AY817" s="15" t="s">
        <v>766</v>
      </c>
      <c r="AZ817" s="15">
        <f t="shared" si="706"/>
        <v>801</v>
      </c>
      <c r="BA817" s="15">
        <f t="shared" si="707"/>
        <v>0.27337883959044362</v>
      </c>
      <c r="BB817" s="15">
        <f t="shared" si="708"/>
        <v>480.59999999999997</v>
      </c>
      <c r="BP817" s="16"/>
      <c r="BQ817" s="16"/>
      <c r="BR817" s="16"/>
      <c r="BU817" s="16"/>
      <c r="EZ817" s="16"/>
      <c r="FA817" s="16"/>
      <c r="FB817" s="16"/>
      <c r="FC817" s="16"/>
      <c r="FD817" s="16"/>
      <c r="FE817" s="16"/>
      <c r="FF817" s="16"/>
      <c r="FG817" s="16"/>
      <c r="FH817" s="16"/>
      <c r="FI817" s="16"/>
      <c r="FJ817" s="16"/>
      <c r="FK817" s="16">
        <f t="shared" si="677"/>
        <v>4.9800000000000004</v>
      </c>
      <c r="FL817" s="16">
        <f t="shared" si="678"/>
        <v>5.0199999999999996</v>
      </c>
      <c r="FM817" s="15">
        <v>4.9800000000000004</v>
      </c>
      <c r="FN817" s="15">
        <f t="shared" si="713"/>
        <v>0.49800000000000005</v>
      </c>
      <c r="FO817" s="15">
        <f>FN817*SQRT(AR817)</f>
        <v>0.86256130216930094</v>
      </c>
      <c r="FP817" s="15">
        <v>5.0199999999999996</v>
      </c>
      <c r="FQ817" s="15">
        <f t="shared" si="714"/>
        <v>0.502</v>
      </c>
      <c r="FR817" s="15">
        <f>FQ817*SQRT(AR817)</f>
        <v>0.86948950539957637</v>
      </c>
      <c r="FS817" s="15">
        <f t="shared" si="702"/>
        <v>1.0080321285140561</v>
      </c>
      <c r="FT817" s="15">
        <f t="shared" si="703"/>
        <v>3.9999999999999147E-2</v>
      </c>
      <c r="FU817" s="15">
        <f t="shared" si="704"/>
        <v>8.0000426670761016E-3</v>
      </c>
      <c r="FV817" s="15">
        <f>((FR817*FR817)/(AR817*FP817*FP817)+(FO817*FO817)/(AR817*FM817*FM817))</f>
        <v>1.9999999999999997E-2</v>
      </c>
      <c r="FX817" s="15">
        <v>30.4</v>
      </c>
      <c r="FY817" s="15">
        <f>FX817*0.05</f>
        <v>1.52</v>
      </c>
      <c r="FZ817" s="15">
        <f>FY817*SQRT(AR817)</f>
        <v>2.6327172275046933</v>
      </c>
      <c r="GA817" s="15">
        <v>33.299999999999997</v>
      </c>
      <c r="GB817" s="15">
        <f>GA817*0.05</f>
        <v>1.665</v>
      </c>
      <c r="GC817" s="15">
        <f>GB817*SQRT(AR817)</f>
        <v>2.8838645946021808</v>
      </c>
      <c r="GD817" s="15">
        <v>1.0953947368421053</v>
      </c>
      <c r="GE817" s="15">
        <v>2.8999999999999986</v>
      </c>
      <c r="GF817" s="15">
        <f>LN(GA817)-LN(FX817)</f>
        <v>9.1114788574222061E-2</v>
      </c>
      <c r="GG817" s="15">
        <f>((GC817*GC817)/(AR817*GA817*GA817)+(FZ817*FZ817)/(AR817*FX817*FX817))</f>
        <v>5.000000000000001E-3</v>
      </c>
      <c r="HE817" s="15">
        <v>9397</v>
      </c>
      <c r="HF817" s="15">
        <f t="shared" si="717"/>
        <v>469.85</v>
      </c>
      <c r="HG817" s="15">
        <f>HF817*SQRT(AR817)</f>
        <v>813.80407193623694</v>
      </c>
      <c r="HH817" s="15">
        <v>9760</v>
      </c>
      <c r="HI817" s="15">
        <f t="shared" si="718"/>
        <v>488</v>
      </c>
      <c r="HJ817" s="15">
        <f>HI817*SQRT(AR817)</f>
        <v>845.24079409361207</v>
      </c>
      <c r="HK817" s="15">
        <f t="shared" si="719"/>
        <v>1.038629349792487</v>
      </c>
      <c r="HL817" s="15">
        <f t="shared" si="720"/>
        <v>363</v>
      </c>
      <c r="HM817" s="15">
        <f t="shared" si="721"/>
        <v>3.7901911024073698E-2</v>
      </c>
      <c r="HN817" s="15">
        <f>((HJ817*HJ817)/(AR817*HH817*HH817)+(HG817*HG817)/(AR817*HE817*HE817))</f>
        <v>4.9999999999999992E-3</v>
      </c>
      <c r="HP817" s="15" t="s">
        <v>766</v>
      </c>
      <c r="HV817" s="15">
        <f t="shared" si="722"/>
        <v>126.80099420178131</v>
      </c>
      <c r="HW817" s="15">
        <f t="shared" si="723"/>
        <v>3.7901911024073698E-2</v>
      </c>
      <c r="HX817" s="15">
        <f>BB817</f>
        <v>480.59999999999997</v>
      </c>
      <c r="HY817" s="15">
        <f>AZ817</f>
        <v>801</v>
      </c>
      <c r="HZ817" s="15">
        <f>BA817</f>
        <v>0.27337883959044362</v>
      </c>
      <c r="IA817" s="15">
        <f>BB817</f>
        <v>480.59999999999997</v>
      </c>
    </row>
    <row r="818" spans="1:235" s="15" customFormat="1" x14ac:dyDescent="0.25">
      <c r="A818" s="31">
        <v>816</v>
      </c>
      <c r="B818" s="43">
        <v>127</v>
      </c>
      <c r="C818" s="1">
        <v>149</v>
      </c>
      <c r="D818" s="15" t="s">
        <v>1803</v>
      </c>
      <c r="E818" s="31">
        <v>1</v>
      </c>
      <c r="F818" s="15" t="s">
        <v>761</v>
      </c>
      <c r="G818" s="15" t="s">
        <v>1839</v>
      </c>
      <c r="H818" s="15" t="s">
        <v>1840</v>
      </c>
      <c r="I818" s="31">
        <v>2017</v>
      </c>
      <c r="J818" s="15" t="s">
        <v>1860</v>
      </c>
      <c r="K818" s="1" t="s">
        <v>1868</v>
      </c>
      <c r="L818" s="15" t="s">
        <v>1021</v>
      </c>
      <c r="M818" s="15" t="s">
        <v>480</v>
      </c>
      <c r="N818" s="15" t="s">
        <v>23</v>
      </c>
      <c r="O818" s="31">
        <v>2</v>
      </c>
      <c r="P818" s="15">
        <v>28.874814000000001</v>
      </c>
      <c r="Q818" s="15">
        <v>117.275065</v>
      </c>
      <c r="R818" s="15">
        <v>320</v>
      </c>
      <c r="S818" s="15">
        <v>1763.5</v>
      </c>
      <c r="T818" s="15">
        <v>17</v>
      </c>
      <c r="U818" s="15" t="s">
        <v>1893</v>
      </c>
      <c r="V818" s="31">
        <v>1</v>
      </c>
      <c r="W818" s="16" t="s">
        <v>1898</v>
      </c>
      <c r="X818" s="15" t="s">
        <v>1900</v>
      </c>
      <c r="Y818" s="1">
        <v>1</v>
      </c>
      <c r="Z818" s="15" t="s">
        <v>1910</v>
      </c>
      <c r="AA818" s="15" t="s">
        <v>573</v>
      </c>
      <c r="AB818" s="15" t="str">
        <f t="shared" si="673"/>
        <v xml:space="preserve"> 4. 66</v>
      </c>
      <c r="AC818" s="1">
        <v>2</v>
      </c>
      <c r="AD818" s="15">
        <v>29</v>
      </c>
      <c r="AM818" s="1"/>
      <c r="AQ818" s="1"/>
      <c r="AR818" s="1">
        <v>3</v>
      </c>
      <c r="AT818" s="15" t="s">
        <v>1920</v>
      </c>
      <c r="AU818" s="15" t="s">
        <v>1921</v>
      </c>
      <c r="AW818" s="15">
        <v>750</v>
      </c>
      <c r="AX818" s="15">
        <f t="shared" si="724"/>
        <v>1335</v>
      </c>
      <c r="AY818" s="15" t="s">
        <v>766</v>
      </c>
      <c r="AZ818" s="15">
        <f t="shared" si="706"/>
        <v>1335</v>
      </c>
      <c r="BA818" s="15">
        <f t="shared" si="707"/>
        <v>0.45563139931740615</v>
      </c>
      <c r="BB818" s="15">
        <f t="shared" si="708"/>
        <v>801</v>
      </c>
      <c r="BP818" s="16"/>
      <c r="BQ818" s="16"/>
      <c r="BR818" s="16"/>
      <c r="BU818" s="16"/>
      <c r="EZ818" s="16"/>
      <c r="FA818" s="16"/>
      <c r="FB818" s="16"/>
      <c r="FC818" s="16"/>
      <c r="FD818" s="16"/>
      <c r="FE818" s="16"/>
      <c r="FF818" s="16"/>
      <c r="FG818" s="16"/>
      <c r="FH818" s="16"/>
      <c r="FI818" s="16"/>
      <c r="FJ818" s="16"/>
      <c r="FK818" s="16">
        <f t="shared" si="677"/>
        <v>4.9800000000000004</v>
      </c>
      <c r="FL818" s="16">
        <f t="shared" si="678"/>
        <v>5.1100000000000003</v>
      </c>
      <c r="FM818" s="15">
        <v>4.9800000000000004</v>
      </c>
      <c r="FN818" s="15">
        <f t="shared" si="713"/>
        <v>0.49800000000000005</v>
      </c>
      <c r="FO818" s="15">
        <f>FN818*SQRT(AR818)</f>
        <v>0.86256130216930094</v>
      </c>
      <c r="FP818" s="15">
        <v>5.1100000000000003</v>
      </c>
      <c r="FQ818" s="15">
        <f t="shared" si="714"/>
        <v>0.51100000000000001</v>
      </c>
      <c r="FR818" s="15">
        <f>FQ818*SQRT(AR818)</f>
        <v>0.88507796266769623</v>
      </c>
      <c r="FS818" s="15">
        <f t="shared" si="702"/>
        <v>1.0261044176706826</v>
      </c>
      <c r="FT818" s="15">
        <f t="shared" si="703"/>
        <v>0.12999999999999989</v>
      </c>
      <c r="FU818" s="15">
        <f t="shared" si="704"/>
        <v>2.5769513179051406E-2</v>
      </c>
      <c r="FV818" s="15">
        <f>((FR818*FR818)/(AR818*FP818*FP818)+(FO818*FO818)/(AR818*FM818*FM818))</f>
        <v>1.9999999999999997E-2</v>
      </c>
      <c r="FX818" s="15">
        <v>30.4</v>
      </c>
      <c r="FY818" s="15">
        <f>FX818*0.05</f>
        <v>1.52</v>
      </c>
      <c r="FZ818" s="15">
        <f>FY818*SQRT(AR818)</f>
        <v>2.6327172275046933</v>
      </c>
      <c r="GA818" s="15">
        <v>33.1</v>
      </c>
      <c r="GB818" s="15">
        <f>GA818*0.05</f>
        <v>1.6550000000000002</v>
      </c>
      <c r="GC818" s="15">
        <f>GB818*SQRT(AR818)</f>
        <v>2.8665440865264924</v>
      </c>
      <c r="GD818" s="15">
        <v>1.0888157894736843</v>
      </c>
      <c r="GE818" s="15">
        <v>2.7000000000000028</v>
      </c>
      <c r="GF818" s="15">
        <f>LN(GA818)-LN(FX818)</f>
        <v>8.5090673970841468E-2</v>
      </c>
      <c r="GG818" s="15">
        <f>((GC818*GC818)/(AR818*GA818*GA818)+(FZ818*FZ818)/(AR818*FX818*FX818))</f>
        <v>5.000000000000001E-3</v>
      </c>
      <c r="HE818" s="15">
        <v>9397</v>
      </c>
      <c r="HF818" s="15">
        <f t="shared" si="717"/>
        <v>469.85</v>
      </c>
      <c r="HG818" s="15">
        <f>HF818*SQRT(AR818)</f>
        <v>813.80407193623694</v>
      </c>
      <c r="HH818" s="15">
        <v>10019</v>
      </c>
      <c r="HI818" s="15">
        <f t="shared" si="718"/>
        <v>500.95000000000005</v>
      </c>
      <c r="HJ818" s="15">
        <f>HI818*SQRT(AR818)</f>
        <v>867.67085205162914</v>
      </c>
      <c r="HK818" s="15">
        <f t="shared" si="719"/>
        <v>1.0661913376609555</v>
      </c>
      <c r="HL818" s="15">
        <f t="shared" si="720"/>
        <v>622</v>
      </c>
      <c r="HM818" s="15">
        <f t="shared" si="721"/>
        <v>6.4092800876197842E-2</v>
      </c>
      <c r="HN818" s="15">
        <f>((HJ818*HJ818)/(AR818*HH818*HH818)+(HG818*HG818)/(AR818*HE818*HE818))</f>
        <v>5.0000000000000001E-3</v>
      </c>
      <c r="HP818" s="15" t="s">
        <v>766</v>
      </c>
      <c r="HV818" s="15">
        <f t="shared" si="722"/>
        <v>124.97503448900881</v>
      </c>
      <c r="HW818" s="15">
        <f t="shared" si="723"/>
        <v>6.4092800876197842E-2</v>
      </c>
      <c r="HX818" s="15">
        <f>BB818</f>
        <v>801</v>
      </c>
      <c r="HY818" s="15">
        <f>AZ818</f>
        <v>1335</v>
      </c>
      <c r="HZ818" s="15">
        <f>BA818</f>
        <v>0.45563139931740615</v>
      </c>
      <c r="IA818" s="15">
        <f>BB818</f>
        <v>801</v>
      </c>
    </row>
    <row r="819" spans="1:235" s="15" customFormat="1" x14ac:dyDescent="0.25">
      <c r="A819" s="31">
        <v>817</v>
      </c>
      <c r="B819" s="43">
        <v>127</v>
      </c>
      <c r="C819" s="1">
        <v>149</v>
      </c>
      <c r="D819" s="15" t="s">
        <v>1804</v>
      </c>
      <c r="E819" s="31">
        <v>1</v>
      </c>
      <c r="F819" s="15" t="s">
        <v>761</v>
      </c>
      <c r="G819" s="15" t="s">
        <v>1839</v>
      </c>
      <c r="H819" s="15" t="s">
        <v>1840</v>
      </c>
      <c r="I819" s="31">
        <v>2017</v>
      </c>
      <c r="J819" s="15" t="s">
        <v>1860</v>
      </c>
      <c r="K819" s="1" t="s">
        <v>1868</v>
      </c>
      <c r="L819" s="15" t="s">
        <v>1021</v>
      </c>
      <c r="M819" s="15" t="s">
        <v>480</v>
      </c>
      <c r="N819" s="15" t="s">
        <v>23</v>
      </c>
      <c r="O819" s="31">
        <v>2</v>
      </c>
      <c r="P819" s="15">
        <v>28.874814000000001</v>
      </c>
      <c r="Q819" s="15">
        <v>117.275065</v>
      </c>
      <c r="R819" s="15">
        <v>320</v>
      </c>
      <c r="S819" s="15">
        <v>1763.5</v>
      </c>
      <c r="T819" s="15">
        <v>17</v>
      </c>
      <c r="U819" s="15" t="s">
        <v>1893</v>
      </c>
      <c r="V819" s="31">
        <v>1</v>
      </c>
      <c r="W819" s="16" t="s">
        <v>1898</v>
      </c>
      <c r="X819" s="15" t="s">
        <v>1900</v>
      </c>
      <c r="Y819" s="1">
        <v>1</v>
      </c>
      <c r="Z819" s="15" t="s">
        <v>1910</v>
      </c>
      <c r="AA819" s="15" t="s">
        <v>573</v>
      </c>
      <c r="AB819" s="15" t="str">
        <f t="shared" ref="AB819:AB882" si="725">Z819</f>
        <v xml:space="preserve"> 4. 66</v>
      </c>
      <c r="AC819" s="1">
        <v>2</v>
      </c>
      <c r="AD819" s="15">
        <v>29</v>
      </c>
      <c r="AM819" s="1"/>
      <c r="AQ819" s="1"/>
      <c r="AR819" s="1">
        <v>3</v>
      </c>
      <c r="AT819" s="15" t="s">
        <v>1920</v>
      </c>
      <c r="AU819" s="15" t="s">
        <v>1921</v>
      </c>
      <c r="AW819" s="15">
        <v>1050</v>
      </c>
      <c r="AX819" s="15">
        <f t="shared" si="724"/>
        <v>1869</v>
      </c>
      <c r="AY819" s="15" t="s">
        <v>766</v>
      </c>
      <c r="AZ819" s="15">
        <f t="shared" si="706"/>
        <v>1869</v>
      </c>
      <c r="BA819" s="15">
        <f t="shared" si="707"/>
        <v>0.63788395904436856</v>
      </c>
      <c r="BB819" s="15">
        <f t="shared" si="708"/>
        <v>1121.3999999999999</v>
      </c>
      <c r="BP819" s="16"/>
      <c r="BQ819" s="16"/>
      <c r="BR819" s="16"/>
      <c r="BU819" s="16"/>
      <c r="EZ819" s="16"/>
      <c r="FA819" s="16"/>
      <c r="FB819" s="16"/>
      <c r="FC819" s="16"/>
      <c r="FD819" s="16"/>
      <c r="FE819" s="16"/>
      <c r="FF819" s="16"/>
      <c r="FG819" s="16"/>
      <c r="FH819" s="16"/>
      <c r="FI819" s="16"/>
      <c r="FJ819" s="16"/>
      <c r="FK819" s="16">
        <f t="shared" ref="FK819:FK827" si="726">FM819</f>
        <v>4.9800000000000004</v>
      </c>
      <c r="FL819" s="16">
        <f t="shared" ref="FL819:FL827" si="727">FP819</f>
        <v>5.23</v>
      </c>
      <c r="FM819" s="15">
        <v>4.9800000000000004</v>
      </c>
      <c r="FN819" s="15">
        <f t="shared" si="713"/>
        <v>0.49800000000000005</v>
      </c>
      <c r="FO819" s="15">
        <f>FN819*SQRT(AR819)</f>
        <v>0.86256130216930094</v>
      </c>
      <c r="FP819" s="15">
        <v>5.23</v>
      </c>
      <c r="FQ819" s="15">
        <f t="shared" si="714"/>
        <v>0.52300000000000002</v>
      </c>
      <c r="FR819" s="15">
        <f>FQ819*SQRT(AR819)</f>
        <v>0.90586257235852286</v>
      </c>
      <c r="FS819" s="15">
        <f t="shared" si="702"/>
        <v>1.0502008032128514</v>
      </c>
      <c r="FT819" s="15">
        <f t="shared" si="703"/>
        <v>0.25</v>
      </c>
      <c r="FU819" s="15">
        <f t="shared" si="704"/>
        <v>4.8981387040269997E-2</v>
      </c>
      <c r="FV819" s="15">
        <f>((FR819*FR819)/(AR819*FP819*FP819)+(FO819*FO819)/(AR819*FM819*FM819))</f>
        <v>1.9999999999999997E-2</v>
      </c>
      <c r="FX819" s="15">
        <v>30.4</v>
      </c>
      <c r="FY819" s="15">
        <f>FX819*0.05</f>
        <v>1.52</v>
      </c>
      <c r="FZ819" s="15">
        <f>FY819*SQRT(AR819)</f>
        <v>2.6327172275046933</v>
      </c>
      <c r="GA819" s="15">
        <v>32.200000000000003</v>
      </c>
      <c r="GB819" s="15">
        <f>GA819*0.05</f>
        <v>1.6100000000000003</v>
      </c>
      <c r="GC819" s="15">
        <f>GB819*SQRT(AR819)</f>
        <v>2.788601800185893</v>
      </c>
      <c r="GD819" s="15">
        <v>1.0592105263157896</v>
      </c>
      <c r="GE819" s="15">
        <v>1.8000000000000043</v>
      </c>
      <c r="GF819" s="15">
        <f>LN(GA819)-LN(FX819)</f>
        <v>5.7523844138186675E-2</v>
      </c>
      <c r="GG819" s="15">
        <f>((GC819*GC819)/(AR819*GA819*GA819)+(FZ819*FZ819)/(AR819*FX819*FX819))</f>
        <v>5.000000000000001E-3</v>
      </c>
      <c r="HE819" s="15">
        <v>9397</v>
      </c>
      <c r="HF819" s="15">
        <f t="shared" si="717"/>
        <v>469.85</v>
      </c>
      <c r="HG819" s="15">
        <f>HF819*SQRT(AR819)</f>
        <v>813.80407193623694</v>
      </c>
      <c r="HH819" s="15">
        <v>9900</v>
      </c>
      <c r="HI819" s="15">
        <f t="shared" si="718"/>
        <v>495</v>
      </c>
      <c r="HJ819" s="15">
        <f>HI819*SQRT(AR819)</f>
        <v>857.36514974659417</v>
      </c>
      <c r="HK819" s="15">
        <f t="shared" si="719"/>
        <v>1.0535277216132808</v>
      </c>
      <c r="HL819" s="15">
        <f t="shared" si="720"/>
        <v>503</v>
      </c>
      <c r="HM819" s="15">
        <f t="shared" si="721"/>
        <v>5.2144267739615557E-2</v>
      </c>
      <c r="HN819" s="15">
        <f>((HJ819*HJ819)/(AR819*HH819*HH819)+(HG819*HG819)/(AR819*HE819*HE819))</f>
        <v>4.9999999999999992E-3</v>
      </c>
      <c r="HP819" s="15" t="s">
        <v>766</v>
      </c>
      <c r="HV819" s="15">
        <f t="shared" si="722"/>
        <v>215.05719585511386</v>
      </c>
      <c r="HW819" s="15">
        <f t="shared" si="723"/>
        <v>5.2144267739615557E-2</v>
      </c>
      <c r="HX819" s="15">
        <f>BB819</f>
        <v>1121.3999999999999</v>
      </c>
      <c r="HY819" s="15">
        <f>AZ819</f>
        <v>1869</v>
      </c>
      <c r="HZ819" s="15">
        <f>BA819</f>
        <v>0.63788395904436856</v>
      </c>
      <c r="IA819" s="15">
        <f>BB819</f>
        <v>1121.3999999999999</v>
      </c>
    </row>
    <row r="820" spans="1:235" s="15" customFormat="1" x14ac:dyDescent="0.25">
      <c r="A820" s="31">
        <v>818</v>
      </c>
      <c r="B820" s="43">
        <v>128</v>
      </c>
      <c r="C820" s="1">
        <v>150</v>
      </c>
      <c r="D820" s="15" t="s">
        <v>1805</v>
      </c>
      <c r="E820" s="31">
        <v>1</v>
      </c>
      <c r="F820" s="15" t="s">
        <v>761</v>
      </c>
      <c r="G820" s="15" t="s">
        <v>1841</v>
      </c>
      <c r="H820" s="15" t="s">
        <v>1842</v>
      </c>
      <c r="I820" s="31">
        <v>2020</v>
      </c>
      <c r="J820" s="15" t="s">
        <v>1860</v>
      </c>
      <c r="K820" s="1" t="s">
        <v>1871</v>
      </c>
      <c r="L820" s="15" t="s">
        <v>1875</v>
      </c>
      <c r="M820" s="15" t="s">
        <v>480</v>
      </c>
      <c r="N820" s="15" t="s">
        <v>23</v>
      </c>
      <c r="O820" s="31">
        <v>2</v>
      </c>
      <c r="P820" s="15">
        <v>30.659839999999999</v>
      </c>
      <c r="Q820" s="15">
        <v>104.10194</v>
      </c>
      <c r="R820" s="15">
        <v>750</v>
      </c>
      <c r="S820" s="15" t="s">
        <v>1882</v>
      </c>
      <c r="T820" s="15">
        <v>16</v>
      </c>
      <c r="U820" s="15" t="s">
        <v>1893</v>
      </c>
      <c r="V820" s="31">
        <v>1</v>
      </c>
      <c r="W820" s="16" t="s">
        <v>1226</v>
      </c>
      <c r="X820" s="15" t="s">
        <v>1905</v>
      </c>
      <c r="Y820" s="61">
        <v>11</v>
      </c>
      <c r="Z820" s="15">
        <v>5.3</v>
      </c>
      <c r="AA820" s="15" t="s">
        <v>573</v>
      </c>
      <c r="AB820" s="15">
        <f t="shared" si="725"/>
        <v>5.3</v>
      </c>
      <c r="AC820" s="1">
        <v>3</v>
      </c>
      <c r="AD820" s="15">
        <v>33.4</v>
      </c>
      <c r="AF820" s="15">
        <v>13.9</v>
      </c>
      <c r="AM820" s="1"/>
      <c r="AP820" s="15" t="s">
        <v>1917</v>
      </c>
      <c r="AQ820" s="61">
        <v>3</v>
      </c>
      <c r="AR820" s="1">
        <v>3</v>
      </c>
      <c r="AT820" s="15" t="s">
        <v>1920</v>
      </c>
      <c r="AU820" s="15">
        <v>95</v>
      </c>
      <c r="AW820" s="15">
        <v>750</v>
      </c>
      <c r="AX820" s="15">
        <f t="shared" si="724"/>
        <v>1335</v>
      </c>
      <c r="AY820" s="15" t="s">
        <v>766</v>
      </c>
      <c r="AZ820" s="15">
        <f t="shared" si="706"/>
        <v>1335</v>
      </c>
      <c r="BA820" s="15">
        <f t="shared" si="707"/>
        <v>0.45563139931740615</v>
      </c>
      <c r="BB820" s="15">
        <f t="shared" si="708"/>
        <v>801</v>
      </c>
      <c r="BP820" s="16"/>
      <c r="BQ820" s="16"/>
      <c r="BR820" s="16"/>
      <c r="BU820" s="16"/>
      <c r="EZ820" s="16"/>
      <c r="FA820" s="16"/>
      <c r="FB820" s="16"/>
      <c r="FC820" s="16"/>
      <c r="FD820" s="16"/>
      <c r="FE820" s="16"/>
      <c r="FF820" s="16"/>
      <c r="FG820" s="16"/>
      <c r="FH820" s="16"/>
      <c r="FI820" s="16"/>
      <c r="FJ820" s="16"/>
      <c r="FK820" s="16">
        <f t="shared" si="726"/>
        <v>5.0999999999999996</v>
      </c>
      <c r="FL820" s="16">
        <f t="shared" si="727"/>
        <v>6.2</v>
      </c>
      <c r="FM820" s="15">
        <v>5.0999999999999996</v>
      </c>
      <c r="FN820" s="15">
        <f t="shared" si="713"/>
        <v>0.51</v>
      </c>
      <c r="FO820" s="15">
        <f>FN820*SQRT(AR820)</f>
        <v>0.88334591186012734</v>
      </c>
      <c r="FP820" s="15">
        <v>6.2</v>
      </c>
      <c r="FQ820" s="15">
        <f t="shared" si="714"/>
        <v>0.62000000000000011</v>
      </c>
      <c r="FR820" s="15">
        <f>FQ820*SQRT(AR820)</f>
        <v>1.073871500692704</v>
      </c>
      <c r="FS820" s="15">
        <f t="shared" si="702"/>
        <v>1.215686274509804</v>
      </c>
      <c r="FT820" s="15">
        <f t="shared" si="703"/>
        <v>1.1000000000000005</v>
      </c>
      <c r="FU820" s="15">
        <f t="shared" si="704"/>
        <v>0.19530875232076594</v>
      </c>
      <c r="FV820" s="15">
        <f>((FR820*FR820)/(AR820*FP820*FP820)+(FO820*FO820)/(AR820*FM820*FM820))</f>
        <v>2.0000000000000004E-2</v>
      </c>
      <c r="HE820" s="15">
        <v>7480</v>
      </c>
      <c r="HF820" s="15">
        <f t="shared" si="717"/>
        <v>374</v>
      </c>
      <c r="HG820" s="15">
        <f>HF820*SQRT(AR820)</f>
        <v>647.78700203076005</v>
      </c>
      <c r="HH820" s="15">
        <v>8060</v>
      </c>
      <c r="HI820" s="15">
        <f t="shared" si="718"/>
        <v>403</v>
      </c>
      <c r="HJ820" s="15">
        <f>HI820*SQRT(AR820)</f>
        <v>698.01647545025753</v>
      </c>
      <c r="HK820" s="15">
        <f t="shared" si="719"/>
        <v>1.0775401069518717</v>
      </c>
      <c r="HL820" s="15">
        <f t="shared" si="720"/>
        <v>580</v>
      </c>
      <c r="HM820" s="15">
        <f t="shared" si="721"/>
        <v>7.4680764532150334E-2</v>
      </c>
      <c r="HN820" s="15">
        <f>((HJ820*HJ820)/(AR820*HH820*HH820)+(HG820*HG820)/(AR820*HE820*HE820))</f>
        <v>4.9999999999999992E-3</v>
      </c>
      <c r="HP820" s="15" t="s">
        <v>766</v>
      </c>
      <c r="HV820" s="15">
        <f t="shared" si="722"/>
        <v>107.25653453308806</v>
      </c>
      <c r="HW820" s="15">
        <f t="shared" si="723"/>
        <v>7.4680764532150334E-2</v>
      </c>
      <c r="HX820" s="15">
        <f>BB820</f>
        <v>801</v>
      </c>
      <c r="HY820" s="15">
        <f>AZ820</f>
        <v>1335</v>
      </c>
      <c r="HZ820" s="15">
        <f>BA820</f>
        <v>0.45563139931740615</v>
      </c>
      <c r="IA820" s="15">
        <f>BB820</f>
        <v>801</v>
      </c>
    </row>
    <row r="821" spans="1:235" s="15" customFormat="1" x14ac:dyDescent="0.25">
      <c r="A821" s="31">
        <v>819</v>
      </c>
      <c r="B821" s="43">
        <v>128</v>
      </c>
      <c r="C821" s="1">
        <v>150</v>
      </c>
      <c r="D821" s="15" t="s">
        <v>1806</v>
      </c>
      <c r="E821" s="31">
        <v>1</v>
      </c>
      <c r="F821" s="15" t="s">
        <v>761</v>
      </c>
      <c r="G821" s="15" t="s">
        <v>1841</v>
      </c>
      <c r="H821" s="15" t="s">
        <v>1842</v>
      </c>
      <c r="I821" s="31">
        <v>2020</v>
      </c>
      <c r="J821" s="15" t="s">
        <v>1860</v>
      </c>
      <c r="K821" s="1" t="s">
        <v>1871</v>
      </c>
      <c r="L821" s="15" t="s">
        <v>1875</v>
      </c>
      <c r="M821" s="15" t="s">
        <v>480</v>
      </c>
      <c r="N821" s="15" t="s">
        <v>23</v>
      </c>
      <c r="O821" s="31">
        <v>2</v>
      </c>
      <c r="P821" s="15">
        <v>30.659839999999999</v>
      </c>
      <c r="Q821" s="15">
        <v>104.10194</v>
      </c>
      <c r="R821" s="15">
        <v>750</v>
      </c>
      <c r="S821" s="15" t="s">
        <v>1883</v>
      </c>
      <c r="T821" s="15">
        <v>16</v>
      </c>
      <c r="U821" s="15" t="s">
        <v>1893</v>
      </c>
      <c r="V821" s="31">
        <v>1</v>
      </c>
      <c r="W821" s="16" t="s">
        <v>1226</v>
      </c>
      <c r="X821" s="15" t="s">
        <v>1905</v>
      </c>
      <c r="Y821" s="61">
        <v>11</v>
      </c>
      <c r="Z821" s="15">
        <v>5.3</v>
      </c>
      <c r="AA821" s="15" t="s">
        <v>573</v>
      </c>
      <c r="AB821" s="15">
        <f t="shared" si="725"/>
        <v>5.3</v>
      </c>
      <c r="AC821" s="1">
        <v>3</v>
      </c>
      <c r="AD821" s="15">
        <v>33.4</v>
      </c>
      <c r="AF821" s="15">
        <v>13.9</v>
      </c>
      <c r="AM821" s="1"/>
      <c r="AP821" s="15" t="s">
        <v>1917</v>
      </c>
      <c r="AQ821" s="61">
        <v>3</v>
      </c>
      <c r="AR821" s="1">
        <v>3</v>
      </c>
      <c r="AT821" s="15" t="s">
        <v>1920</v>
      </c>
      <c r="AU821" s="15">
        <v>95</v>
      </c>
      <c r="AW821" s="15">
        <v>1500</v>
      </c>
      <c r="AX821" s="15">
        <f t="shared" si="724"/>
        <v>2670</v>
      </c>
      <c r="AY821" s="15" t="s">
        <v>766</v>
      </c>
      <c r="AZ821" s="15">
        <f t="shared" si="706"/>
        <v>2670</v>
      </c>
      <c r="BA821" s="15">
        <f t="shared" si="707"/>
        <v>0.9112627986348123</v>
      </c>
      <c r="BB821" s="15">
        <f t="shared" si="708"/>
        <v>1602</v>
      </c>
      <c r="BP821" s="16"/>
      <c r="BQ821" s="16"/>
      <c r="BR821" s="16"/>
      <c r="BU821" s="16"/>
      <c r="EZ821" s="16"/>
      <c r="FA821" s="16"/>
      <c r="FB821" s="16"/>
      <c r="FC821" s="16"/>
      <c r="FD821" s="16"/>
      <c r="FE821" s="16"/>
      <c r="FF821" s="16"/>
      <c r="FG821" s="16"/>
      <c r="FH821" s="16"/>
      <c r="FI821" s="16"/>
      <c r="FJ821" s="16"/>
      <c r="FK821" s="16">
        <f t="shared" si="726"/>
        <v>5.0999999999999996</v>
      </c>
      <c r="FL821" s="16">
        <f t="shared" si="727"/>
        <v>7.2</v>
      </c>
      <c r="FM821" s="15">
        <v>5.0999999999999996</v>
      </c>
      <c r="FN821" s="15">
        <f t="shared" si="713"/>
        <v>0.51</v>
      </c>
      <c r="FO821" s="15">
        <f>FN821*SQRT(AR821)</f>
        <v>0.88334591186012734</v>
      </c>
      <c r="FP821" s="15">
        <v>7.2</v>
      </c>
      <c r="FQ821" s="15">
        <f t="shared" si="714"/>
        <v>0.72000000000000008</v>
      </c>
      <c r="FR821" s="15">
        <f>FQ821*SQRT(AR821)</f>
        <v>1.2470765814495917</v>
      </c>
      <c r="FS821" s="15">
        <f t="shared" si="702"/>
        <v>1.411764705882353</v>
      </c>
      <c r="FT821" s="15">
        <f t="shared" si="703"/>
        <v>2.1000000000000005</v>
      </c>
      <c r="FU821" s="15">
        <f t="shared" si="704"/>
        <v>0.34484048629172959</v>
      </c>
      <c r="FV821" s="15">
        <f>((FR821*FR821)/(AR821*FP821*FP821)+(FO821*FO821)/(AR821*FM821*FM821))</f>
        <v>1.9999999999999997E-2</v>
      </c>
      <c r="HE821" s="15">
        <v>7480</v>
      </c>
      <c r="HF821" s="15">
        <f t="shared" si="717"/>
        <v>374</v>
      </c>
      <c r="HG821" s="15">
        <f>HF821*SQRT(AR821)</f>
        <v>647.78700203076005</v>
      </c>
      <c r="HH821" s="15">
        <v>7481</v>
      </c>
      <c r="HI821" s="15">
        <f t="shared" si="718"/>
        <v>374.05</v>
      </c>
      <c r="HJ821" s="15">
        <f>HI821*SQRT(AR821)</f>
        <v>647.87360457113857</v>
      </c>
      <c r="HK821" s="15">
        <f t="shared" si="719"/>
        <v>1.0001336898395723</v>
      </c>
      <c r="HL821" s="15">
        <f t="shared" si="720"/>
        <v>1</v>
      </c>
      <c r="HM821" s="15">
        <f t="shared" si="721"/>
        <v>1.3368090388077292E-4</v>
      </c>
      <c r="HN821" s="15">
        <f>((HJ821*HJ821)/(AR821*HH821*HH821)+(HG821*HG821)/(AR821*HE821*HE821))</f>
        <v>4.9999999999999992E-3</v>
      </c>
      <c r="HP821" s="15" t="s">
        <v>766</v>
      </c>
      <c r="HV821" s="15">
        <f t="shared" si="722"/>
        <v>119837.60982262575</v>
      </c>
      <c r="HW821" s="15">
        <f t="shared" si="723"/>
        <v>1.3368090388077292E-4</v>
      </c>
      <c r="HX821" s="15">
        <f>BB821</f>
        <v>1602</v>
      </c>
      <c r="HY821" s="15">
        <f>AZ821</f>
        <v>2670</v>
      </c>
      <c r="HZ821" s="15">
        <f>BA821</f>
        <v>0.9112627986348123</v>
      </c>
      <c r="IA821" s="15">
        <f>BB821</f>
        <v>1602</v>
      </c>
    </row>
    <row r="822" spans="1:235" s="15" customFormat="1" x14ac:dyDescent="0.25">
      <c r="A822" s="31">
        <v>820</v>
      </c>
      <c r="B822" s="43">
        <v>128</v>
      </c>
      <c r="C822" s="1">
        <v>150</v>
      </c>
      <c r="D822" s="15" t="s">
        <v>1807</v>
      </c>
      <c r="E822" s="31">
        <v>1</v>
      </c>
      <c r="F822" s="15" t="s">
        <v>761</v>
      </c>
      <c r="G822" s="15" t="s">
        <v>1841</v>
      </c>
      <c r="H822" s="15" t="s">
        <v>1842</v>
      </c>
      <c r="I822" s="31">
        <v>2020</v>
      </c>
      <c r="J822" s="15" t="s">
        <v>1860</v>
      </c>
      <c r="K822" s="1" t="s">
        <v>1871</v>
      </c>
      <c r="L822" s="15" t="s">
        <v>1875</v>
      </c>
      <c r="M822" s="15" t="s">
        <v>480</v>
      </c>
      <c r="N822" s="15" t="s">
        <v>23</v>
      </c>
      <c r="O822" s="31">
        <v>2</v>
      </c>
      <c r="P822" s="15">
        <v>30.659839999999999</v>
      </c>
      <c r="Q822" s="15">
        <v>104.10194</v>
      </c>
      <c r="R822" s="15">
        <v>750</v>
      </c>
      <c r="S822" s="15" t="s">
        <v>1884</v>
      </c>
      <c r="T822" s="15">
        <v>16</v>
      </c>
      <c r="U822" s="15" t="s">
        <v>1893</v>
      </c>
      <c r="V822" s="31">
        <v>1</v>
      </c>
      <c r="W822" s="16" t="s">
        <v>1226</v>
      </c>
      <c r="X822" s="15" t="s">
        <v>1905</v>
      </c>
      <c r="Y822" s="61">
        <v>11</v>
      </c>
      <c r="Z822" s="15">
        <v>5.3</v>
      </c>
      <c r="AA822" s="15" t="s">
        <v>573</v>
      </c>
      <c r="AB822" s="15">
        <f t="shared" si="725"/>
        <v>5.3</v>
      </c>
      <c r="AC822" s="1">
        <v>3</v>
      </c>
      <c r="AD822" s="15">
        <v>33.4</v>
      </c>
      <c r="AF822" s="15">
        <v>13.9</v>
      </c>
      <c r="AM822" s="1"/>
      <c r="AP822" s="15" t="s">
        <v>1917</v>
      </c>
      <c r="AQ822" s="61">
        <v>3</v>
      </c>
      <c r="AR822" s="1">
        <v>3</v>
      </c>
      <c r="AT822" s="15" t="s">
        <v>1920</v>
      </c>
      <c r="AU822" s="15">
        <v>95</v>
      </c>
      <c r="AW822" s="15">
        <v>2250</v>
      </c>
      <c r="AX822" s="15">
        <f t="shared" si="724"/>
        <v>4005</v>
      </c>
      <c r="AY822" s="15" t="s">
        <v>766</v>
      </c>
      <c r="AZ822" s="15">
        <f t="shared" si="706"/>
        <v>4005</v>
      </c>
      <c r="BA822" s="15">
        <f t="shared" si="707"/>
        <v>1.3668941979522182</v>
      </c>
      <c r="BB822" s="15">
        <f t="shared" si="708"/>
        <v>2403</v>
      </c>
      <c r="BP822" s="16"/>
      <c r="BQ822" s="16"/>
      <c r="BR822" s="16"/>
      <c r="BU822" s="16"/>
      <c r="EZ822" s="16"/>
      <c r="FA822" s="16"/>
      <c r="FB822" s="16"/>
      <c r="FC822" s="16"/>
      <c r="FD822" s="16"/>
      <c r="FE822" s="16"/>
      <c r="FF822" s="16"/>
      <c r="FG822" s="16"/>
      <c r="FH822" s="16"/>
      <c r="FI822" s="16"/>
      <c r="FJ822" s="16"/>
      <c r="FK822" s="16">
        <f t="shared" si="726"/>
        <v>5.0999999999999996</v>
      </c>
      <c r="FL822" s="16">
        <f t="shared" si="727"/>
        <v>8.1</v>
      </c>
      <c r="FM822" s="15">
        <v>5.0999999999999996</v>
      </c>
      <c r="FN822" s="15">
        <f t="shared" si="713"/>
        <v>0.51</v>
      </c>
      <c r="FO822" s="15">
        <f>FN822*SQRT(AR822)</f>
        <v>0.88334591186012734</v>
      </c>
      <c r="FP822" s="15">
        <v>8.1</v>
      </c>
      <c r="FQ822" s="15">
        <f t="shared" si="714"/>
        <v>0.81</v>
      </c>
      <c r="FR822" s="15">
        <f>FQ822*SQRT(AR822)</f>
        <v>1.4029611541307907</v>
      </c>
      <c r="FS822" s="15">
        <f t="shared" si="702"/>
        <v>1.5882352941176472</v>
      </c>
      <c r="FT822" s="15">
        <f t="shared" si="703"/>
        <v>3</v>
      </c>
      <c r="FU822" s="15">
        <f t="shared" si="704"/>
        <v>0.46262352194811318</v>
      </c>
      <c r="FV822" s="15">
        <f>((FR822*FR822)/(AR822*FP822*FP822)+(FO822*FO822)/(AR822*FM822*FM822))</f>
        <v>2.0000000000000004E-2</v>
      </c>
      <c r="HE822" s="15">
        <v>7480</v>
      </c>
      <c r="HF822" s="15">
        <f t="shared" si="717"/>
        <v>374</v>
      </c>
      <c r="HG822" s="15">
        <f>HF822*SQRT(AR822)</f>
        <v>647.78700203076005</v>
      </c>
      <c r="HH822" s="15">
        <v>7236</v>
      </c>
      <c r="HI822" s="15">
        <f t="shared" si="718"/>
        <v>361.8</v>
      </c>
      <c r="HJ822" s="15">
        <f>HI822*SQRT(AR822)</f>
        <v>626.65598217841978</v>
      </c>
      <c r="HK822" s="15">
        <f t="shared" si="719"/>
        <v>0.96737967914438505</v>
      </c>
      <c r="HL822" s="15">
        <f t="shared" si="720"/>
        <v>-244</v>
      </c>
      <c r="HM822" s="15">
        <f t="shared" si="721"/>
        <v>-3.3164224453336999E-2</v>
      </c>
      <c r="HN822" s="15">
        <f>((HJ822*HJ822)/(AR822*HH822*HH822)+(HG822*HG822)/(AR822*HE822*HE822))</f>
        <v>4.9999999999999992E-3</v>
      </c>
      <c r="HP822" s="15" t="s">
        <v>766</v>
      </c>
      <c r="HV822" s="15">
        <f t="shared" si="722"/>
        <v>-724.57596690707749</v>
      </c>
      <c r="HW822" s="15">
        <f t="shared" si="723"/>
        <v>-3.3164224453336999E-2</v>
      </c>
      <c r="HX822" s="15">
        <f>BB822</f>
        <v>2403</v>
      </c>
      <c r="HY822" s="15">
        <f>AZ822</f>
        <v>4005</v>
      </c>
      <c r="HZ822" s="15">
        <f>BA822</f>
        <v>1.3668941979522182</v>
      </c>
      <c r="IA822" s="15">
        <f>BB822</f>
        <v>2403</v>
      </c>
    </row>
    <row r="823" spans="1:235" s="15" customFormat="1" x14ac:dyDescent="0.25">
      <c r="A823" s="31">
        <v>821</v>
      </c>
      <c r="B823" s="43">
        <v>128</v>
      </c>
      <c r="C823" s="1">
        <v>150</v>
      </c>
      <c r="D823" s="15" t="s">
        <v>1808</v>
      </c>
      <c r="E823" s="31">
        <v>1</v>
      </c>
      <c r="F823" s="15" t="s">
        <v>761</v>
      </c>
      <c r="G823" s="15" t="s">
        <v>1841</v>
      </c>
      <c r="H823" s="15" t="s">
        <v>1842</v>
      </c>
      <c r="I823" s="31">
        <v>2020</v>
      </c>
      <c r="J823" s="15" t="s">
        <v>1860</v>
      </c>
      <c r="K823" s="1" t="s">
        <v>1871</v>
      </c>
      <c r="L823" s="15" t="s">
        <v>1875</v>
      </c>
      <c r="M823" s="15" t="s">
        <v>480</v>
      </c>
      <c r="N823" s="15" t="s">
        <v>23</v>
      </c>
      <c r="O823" s="31">
        <v>2</v>
      </c>
      <c r="P823" s="15">
        <v>30.659839999999999</v>
      </c>
      <c r="Q823" s="15">
        <v>104.10194</v>
      </c>
      <c r="R823" s="15">
        <v>750</v>
      </c>
      <c r="S823" s="15" t="s">
        <v>1885</v>
      </c>
      <c r="T823" s="15">
        <v>16</v>
      </c>
      <c r="U823" s="15" t="s">
        <v>1893</v>
      </c>
      <c r="V823" s="31">
        <v>1</v>
      </c>
      <c r="W823" s="16" t="s">
        <v>1226</v>
      </c>
      <c r="X823" s="15" t="s">
        <v>1905</v>
      </c>
      <c r="Y823" s="61">
        <v>11</v>
      </c>
      <c r="Z823" s="15">
        <v>5.3</v>
      </c>
      <c r="AA823" s="15" t="s">
        <v>573</v>
      </c>
      <c r="AB823" s="15">
        <f t="shared" si="725"/>
        <v>5.3</v>
      </c>
      <c r="AC823" s="1">
        <v>3</v>
      </c>
      <c r="AD823" s="15">
        <v>33.4</v>
      </c>
      <c r="AF823" s="15">
        <v>13.9</v>
      </c>
      <c r="AM823" s="1"/>
      <c r="AP823" s="15" t="s">
        <v>1917</v>
      </c>
      <c r="AQ823" s="61">
        <v>3</v>
      </c>
      <c r="AR823" s="1">
        <v>3</v>
      </c>
      <c r="AT823" s="15" t="s">
        <v>1920</v>
      </c>
      <c r="AU823" s="15">
        <v>95</v>
      </c>
      <c r="AW823" s="15">
        <v>3000</v>
      </c>
      <c r="AX823" s="15">
        <f t="shared" si="724"/>
        <v>5340</v>
      </c>
      <c r="AY823" s="15" t="s">
        <v>766</v>
      </c>
      <c r="AZ823" s="15">
        <f t="shared" si="706"/>
        <v>5340</v>
      </c>
      <c r="BA823" s="15">
        <f t="shared" si="707"/>
        <v>1.8225255972696246</v>
      </c>
      <c r="BB823" s="15">
        <f t="shared" si="708"/>
        <v>3204</v>
      </c>
      <c r="BP823" s="16"/>
      <c r="BQ823" s="16"/>
      <c r="BR823" s="16"/>
      <c r="BU823" s="16"/>
      <c r="EZ823" s="16"/>
      <c r="FA823" s="16"/>
      <c r="FB823" s="16"/>
      <c r="FC823" s="16"/>
      <c r="FD823" s="16"/>
      <c r="FE823" s="16"/>
      <c r="FF823" s="16"/>
      <c r="FG823" s="16"/>
      <c r="FH823" s="16"/>
      <c r="FI823" s="16"/>
      <c r="FJ823" s="16"/>
      <c r="FK823" s="16">
        <f t="shared" si="726"/>
        <v>5.0999999999999996</v>
      </c>
      <c r="FL823" s="16">
        <f t="shared" si="727"/>
        <v>8.4</v>
      </c>
      <c r="FM823" s="15">
        <v>5.0999999999999996</v>
      </c>
      <c r="FN823" s="15">
        <f t="shared" si="713"/>
        <v>0.51</v>
      </c>
      <c r="FO823" s="15">
        <f>FN823*SQRT(AR823)</f>
        <v>0.88334591186012734</v>
      </c>
      <c r="FP823" s="15">
        <v>8.4</v>
      </c>
      <c r="FQ823" s="15">
        <f t="shared" si="714"/>
        <v>0.84000000000000008</v>
      </c>
      <c r="FR823" s="15">
        <f>FQ823*SQRT(AR823)</f>
        <v>1.454922678357857</v>
      </c>
      <c r="FS823" s="15">
        <f t="shared" si="702"/>
        <v>1.6470588235294119</v>
      </c>
      <c r="FT823" s="15">
        <f t="shared" si="703"/>
        <v>3.3000000000000007</v>
      </c>
      <c r="FU823" s="15">
        <f t="shared" si="704"/>
        <v>0.49899116611898786</v>
      </c>
      <c r="FV823" s="15">
        <f>((FR823*FR823)/(AR823*FP823*FP823)+(FO823*FO823)/(AR823*FM823*FM823))</f>
        <v>0.02</v>
      </c>
      <c r="HE823" s="15">
        <v>7480</v>
      </c>
      <c r="HF823" s="15">
        <f t="shared" si="717"/>
        <v>374</v>
      </c>
      <c r="HG823" s="15">
        <f>HF823*SQRT(AR823)</f>
        <v>647.78700203076005</v>
      </c>
      <c r="HH823" s="15">
        <v>7269</v>
      </c>
      <c r="HI823" s="15">
        <f t="shared" si="718"/>
        <v>363.45000000000005</v>
      </c>
      <c r="HJ823" s="15">
        <f>HI823*SQRT(AR823)</f>
        <v>629.51386601090849</v>
      </c>
      <c r="HK823" s="15">
        <f t="shared" si="719"/>
        <v>0.97179144385026739</v>
      </c>
      <c r="HL823" s="15">
        <f t="shared" si="720"/>
        <v>-211</v>
      </c>
      <c r="HM823" s="15">
        <f t="shared" si="721"/>
        <v>-2.8614061483887454E-2</v>
      </c>
      <c r="HN823" s="15">
        <f>((HJ823*HJ823)/(AR823*HH823*HH823)+(HG823*HG823)/(AR823*HE823*HE823))</f>
        <v>4.9999999999999992E-3</v>
      </c>
      <c r="HP823" s="15" t="s">
        <v>766</v>
      </c>
      <c r="HV823" s="15">
        <f t="shared" si="722"/>
        <v>-1119.7291939154352</v>
      </c>
      <c r="HW823" s="15">
        <f t="shared" si="723"/>
        <v>-2.8614061483887454E-2</v>
      </c>
      <c r="HX823" s="15">
        <f>BB823</f>
        <v>3204</v>
      </c>
      <c r="HY823" s="15">
        <f>AZ823</f>
        <v>5340</v>
      </c>
      <c r="HZ823" s="15">
        <f>BA823</f>
        <v>1.8225255972696246</v>
      </c>
      <c r="IA823" s="15">
        <f>BB823</f>
        <v>3204</v>
      </c>
    </row>
    <row r="824" spans="1:235" s="15" customFormat="1" x14ac:dyDescent="0.25">
      <c r="A824" s="31">
        <v>822</v>
      </c>
      <c r="B824" s="43">
        <v>128</v>
      </c>
      <c r="C824" s="1">
        <v>150</v>
      </c>
      <c r="D824" s="15" t="s">
        <v>1809</v>
      </c>
      <c r="E824" s="31">
        <v>1</v>
      </c>
      <c r="F824" s="15" t="s">
        <v>761</v>
      </c>
      <c r="G824" s="15" t="s">
        <v>1841</v>
      </c>
      <c r="H824" s="15" t="s">
        <v>1842</v>
      </c>
      <c r="I824" s="31">
        <v>2020</v>
      </c>
      <c r="J824" s="15" t="s">
        <v>1860</v>
      </c>
      <c r="K824" s="1" t="s">
        <v>1871</v>
      </c>
      <c r="L824" s="15" t="s">
        <v>1875</v>
      </c>
      <c r="M824" s="15" t="s">
        <v>480</v>
      </c>
      <c r="N824" s="15" t="s">
        <v>23</v>
      </c>
      <c r="O824" s="31">
        <v>2</v>
      </c>
      <c r="P824" s="15">
        <v>30.659839999999999</v>
      </c>
      <c r="Q824" s="15">
        <v>104.10194</v>
      </c>
      <c r="R824" s="15">
        <v>750</v>
      </c>
      <c r="S824" s="15" t="s">
        <v>1882</v>
      </c>
      <c r="T824" s="15">
        <v>16</v>
      </c>
      <c r="U824" s="15" t="s">
        <v>1893</v>
      </c>
      <c r="V824" s="31">
        <v>1</v>
      </c>
      <c r="W824" s="16" t="s">
        <v>1226</v>
      </c>
      <c r="X824" s="15" t="s">
        <v>1905</v>
      </c>
      <c r="Y824" s="61">
        <v>11</v>
      </c>
      <c r="Z824" s="15">
        <v>5.3</v>
      </c>
      <c r="AA824" s="15" t="s">
        <v>573</v>
      </c>
      <c r="AB824" s="15">
        <f t="shared" si="725"/>
        <v>5.3</v>
      </c>
      <c r="AC824" s="1">
        <v>3</v>
      </c>
      <c r="AD824" s="15">
        <v>33.4</v>
      </c>
      <c r="AF824" s="15">
        <v>13.9</v>
      </c>
      <c r="AM824" s="1"/>
      <c r="AP824" s="15" t="s">
        <v>1917</v>
      </c>
      <c r="AQ824" s="61">
        <v>3</v>
      </c>
      <c r="AR824" s="1">
        <v>3</v>
      </c>
      <c r="AT824" s="15" t="s">
        <v>1920</v>
      </c>
      <c r="AU824" s="15">
        <v>95</v>
      </c>
      <c r="AW824" s="15">
        <v>750</v>
      </c>
      <c r="AX824" s="15">
        <f t="shared" si="724"/>
        <v>1335</v>
      </c>
      <c r="AY824" s="15" t="s">
        <v>766</v>
      </c>
      <c r="AZ824" s="15">
        <f t="shared" si="706"/>
        <v>1335</v>
      </c>
      <c r="BA824" s="15">
        <f t="shared" si="707"/>
        <v>0.45563139931740615</v>
      </c>
      <c r="BB824" s="15">
        <f t="shared" si="708"/>
        <v>801</v>
      </c>
      <c r="BP824" s="16"/>
      <c r="BQ824" s="16"/>
      <c r="BR824" s="16"/>
      <c r="BU824" s="16"/>
      <c r="EZ824" s="16"/>
      <c r="FA824" s="16"/>
      <c r="FB824" s="16"/>
      <c r="FC824" s="16"/>
      <c r="FD824" s="16"/>
      <c r="FE824" s="16"/>
      <c r="FF824" s="16"/>
      <c r="FG824" s="16"/>
      <c r="FH824" s="16"/>
      <c r="FI824" s="16"/>
      <c r="FJ824" s="16"/>
      <c r="FK824" s="16">
        <f t="shared" si="726"/>
        <v>5.0999999999999996</v>
      </c>
      <c r="FL824" s="16">
        <f t="shared" si="727"/>
        <v>6.2</v>
      </c>
      <c r="FM824" s="15">
        <v>5.0999999999999996</v>
      </c>
      <c r="FN824" s="15">
        <f t="shared" si="713"/>
        <v>0.51</v>
      </c>
      <c r="FO824" s="15">
        <f>FN824*SQRT(AR824)</f>
        <v>0.88334591186012734</v>
      </c>
      <c r="FP824" s="15">
        <v>6.2</v>
      </c>
      <c r="FQ824" s="15">
        <f t="shared" si="714"/>
        <v>0.62000000000000011</v>
      </c>
      <c r="FR824" s="15">
        <f>FQ824*SQRT(AR824)</f>
        <v>1.073871500692704</v>
      </c>
      <c r="FS824" s="15">
        <f t="shared" si="702"/>
        <v>1.215686274509804</v>
      </c>
      <c r="FT824" s="15">
        <f t="shared" si="703"/>
        <v>1.1000000000000005</v>
      </c>
      <c r="FU824" s="15">
        <f t="shared" si="704"/>
        <v>0.19530875232076594</v>
      </c>
      <c r="FV824" s="15">
        <f>((FR824*FR824)/(AR824*FP824*FP824)+(FO824*FO824)/(AR824*FM824*FM824))</f>
        <v>2.0000000000000004E-2</v>
      </c>
      <c r="HE824" s="15">
        <v>4733</v>
      </c>
      <c r="HF824" s="15">
        <f t="shared" si="717"/>
        <v>236.65</v>
      </c>
      <c r="HG824" s="15">
        <f>HF824*SQRT(AR824)</f>
        <v>409.88982361117479</v>
      </c>
      <c r="HH824" s="15">
        <v>4817</v>
      </c>
      <c r="HI824" s="15">
        <f t="shared" si="718"/>
        <v>240.85000000000002</v>
      </c>
      <c r="HJ824" s="15">
        <f>HI824*SQRT(AR824)</f>
        <v>417.16443700296412</v>
      </c>
      <c r="HK824" s="15">
        <f t="shared" si="719"/>
        <v>1.0177477287132897</v>
      </c>
      <c r="HL824" s="15">
        <f t="shared" si="720"/>
        <v>84</v>
      </c>
      <c r="HM824" s="15">
        <f t="shared" si="721"/>
        <v>1.7592076723973449E-2</v>
      </c>
      <c r="HN824" s="15">
        <f>((HJ824*HJ824)/(AR824*HH824*HH824)+(HG824*HG824)/(AR824*HE824*HE824))</f>
        <v>4.9999999999999992E-3</v>
      </c>
      <c r="HP824" s="15" t="s">
        <v>766</v>
      </c>
      <c r="HV824" s="15">
        <f t="shared" si="722"/>
        <v>455.31861449219593</v>
      </c>
      <c r="HW824" s="15">
        <f t="shared" si="723"/>
        <v>1.7592076723973449E-2</v>
      </c>
      <c r="HX824" s="15">
        <f>BB824</f>
        <v>801</v>
      </c>
      <c r="HY824" s="15">
        <f>AZ824</f>
        <v>1335</v>
      </c>
      <c r="HZ824" s="15">
        <f>BA824</f>
        <v>0.45563139931740615</v>
      </c>
      <c r="IA824" s="15">
        <f>BB824</f>
        <v>801</v>
      </c>
    </row>
    <row r="825" spans="1:235" s="15" customFormat="1" x14ac:dyDescent="0.25">
      <c r="A825" s="31">
        <v>823</v>
      </c>
      <c r="B825" s="43">
        <v>128</v>
      </c>
      <c r="C825" s="1">
        <v>150</v>
      </c>
      <c r="D825" s="15" t="s">
        <v>1810</v>
      </c>
      <c r="E825" s="31">
        <v>1</v>
      </c>
      <c r="F825" s="15" t="s">
        <v>761</v>
      </c>
      <c r="G825" s="15" t="s">
        <v>1841</v>
      </c>
      <c r="H825" s="15" t="s">
        <v>1842</v>
      </c>
      <c r="I825" s="31">
        <v>2020</v>
      </c>
      <c r="J825" s="15" t="s">
        <v>1860</v>
      </c>
      <c r="K825" s="1" t="s">
        <v>1871</v>
      </c>
      <c r="L825" s="15" t="s">
        <v>1875</v>
      </c>
      <c r="M825" s="15" t="s">
        <v>480</v>
      </c>
      <c r="N825" s="15" t="s">
        <v>23</v>
      </c>
      <c r="O825" s="31">
        <v>2</v>
      </c>
      <c r="P825" s="15">
        <v>30.659839999999999</v>
      </c>
      <c r="Q825" s="15">
        <v>104.10194</v>
      </c>
      <c r="R825" s="15">
        <v>750</v>
      </c>
      <c r="S825" s="15" t="s">
        <v>1883</v>
      </c>
      <c r="T825" s="15">
        <v>16</v>
      </c>
      <c r="U825" s="15" t="s">
        <v>1893</v>
      </c>
      <c r="V825" s="31">
        <v>1</v>
      </c>
      <c r="W825" s="16" t="s">
        <v>1226</v>
      </c>
      <c r="X825" s="15" t="s">
        <v>1905</v>
      </c>
      <c r="Y825" s="61">
        <v>11</v>
      </c>
      <c r="Z825" s="15">
        <v>5.3</v>
      </c>
      <c r="AA825" s="15" t="s">
        <v>573</v>
      </c>
      <c r="AB825" s="15">
        <f t="shared" si="725"/>
        <v>5.3</v>
      </c>
      <c r="AC825" s="1">
        <v>3</v>
      </c>
      <c r="AD825" s="15">
        <v>33.4</v>
      </c>
      <c r="AF825" s="15">
        <v>13.9</v>
      </c>
      <c r="AM825" s="1"/>
      <c r="AP825" s="15" t="s">
        <v>1917</v>
      </c>
      <c r="AQ825" s="61">
        <v>3</v>
      </c>
      <c r="AR825" s="1">
        <v>3</v>
      </c>
      <c r="AT825" s="15" t="s">
        <v>1920</v>
      </c>
      <c r="AU825" s="15">
        <v>95</v>
      </c>
      <c r="AW825" s="15">
        <v>1500</v>
      </c>
      <c r="AX825" s="15">
        <f t="shared" si="724"/>
        <v>2670</v>
      </c>
      <c r="AY825" s="15" t="s">
        <v>766</v>
      </c>
      <c r="AZ825" s="15">
        <f t="shared" si="706"/>
        <v>2670</v>
      </c>
      <c r="BA825" s="15">
        <f t="shared" si="707"/>
        <v>0.9112627986348123</v>
      </c>
      <c r="BB825" s="15">
        <f t="shared" si="708"/>
        <v>1602</v>
      </c>
      <c r="BP825" s="16"/>
      <c r="BQ825" s="16"/>
      <c r="BR825" s="16"/>
      <c r="BU825" s="16"/>
      <c r="EZ825" s="16"/>
      <c r="FA825" s="16"/>
      <c r="FB825" s="16"/>
      <c r="FC825" s="16"/>
      <c r="FD825" s="16"/>
      <c r="FE825" s="16"/>
      <c r="FF825" s="16"/>
      <c r="FG825" s="16"/>
      <c r="FH825" s="16"/>
      <c r="FI825" s="16"/>
      <c r="FJ825" s="16"/>
      <c r="FK825" s="16">
        <f t="shared" si="726"/>
        <v>5.0999999999999996</v>
      </c>
      <c r="FL825" s="16">
        <f t="shared" si="727"/>
        <v>7.2</v>
      </c>
      <c r="FM825" s="15">
        <v>5.0999999999999996</v>
      </c>
      <c r="FN825" s="15">
        <f t="shared" si="713"/>
        <v>0.51</v>
      </c>
      <c r="FO825" s="15">
        <f>FN825*SQRT(AR825)</f>
        <v>0.88334591186012734</v>
      </c>
      <c r="FP825" s="15">
        <v>7.2</v>
      </c>
      <c r="FQ825" s="15">
        <f t="shared" si="714"/>
        <v>0.72000000000000008</v>
      </c>
      <c r="FR825" s="15">
        <f>FQ825*SQRT(AR825)</f>
        <v>1.2470765814495917</v>
      </c>
      <c r="FS825" s="15">
        <f t="shared" si="702"/>
        <v>1.411764705882353</v>
      </c>
      <c r="FT825" s="15">
        <f t="shared" si="703"/>
        <v>2.1000000000000005</v>
      </c>
      <c r="FU825" s="15">
        <f t="shared" si="704"/>
        <v>0.34484048629172959</v>
      </c>
      <c r="FV825" s="15">
        <f>((FR825*FR825)/(AR825*FP825*FP825)+(FO825*FO825)/(AR825*FM825*FM825))</f>
        <v>1.9999999999999997E-2</v>
      </c>
      <c r="HE825" s="15">
        <v>4733</v>
      </c>
      <c r="HF825" s="15">
        <f t="shared" si="717"/>
        <v>236.65</v>
      </c>
      <c r="HG825" s="15">
        <f>HF825*SQRT(AR825)</f>
        <v>409.88982361117479</v>
      </c>
      <c r="HH825" s="15">
        <v>4765</v>
      </c>
      <c r="HI825" s="15">
        <f t="shared" si="718"/>
        <v>238.25</v>
      </c>
      <c r="HJ825" s="15">
        <f>HI825*SQRT(AR825)</f>
        <v>412.66110490328498</v>
      </c>
      <c r="HK825" s="15">
        <f t="shared" si="719"/>
        <v>1.0067610395098245</v>
      </c>
      <c r="HL825" s="15">
        <f t="shared" si="720"/>
        <v>32</v>
      </c>
      <c r="HM825" s="15">
        <f t="shared" si="721"/>
        <v>6.7382861820544093E-3</v>
      </c>
      <c r="HN825" s="15">
        <f>((HJ825*HJ825)/(AR825*HH825*HH825)+(HG825*HG825)/(AR825*HE825*HE825))</f>
        <v>4.9999999999999992E-3</v>
      </c>
      <c r="HP825" s="15" t="s">
        <v>766</v>
      </c>
      <c r="HV825" s="15">
        <f t="shared" si="722"/>
        <v>2377.4591293947869</v>
      </c>
      <c r="HW825" s="15">
        <f t="shared" si="723"/>
        <v>6.7382861820544093E-3</v>
      </c>
      <c r="HX825" s="15">
        <f>BB825</f>
        <v>1602</v>
      </c>
      <c r="HY825" s="15">
        <f>AZ825</f>
        <v>2670</v>
      </c>
      <c r="HZ825" s="15">
        <f>BA825</f>
        <v>0.9112627986348123</v>
      </c>
      <c r="IA825" s="15">
        <f>BB825</f>
        <v>1602</v>
      </c>
    </row>
    <row r="826" spans="1:235" s="15" customFormat="1" x14ac:dyDescent="0.25">
      <c r="A826" s="31">
        <v>824</v>
      </c>
      <c r="B826" s="43">
        <v>128</v>
      </c>
      <c r="C826" s="1">
        <v>150</v>
      </c>
      <c r="D826" s="15" t="s">
        <v>1811</v>
      </c>
      <c r="E826" s="31">
        <v>1</v>
      </c>
      <c r="F826" s="15" t="s">
        <v>761</v>
      </c>
      <c r="G826" s="15" t="s">
        <v>1841</v>
      </c>
      <c r="H826" s="15" t="s">
        <v>1842</v>
      </c>
      <c r="I826" s="31">
        <v>2020</v>
      </c>
      <c r="J826" s="15" t="s">
        <v>1860</v>
      </c>
      <c r="K826" s="1" t="s">
        <v>1871</v>
      </c>
      <c r="L826" s="15" t="s">
        <v>1875</v>
      </c>
      <c r="M826" s="15" t="s">
        <v>480</v>
      </c>
      <c r="N826" s="15" t="s">
        <v>23</v>
      </c>
      <c r="O826" s="31">
        <v>2</v>
      </c>
      <c r="P826" s="15">
        <v>30.659839999999999</v>
      </c>
      <c r="Q826" s="15">
        <v>104.10194</v>
      </c>
      <c r="R826" s="15">
        <v>750</v>
      </c>
      <c r="S826" s="15" t="s">
        <v>1884</v>
      </c>
      <c r="T826" s="15">
        <v>16</v>
      </c>
      <c r="U826" s="15" t="s">
        <v>1893</v>
      </c>
      <c r="V826" s="31">
        <v>1</v>
      </c>
      <c r="W826" s="16" t="s">
        <v>1226</v>
      </c>
      <c r="X826" s="15" t="s">
        <v>1905</v>
      </c>
      <c r="Y826" s="61">
        <v>11</v>
      </c>
      <c r="Z826" s="15">
        <v>5.3</v>
      </c>
      <c r="AA826" s="15" t="s">
        <v>573</v>
      </c>
      <c r="AB826" s="15">
        <f t="shared" si="725"/>
        <v>5.3</v>
      </c>
      <c r="AC826" s="1">
        <v>3</v>
      </c>
      <c r="AD826" s="15">
        <v>33.4</v>
      </c>
      <c r="AF826" s="15">
        <v>13.9</v>
      </c>
      <c r="AM826" s="1"/>
      <c r="AP826" s="15" t="s">
        <v>1917</v>
      </c>
      <c r="AQ826" s="61">
        <v>3</v>
      </c>
      <c r="AR826" s="1">
        <v>3</v>
      </c>
      <c r="AT826" s="15" t="s">
        <v>1920</v>
      </c>
      <c r="AU826" s="15">
        <v>95</v>
      </c>
      <c r="AW826" s="15">
        <v>2250</v>
      </c>
      <c r="AX826" s="15">
        <f t="shared" si="724"/>
        <v>4005</v>
      </c>
      <c r="AY826" s="15" t="s">
        <v>766</v>
      </c>
      <c r="AZ826" s="15">
        <f t="shared" si="706"/>
        <v>4005</v>
      </c>
      <c r="BA826" s="15">
        <f t="shared" si="707"/>
        <v>1.3668941979522182</v>
      </c>
      <c r="BB826" s="15">
        <f t="shared" si="708"/>
        <v>2403</v>
      </c>
      <c r="BP826" s="16"/>
      <c r="BQ826" s="16"/>
      <c r="BR826" s="16"/>
      <c r="BU826" s="16"/>
      <c r="EZ826" s="16"/>
      <c r="FA826" s="16"/>
      <c r="FB826" s="16"/>
      <c r="FC826" s="16"/>
      <c r="FD826" s="16"/>
      <c r="FE826" s="16"/>
      <c r="FF826" s="16"/>
      <c r="FG826" s="16"/>
      <c r="FH826" s="16"/>
      <c r="FI826" s="16"/>
      <c r="FJ826" s="16"/>
      <c r="FK826" s="16">
        <f t="shared" si="726"/>
        <v>5.0999999999999996</v>
      </c>
      <c r="FL826" s="16">
        <f t="shared" si="727"/>
        <v>8.1</v>
      </c>
      <c r="FM826" s="15">
        <v>5.0999999999999996</v>
      </c>
      <c r="FN826" s="15">
        <f t="shared" si="713"/>
        <v>0.51</v>
      </c>
      <c r="FO826" s="15">
        <f>FN826*SQRT(AR826)</f>
        <v>0.88334591186012734</v>
      </c>
      <c r="FP826" s="15">
        <v>8.1</v>
      </c>
      <c r="FQ826" s="15">
        <f t="shared" si="714"/>
        <v>0.81</v>
      </c>
      <c r="FR826" s="15">
        <f>FQ826*SQRT(AR826)</f>
        <v>1.4029611541307907</v>
      </c>
      <c r="FS826" s="15">
        <f t="shared" si="702"/>
        <v>1.5882352941176472</v>
      </c>
      <c r="FT826" s="15">
        <f t="shared" si="703"/>
        <v>3</v>
      </c>
      <c r="FU826" s="15">
        <f t="shared" si="704"/>
        <v>0.46262352194811318</v>
      </c>
      <c r="FV826" s="15">
        <f>((FR826*FR826)/(AR826*FP826*FP826)+(FO826*FO826)/(AR826*FM826*FM826))</f>
        <v>2.0000000000000004E-2</v>
      </c>
      <c r="HE826" s="15">
        <v>4733</v>
      </c>
      <c r="HF826" s="15">
        <f t="shared" si="717"/>
        <v>236.65</v>
      </c>
      <c r="HG826" s="15">
        <f>HF826*SQRT(AR826)</f>
        <v>409.88982361117479</v>
      </c>
      <c r="HH826" s="15">
        <v>4589</v>
      </c>
      <c r="HI826" s="15">
        <f t="shared" si="718"/>
        <v>229.45000000000002</v>
      </c>
      <c r="HJ826" s="15">
        <f>HI826*SQRT(AR826)</f>
        <v>397.41905779667889</v>
      </c>
      <c r="HK826" s="15">
        <f t="shared" si="719"/>
        <v>0.96957532220578913</v>
      </c>
      <c r="HL826" s="15">
        <f t="shared" si="720"/>
        <v>-144</v>
      </c>
      <c r="HM826" s="15">
        <f t="shared" si="721"/>
        <v>-3.0897115511415052E-2</v>
      </c>
      <c r="HN826" s="15">
        <f>((HJ826*HJ826)/(AR826*HH826*HH826)+(HG826*HG826)/(AR826*HE826*HE826))</f>
        <v>4.9999999999999992E-3</v>
      </c>
      <c r="HP826" s="15" t="s">
        <v>766</v>
      </c>
      <c r="HV826" s="15">
        <f t="shared" si="722"/>
        <v>-777.74250451055957</v>
      </c>
      <c r="HW826" s="15">
        <f t="shared" si="723"/>
        <v>-3.0897115511415052E-2</v>
      </c>
      <c r="HX826" s="15">
        <f>BB826</f>
        <v>2403</v>
      </c>
      <c r="HY826" s="15">
        <f>AZ826</f>
        <v>4005</v>
      </c>
      <c r="HZ826" s="15">
        <f>BA826</f>
        <v>1.3668941979522182</v>
      </c>
      <c r="IA826" s="15">
        <f>BB826</f>
        <v>2403</v>
      </c>
    </row>
    <row r="827" spans="1:235" s="15" customFormat="1" x14ac:dyDescent="0.25">
      <c r="A827" s="31">
        <v>825</v>
      </c>
      <c r="B827" s="43">
        <v>128</v>
      </c>
      <c r="C827" s="1">
        <v>150</v>
      </c>
      <c r="D827" s="15" t="s">
        <v>1812</v>
      </c>
      <c r="E827" s="31">
        <v>1</v>
      </c>
      <c r="F827" s="15" t="s">
        <v>761</v>
      </c>
      <c r="G827" s="15" t="s">
        <v>1841</v>
      </c>
      <c r="H827" s="15" t="s">
        <v>1842</v>
      </c>
      <c r="I827" s="31">
        <v>2020</v>
      </c>
      <c r="J827" s="15" t="s">
        <v>1860</v>
      </c>
      <c r="K827" s="1" t="s">
        <v>1871</v>
      </c>
      <c r="L827" s="15" t="s">
        <v>1875</v>
      </c>
      <c r="M827" s="15" t="s">
        <v>480</v>
      </c>
      <c r="N827" s="15" t="s">
        <v>23</v>
      </c>
      <c r="O827" s="31">
        <v>2</v>
      </c>
      <c r="P827" s="15">
        <v>30.659839999999999</v>
      </c>
      <c r="Q827" s="15">
        <v>104.10194</v>
      </c>
      <c r="R827" s="15">
        <v>750</v>
      </c>
      <c r="S827" s="15" t="s">
        <v>1885</v>
      </c>
      <c r="T827" s="15">
        <v>16</v>
      </c>
      <c r="U827" s="15" t="s">
        <v>1893</v>
      </c>
      <c r="V827" s="31">
        <v>1</v>
      </c>
      <c r="W827" s="16" t="s">
        <v>1226</v>
      </c>
      <c r="X827" s="15" t="s">
        <v>1905</v>
      </c>
      <c r="Y827" s="61">
        <v>11</v>
      </c>
      <c r="Z827" s="15">
        <v>5.3</v>
      </c>
      <c r="AA827" s="15" t="s">
        <v>573</v>
      </c>
      <c r="AB827" s="15">
        <f t="shared" si="725"/>
        <v>5.3</v>
      </c>
      <c r="AC827" s="1">
        <v>3</v>
      </c>
      <c r="AD827" s="15">
        <v>33.4</v>
      </c>
      <c r="AF827" s="15">
        <v>13.9</v>
      </c>
      <c r="AM827" s="1"/>
      <c r="AP827" s="15" t="s">
        <v>1917</v>
      </c>
      <c r="AQ827" s="61">
        <v>3</v>
      </c>
      <c r="AR827" s="1">
        <v>3</v>
      </c>
      <c r="AT827" s="15" t="s">
        <v>1920</v>
      </c>
      <c r="AU827" s="15">
        <v>95</v>
      </c>
      <c r="AW827" s="15">
        <v>3000</v>
      </c>
      <c r="AX827" s="15">
        <f t="shared" si="724"/>
        <v>5340</v>
      </c>
      <c r="AY827" s="15" t="s">
        <v>766</v>
      </c>
      <c r="AZ827" s="15">
        <f t="shared" si="706"/>
        <v>5340</v>
      </c>
      <c r="BA827" s="15">
        <f t="shared" si="707"/>
        <v>1.8225255972696246</v>
      </c>
      <c r="BB827" s="15">
        <f t="shared" si="708"/>
        <v>3204</v>
      </c>
      <c r="BP827" s="16"/>
      <c r="BQ827" s="16"/>
      <c r="BR827" s="16"/>
      <c r="BU827" s="16"/>
      <c r="EZ827" s="16"/>
      <c r="FA827" s="16"/>
      <c r="FB827" s="16"/>
      <c r="FC827" s="16"/>
      <c r="FD827" s="16"/>
      <c r="FE827" s="16"/>
      <c r="FF827" s="16"/>
      <c r="FG827" s="16"/>
      <c r="FH827" s="16"/>
      <c r="FI827" s="16"/>
      <c r="FJ827" s="16"/>
      <c r="FK827" s="16">
        <f t="shared" si="726"/>
        <v>5.0999999999999996</v>
      </c>
      <c r="FL827" s="16">
        <f t="shared" si="727"/>
        <v>8.4</v>
      </c>
      <c r="FM827" s="15">
        <v>5.0999999999999996</v>
      </c>
      <c r="FN827" s="15">
        <f t="shared" si="713"/>
        <v>0.51</v>
      </c>
      <c r="FO827" s="15">
        <f>FN827*SQRT(AR827)</f>
        <v>0.88334591186012734</v>
      </c>
      <c r="FP827" s="15">
        <v>8.4</v>
      </c>
      <c r="FQ827" s="15">
        <f t="shared" si="714"/>
        <v>0.84000000000000008</v>
      </c>
      <c r="FR827" s="15">
        <f>FQ827*SQRT(AR827)</f>
        <v>1.454922678357857</v>
      </c>
      <c r="FS827" s="15">
        <f t="shared" si="702"/>
        <v>1.6470588235294119</v>
      </c>
      <c r="FT827" s="15">
        <f t="shared" si="703"/>
        <v>3.3000000000000007</v>
      </c>
      <c r="FU827" s="15">
        <f t="shared" si="704"/>
        <v>0.49899116611898786</v>
      </c>
      <c r="FV827" s="15">
        <f>((FR827*FR827)/(AR827*FP827*FP827)+(FO827*FO827)/(AR827*FM827*FM827))</f>
        <v>0.02</v>
      </c>
      <c r="HE827" s="15">
        <v>4733</v>
      </c>
      <c r="HF827" s="15">
        <f t="shared" si="717"/>
        <v>236.65</v>
      </c>
      <c r="HG827" s="15">
        <f>HF827*SQRT(AR827)</f>
        <v>409.88982361117479</v>
      </c>
      <c r="HH827" s="15">
        <v>4345</v>
      </c>
      <c r="HI827" s="15">
        <f t="shared" si="718"/>
        <v>217.25</v>
      </c>
      <c r="HJ827" s="15">
        <f>HI827*SQRT(AR827)</f>
        <v>376.28803794433856</v>
      </c>
      <c r="HK827" s="15">
        <f t="shared" si="719"/>
        <v>0.91802239594337631</v>
      </c>
      <c r="HL827" s="15">
        <f t="shared" si="720"/>
        <v>-388</v>
      </c>
      <c r="HM827" s="15">
        <f t="shared" si="721"/>
        <v>-8.5533492206755213E-2</v>
      </c>
      <c r="HN827" s="15">
        <f>((HJ827*HJ827)/(AR827*HH827*HH827)+(HG827*HG827)/(AR827*HE827*HE827))</f>
        <v>4.9999999999999992E-3</v>
      </c>
      <c r="HP827" s="15" t="s">
        <v>766</v>
      </c>
      <c r="HV827" s="15">
        <f t="shared" si="722"/>
        <v>-374.59010702557941</v>
      </c>
      <c r="HW827" s="15">
        <f t="shared" si="723"/>
        <v>-8.5533492206755213E-2</v>
      </c>
      <c r="HX827" s="15">
        <f>BB827</f>
        <v>3204</v>
      </c>
      <c r="HY827" s="15">
        <f>AZ827</f>
        <v>5340</v>
      </c>
      <c r="HZ827" s="15">
        <f>BA827</f>
        <v>1.8225255972696246</v>
      </c>
      <c r="IA827" s="15">
        <f>BB827</f>
        <v>3204</v>
      </c>
    </row>
    <row r="828" spans="1:235" s="15" customFormat="1" x14ac:dyDescent="0.25">
      <c r="A828" s="31">
        <v>826</v>
      </c>
      <c r="B828" s="43">
        <v>129</v>
      </c>
      <c r="C828" s="1">
        <v>151</v>
      </c>
      <c r="D828" s="15" t="s">
        <v>1813</v>
      </c>
      <c r="E828" s="31">
        <v>1</v>
      </c>
      <c r="F828" s="15" t="s">
        <v>761</v>
      </c>
      <c r="G828" s="15" t="s">
        <v>1843</v>
      </c>
      <c r="H828" s="15" t="s">
        <v>1844</v>
      </c>
      <c r="I828" s="31">
        <v>2020</v>
      </c>
      <c r="J828" s="15" t="s">
        <v>1576</v>
      </c>
      <c r="K828" s="1" t="s">
        <v>1869</v>
      </c>
      <c r="L828" s="15" t="s">
        <v>1872</v>
      </c>
      <c r="M828" s="15" t="s">
        <v>480</v>
      </c>
      <c r="N828" s="15" t="s">
        <v>23</v>
      </c>
      <c r="O828" s="31">
        <v>2</v>
      </c>
      <c r="P828" s="15">
        <v>22.381392999999999</v>
      </c>
      <c r="Q828" s="15">
        <v>109.202383</v>
      </c>
      <c r="R828" s="15">
        <v>361</v>
      </c>
      <c r="S828" s="15">
        <v>1658</v>
      </c>
      <c r="T828" s="15">
        <v>21.7</v>
      </c>
      <c r="U828" s="15" t="s">
        <v>1893</v>
      </c>
      <c r="V828" s="31">
        <v>1</v>
      </c>
      <c r="W828" s="16" t="s">
        <v>1899</v>
      </c>
      <c r="X828" s="15" t="s">
        <v>1906</v>
      </c>
      <c r="Y828" s="1">
        <v>2</v>
      </c>
      <c r="Z828" s="15">
        <v>4.47</v>
      </c>
      <c r="AA828" s="15" t="s">
        <v>573</v>
      </c>
      <c r="AB828" s="15">
        <f t="shared" si="725"/>
        <v>4.47</v>
      </c>
      <c r="AC828" s="1">
        <v>1</v>
      </c>
      <c r="AD828" s="15">
        <v>28.4</v>
      </c>
      <c r="AM828" s="1"/>
      <c r="AP828" s="15" t="s">
        <v>1917</v>
      </c>
      <c r="AQ828" s="61">
        <v>3</v>
      </c>
      <c r="AR828" s="1">
        <v>3</v>
      </c>
      <c r="AW828" s="15">
        <v>300</v>
      </c>
      <c r="AX828" s="15">
        <f t="shared" si="724"/>
        <v>534</v>
      </c>
      <c r="AY828" s="15" t="s">
        <v>766</v>
      </c>
      <c r="AZ828" s="15">
        <f t="shared" si="706"/>
        <v>534</v>
      </c>
      <c r="BA828" s="15">
        <f t="shared" si="707"/>
        <v>0.18225255972696247</v>
      </c>
      <c r="BB828" s="15">
        <f t="shared" si="708"/>
        <v>320.39999999999998</v>
      </c>
      <c r="BP828" s="16"/>
      <c r="BQ828" s="16"/>
      <c r="BR828" s="16"/>
      <c r="BU828" s="16"/>
      <c r="EZ828" s="16"/>
      <c r="FA828" s="16"/>
      <c r="FB828" s="16"/>
      <c r="FC828" s="16"/>
      <c r="FD828" s="16"/>
      <c r="FE828" s="16"/>
      <c r="FF828" s="16"/>
      <c r="FG828" s="16"/>
      <c r="FH828" s="16"/>
      <c r="FI828" s="16"/>
      <c r="FJ828" s="16"/>
      <c r="FK828" s="16"/>
      <c r="FL828" s="16"/>
      <c r="FX828" s="15">
        <v>11.7</v>
      </c>
      <c r="FY828" s="15">
        <f>FX828*0.05</f>
        <v>0.58499999999999996</v>
      </c>
      <c r="FZ828" s="15">
        <f>FY828*SQRT(AR828)</f>
        <v>1.013249722427793</v>
      </c>
      <c r="GA828" s="15">
        <v>11.9</v>
      </c>
      <c r="GB828" s="15">
        <f>GA828*0.05</f>
        <v>0.59500000000000008</v>
      </c>
      <c r="GC828" s="15">
        <f>GB828*SQRT(AR828)</f>
        <v>1.0305702305034821</v>
      </c>
      <c r="GD828" s="15">
        <v>1.0170940170940173</v>
      </c>
      <c r="GE828" s="15">
        <f t="shared" ref="GE828:GE845" si="728">GA828-FX828</f>
        <v>0.20000000000000107</v>
      </c>
      <c r="GF828" s="15">
        <f t="shared" ref="GF828:GF845" si="729">LN(GA828)-LN(FX828)</f>
        <v>1.6949558313773316E-2</v>
      </c>
      <c r="GG828" s="15">
        <f>((GC828*GC828)/(AR828*GA828*GA828)+(FZ828*FZ828)/(AR828*FX828*FX828))</f>
        <v>4.9999999999999992E-3</v>
      </c>
      <c r="HE828" s="15">
        <v>70646</v>
      </c>
      <c r="HF828" s="15">
        <f t="shared" si="717"/>
        <v>3532.3</v>
      </c>
      <c r="HG828" s="15">
        <f>HF828*SQRT(AR828)</f>
        <v>6118.1230675755451</v>
      </c>
      <c r="HH828" s="15">
        <v>71830</v>
      </c>
      <c r="HI828" s="15">
        <f t="shared" si="718"/>
        <v>3591.5</v>
      </c>
      <c r="HJ828" s="15">
        <f>HI828*SQRT(AR828)</f>
        <v>6220.6604753836227</v>
      </c>
      <c r="HK828" s="15">
        <f t="shared" si="719"/>
        <v>1.0167596183789598</v>
      </c>
      <c r="HL828" s="15">
        <f t="shared" si="720"/>
        <v>1184</v>
      </c>
      <c r="HM828" s="15">
        <f t="shared" si="721"/>
        <v>1.6620725685664084E-2</v>
      </c>
      <c r="HN828" s="15">
        <f>((HJ828*HJ828)/(AR828*HH828*HH828)+(HG828*HG828)/(AR828*HE828*HE828))</f>
        <v>4.9999999999999992E-3</v>
      </c>
      <c r="HP828" s="15" t="s">
        <v>766</v>
      </c>
      <c r="HV828" s="15">
        <f t="shared" si="722"/>
        <v>192.77136634073409</v>
      </c>
      <c r="HW828" s="15">
        <f t="shared" si="723"/>
        <v>1.6620725685664084E-2</v>
      </c>
      <c r="HX828" s="15">
        <f>BB828</f>
        <v>320.39999999999998</v>
      </c>
      <c r="HY828" s="15">
        <f>AZ828</f>
        <v>534</v>
      </c>
      <c r="HZ828" s="15">
        <f>BA828</f>
        <v>0.18225255972696247</v>
      </c>
      <c r="IA828" s="15">
        <f>BB828</f>
        <v>320.39999999999998</v>
      </c>
    </row>
    <row r="829" spans="1:235" s="15" customFormat="1" x14ac:dyDescent="0.25">
      <c r="A829" s="31">
        <v>827</v>
      </c>
      <c r="B829" s="43">
        <v>129</v>
      </c>
      <c r="C829" s="1">
        <v>151</v>
      </c>
      <c r="D829" s="15" t="s">
        <v>1814</v>
      </c>
      <c r="E829" s="31">
        <v>1</v>
      </c>
      <c r="F829" s="15" t="s">
        <v>761</v>
      </c>
      <c r="G829" s="15" t="s">
        <v>1843</v>
      </c>
      <c r="H829" s="15" t="s">
        <v>1844</v>
      </c>
      <c r="I829" s="31">
        <v>2020</v>
      </c>
      <c r="J829" s="15" t="s">
        <v>1576</v>
      </c>
      <c r="K829" s="1" t="s">
        <v>1869</v>
      </c>
      <c r="L829" s="15" t="s">
        <v>1872</v>
      </c>
      <c r="M829" s="15" t="s">
        <v>480</v>
      </c>
      <c r="N829" s="15" t="s">
        <v>23</v>
      </c>
      <c r="O829" s="31">
        <v>2</v>
      </c>
      <c r="P829" s="15">
        <v>22.381392999999999</v>
      </c>
      <c r="Q829" s="15">
        <v>109.202383</v>
      </c>
      <c r="R829" s="15">
        <v>361</v>
      </c>
      <c r="S829" s="15">
        <v>1658</v>
      </c>
      <c r="T829" s="15">
        <v>21.7</v>
      </c>
      <c r="U829" s="15" t="s">
        <v>1893</v>
      </c>
      <c r="V829" s="31">
        <v>1</v>
      </c>
      <c r="W829" s="16" t="s">
        <v>1899</v>
      </c>
      <c r="X829" s="15" t="s">
        <v>1906</v>
      </c>
      <c r="Y829" s="1">
        <v>2</v>
      </c>
      <c r="Z829" s="15">
        <v>4.47</v>
      </c>
      <c r="AA829" s="15" t="s">
        <v>573</v>
      </c>
      <c r="AB829" s="15">
        <f t="shared" si="725"/>
        <v>4.47</v>
      </c>
      <c r="AC829" s="1">
        <v>1</v>
      </c>
      <c r="AD829" s="15">
        <v>28.4</v>
      </c>
      <c r="AM829" s="1"/>
      <c r="AQ829" s="1"/>
      <c r="AR829" s="1">
        <v>3</v>
      </c>
      <c r="AW829" s="15">
        <v>600</v>
      </c>
      <c r="AX829" s="15">
        <f t="shared" si="724"/>
        <v>1068</v>
      </c>
      <c r="AY829" s="15" t="s">
        <v>766</v>
      </c>
      <c r="AZ829" s="15">
        <f t="shared" si="706"/>
        <v>1068</v>
      </c>
      <c r="BA829" s="15">
        <f t="shared" si="707"/>
        <v>0.36450511945392494</v>
      </c>
      <c r="BB829" s="15">
        <f t="shared" si="708"/>
        <v>640.79999999999995</v>
      </c>
      <c r="BP829" s="16"/>
      <c r="BQ829" s="16"/>
      <c r="BR829" s="16"/>
      <c r="BU829" s="16"/>
      <c r="EZ829" s="16"/>
      <c r="FA829" s="16"/>
      <c r="FB829" s="16"/>
      <c r="FC829" s="16"/>
      <c r="FD829" s="16"/>
      <c r="FE829" s="16"/>
      <c r="FF829" s="16"/>
      <c r="FG829" s="16"/>
      <c r="FH829" s="16"/>
      <c r="FI829" s="16"/>
      <c r="FJ829" s="16"/>
      <c r="FK829" s="16"/>
      <c r="FL829" s="16"/>
      <c r="FX829" s="15">
        <v>11.7</v>
      </c>
      <c r="FY829" s="15">
        <f>FX829*0.05</f>
        <v>0.58499999999999996</v>
      </c>
      <c r="FZ829" s="15">
        <f>FY829*SQRT(AR829)</f>
        <v>1.013249722427793</v>
      </c>
      <c r="GA829" s="15">
        <v>12.3</v>
      </c>
      <c r="GB829" s="15">
        <f>GA829*0.05</f>
        <v>0.6150000000000001</v>
      </c>
      <c r="GC829" s="15">
        <f>GB829*SQRT(AR829)</f>
        <v>1.0652112466548596</v>
      </c>
      <c r="GD829" s="15">
        <v>1.0512820512820513</v>
      </c>
      <c r="GE829" s="15">
        <f t="shared" si="728"/>
        <v>0.60000000000000142</v>
      </c>
      <c r="GF829" s="15">
        <f t="shared" si="729"/>
        <v>5.0010420574661651E-2</v>
      </c>
      <c r="GG829" s="15">
        <f>((GC829*GC829)/(AR829*GA829*GA829)+(FZ829*FZ829)/(AR829*FX829*FX829))</f>
        <v>4.9999999999999992E-3</v>
      </c>
      <c r="HE829" s="15">
        <v>70646</v>
      </c>
      <c r="HF829" s="15">
        <f t="shared" si="717"/>
        <v>3532.3</v>
      </c>
      <c r="HG829" s="15">
        <f>HF829*SQRT(AR829)</f>
        <v>6118.1230675755451</v>
      </c>
      <c r="HH829" s="15">
        <v>75982</v>
      </c>
      <c r="HI829" s="15">
        <f t="shared" si="718"/>
        <v>3799.1000000000004</v>
      </c>
      <c r="HJ829" s="15">
        <f>HI829*SQRT(AR829)</f>
        <v>6580.2342230349223</v>
      </c>
      <c r="HK829" s="15">
        <f t="shared" si="719"/>
        <v>1.0755315233700422</v>
      </c>
      <c r="HL829" s="15">
        <f t="shared" si="720"/>
        <v>5336</v>
      </c>
      <c r="HM829" s="15">
        <f t="shared" si="721"/>
        <v>7.2814979728502038E-2</v>
      </c>
      <c r="HN829" s="15">
        <f>((HJ829*HJ829)/(AR829*HH829*HH829)+(HG829*HG829)/(AR829*HE829*HE829))</f>
        <v>5.0000000000000001E-3</v>
      </c>
      <c r="HP829" s="15" t="s">
        <v>766</v>
      </c>
      <c r="HV829" s="15">
        <f t="shared" si="722"/>
        <v>88.003869861570678</v>
      </c>
      <c r="HW829" s="15">
        <f t="shared" si="723"/>
        <v>7.2814979728502038E-2</v>
      </c>
      <c r="HX829" s="15">
        <f>BB829</f>
        <v>640.79999999999995</v>
      </c>
      <c r="HY829" s="15">
        <f>AZ829</f>
        <v>1068</v>
      </c>
      <c r="HZ829" s="15">
        <f>BA829</f>
        <v>0.36450511945392494</v>
      </c>
      <c r="IA829" s="15">
        <f>BB829</f>
        <v>640.79999999999995</v>
      </c>
    </row>
    <row r="830" spans="1:235" s="15" customFormat="1" x14ac:dyDescent="0.25">
      <c r="A830" s="31">
        <v>828</v>
      </c>
      <c r="B830" s="43">
        <v>129</v>
      </c>
      <c r="C830" s="1">
        <v>151</v>
      </c>
      <c r="D830" s="15" t="s">
        <v>1815</v>
      </c>
      <c r="E830" s="31">
        <v>1</v>
      </c>
      <c r="F830" s="15" t="s">
        <v>761</v>
      </c>
      <c r="G830" s="15" t="s">
        <v>1843</v>
      </c>
      <c r="H830" s="15" t="s">
        <v>1844</v>
      </c>
      <c r="I830" s="31">
        <v>2020</v>
      </c>
      <c r="J830" s="15" t="s">
        <v>1576</v>
      </c>
      <c r="K830" s="1" t="s">
        <v>1869</v>
      </c>
      <c r="L830" s="15" t="s">
        <v>1872</v>
      </c>
      <c r="M830" s="15" t="s">
        <v>480</v>
      </c>
      <c r="N830" s="15" t="s">
        <v>23</v>
      </c>
      <c r="O830" s="31">
        <v>2</v>
      </c>
      <c r="P830" s="15">
        <v>22.381392999999999</v>
      </c>
      <c r="Q830" s="15">
        <v>109.202383</v>
      </c>
      <c r="R830" s="15">
        <v>361</v>
      </c>
      <c r="S830" s="15">
        <v>1658</v>
      </c>
      <c r="T830" s="15">
        <v>21.7</v>
      </c>
      <c r="U830" s="15" t="s">
        <v>1893</v>
      </c>
      <c r="V830" s="31">
        <v>1</v>
      </c>
      <c r="W830" s="16" t="s">
        <v>1899</v>
      </c>
      <c r="X830" s="15" t="s">
        <v>1906</v>
      </c>
      <c r="Y830" s="1">
        <v>2</v>
      </c>
      <c r="Z830" s="15">
        <v>4.47</v>
      </c>
      <c r="AA830" s="15" t="s">
        <v>573</v>
      </c>
      <c r="AB830" s="15">
        <f t="shared" si="725"/>
        <v>4.47</v>
      </c>
      <c r="AC830" s="1">
        <v>1</v>
      </c>
      <c r="AD830" s="15">
        <v>28.4</v>
      </c>
      <c r="AM830" s="1"/>
      <c r="AQ830" s="1"/>
      <c r="AR830" s="1">
        <v>3</v>
      </c>
      <c r="AW830" s="15">
        <v>900</v>
      </c>
      <c r="AX830" s="15">
        <f t="shared" si="724"/>
        <v>1602</v>
      </c>
      <c r="AY830" s="15" t="s">
        <v>766</v>
      </c>
      <c r="AZ830" s="15">
        <f t="shared" si="706"/>
        <v>1602</v>
      </c>
      <c r="BA830" s="15">
        <f t="shared" si="707"/>
        <v>0.54675767918088725</v>
      </c>
      <c r="BB830" s="15">
        <f t="shared" si="708"/>
        <v>961.19999999999993</v>
      </c>
      <c r="BP830" s="16"/>
      <c r="BQ830" s="16"/>
      <c r="BR830" s="16"/>
      <c r="BU830" s="16"/>
      <c r="EZ830" s="16"/>
      <c r="FA830" s="16"/>
      <c r="FB830" s="16"/>
      <c r="FC830" s="16"/>
      <c r="FD830" s="16"/>
      <c r="FE830" s="16"/>
      <c r="FF830" s="16"/>
      <c r="FG830" s="16"/>
      <c r="FH830" s="16"/>
      <c r="FI830" s="16"/>
      <c r="FJ830" s="16"/>
      <c r="FK830" s="16"/>
      <c r="FL830" s="16"/>
      <c r="FX830" s="15">
        <v>11.7</v>
      </c>
      <c r="FY830" s="15">
        <f>FX830*0.05</f>
        <v>0.58499999999999996</v>
      </c>
      <c r="FZ830" s="15">
        <f>FY830*SQRT(AR830)</f>
        <v>1.013249722427793</v>
      </c>
      <c r="GA830" s="15">
        <v>12</v>
      </c>
      <c r="GB830" s="15">
        <f>GA830*0.05</f>
        <v>0.60000000000000009</v>
      </c>
      <c r="GC830" s="15">
        <f>GB830*SQRT(AR830)</f>
        <v>1.0392304845413265</v>
      </c>
      <c r="GD830" s="15">
        <v>1.0256410256410258</v>
      </c>
      <c r="GE830" s="15">
        <f t="shared" si="728"/>
        <v>0.30000000000000071</v>
      </c>
      <c r="GF830" s="15">
        <f t="shared" si="729"/>
        <v>2.5317807984289953E-2</v>
      </c>
      <c r="GG830" s="15">
        <f>((GC830*GC830)/(AR830*GA830*GA830)+(FZ830*FZ830)/(AR830*FX830*FX830))</f>
        <v>5.0000000000000001E-3</v>
      </c>
      <c r="HE830" s="15">
        <v>70646</v>
      </c>
      <c r="HF830" s="15">
        <f t="shared" si="717"/>
        <v>3532.3</v>
      </c>
      <c r="HG830" s="15">
        <f>HF830*SQRT(AR830)</f>
        <v>6118.1230675755451</v>
      </c>
      <c r="HH830" s="15">
        <v>74499</v>
      </c>
      <c r="HI830" s="15">
        <f t="shared" si="718"/>
        <v>3724.9500000000003</v>
      </c>
      <c r="HJ830" s="15">
        <f>HI830*SQRT(AR830)</f>
        <v>6451.8026556536897</v>
      </c>
      <c r="HK830" s="15">
        <f t="shared" si="719"/>
        <v>1.0545395351470712</v>
      </c>
      <c r="HL830" s="15">
        <f t="shared" si="720"/>
        <v>3853</v>
      </c>
      <c r="HM830" s="15">
        <f t="shared" si="721"/>
        <v>5.310421207559024E-2</v>
      </c>
      <c r="HN830" s="15">
        <f>((HJ830*HJ830)/(AR830*HH830*HH830)+(HG830*HG830)/(AR830*HE830*HE830))</f>
        <v>4.9999999999999992E-3</v>
      </c>
      <c r="HP830" s="15" t="s">
        <v>766</v>
      </c>
      <c r="HV830" s="15">
        <f t="shared" si="722"/>
        <v>181.00259140118621</v>
      </c>
      <c r="HW830" s="15">
        <f t="shared" si="723"/>
        <v>5.310421207559024E-2</v>
      </c>
      <c r="HX830" s="15">
        <f>BB830</f>
        <v>961.19999999999993</v>
      </c>
      <c r="HY830" s="15">
        <f>AZ830</f>
        <v>1602</v>
      </c>
      <c r="HZ830" s="15">
        <f>BA830</f>
        <v>0.54675767918088725</v>
      </c>
      <c r="IA830" s="15">
        <f>BB830</f>
        <v>961.19999999999993</v>
      </c>
    </row>
    <row r="831" spans="1:235" s="15" customFormat="1" x14ac:dyDescent="0.25">
      <c r="A831" s="31">
        <v>829</v>
      </c>
      <c r="B831" s="43">
        <v>130</v>
      </c>
      <c r="C831" s="1">
        <v>152</v>
      </c>
      <c r="D831" s="15" t="s">
        <v>1816</v>
      </c>
      <c r="E831" s="31">
        <v>1</v>
      </c>
      <c r="F831" s="15" t="s">
        <v>761</v>
      </c>
      <c r="G831" s="15" t="s">
        <v>1854</v>
      </c>
      <c r="H831" s="15" t="s">
        <v>1845</v>
      </c>
      <c r="I831" s="31">
        <v>2019</v>
      </c>
      <c r="J831" s="15" t="s">
        <v>825</v>
      </c>
      <c r="K831" s="1" t="s">
        <v>1295</v>
      </c>
      <c r="L831" s="15" t="s">
        <v>1876</v>
      </c>
      <c r="M831" s="15" t="s">
        <v>480</v>
      </c>
      <c r="N831" s="15" t="s">
        <v>23</v>
      </c>
      <c r="O831" s="31">
        <v>2</v>
      </c>
      <c r="P831" s="15">
        <v>28.690259999999999</v>
      </c>
      <c r="Q831" s="15">
        <v>112.95887</v>
      </c>
      <c r="R831" s="15">
        <v>25</v>
      </c>
      <c r="S831" s="15">
        <v>1393</v>
      </c>
      <c r="T831" s="15">
        <v>17</v>
      </c>
      <c r="U831" s="15" t="s">
        <v>1893</v>
      </c>
      <c r="V831" s="31">
        <v>1</v>
      </c>
      <c r="W831" s="16" t="s">
        <v>1153</v>
      </c>
      <c r="X831" s="15" t="s">
        <v>1907</v>
      </c>
      <c r="Y831" s="1">
        <v>1</v>
      </c>
      <c r="Z831" s="15">
        <v>5.5</v>
      </c>
      <c r="AA831" s="15" t="s">
        <v>573</v>
      </c>
      <c r="AB831" s="15">
        <f t="shared" si="725"/>
        <v>5.5</v>
      </c>
      <c r="AC831" s="1">
        <v>4</v>
      </c>
      <c r="AD831" s="15">
        <v>28.4</v>
      </c>
      <c r="AM831" s="1"/>
      <c r="AP831" s="15" t="s">
        <v>1917</v>
      </c>
      <c r="AQ831" s="1">
        <v>3</v>
      </c>
      <c r="AR831" s="1">
        <v>3</v>
      </c>
      <c r="AT831" s="15" t="s">
        <v>1920</v>
      </c>
      <c r="AW831" s="15">
        <v>1800</v>
      </c>
      <c r="AX831" s="15">
        <f t="shared" si="724"/>
        <v>3204</v>
      </c>
      <c r="AY831" s="15" t="s">
        <v>766</v>
      </c>
      <c r="AZ831" s="15">
        <f t="shared" si="706"/>
        <v>3204</v>
      </c>
      <c r="BA831" s="15">
        <f t="shared" si="707"/>
        <v>1.0935153583617745</v>
      </c>
      <c r="BB831" s="15">
        <f t="shared" si="708"/>
        <v>1922.3999999999999</v>
      </c>
      <c r="BP831" s="16"/>
      <c r="BQ831" s="16"/>
      <c r="BR831" s="16"/>
      <c r="BU831" s="16"/>
      <c r="EZ831" s="16"/>
      <c r="FA831" s="16"/>
      <c r="FB831" s="16"/>
      <c r="FC831" s="16"/>
      <c r="FD831" s="16"/>
      <c r="FE831" s="16"/>
      <c r="FF831" s="16"/>
      <c r="FG831" s="16"/>
      <c r="FH831" s="16"/>
      <c r="FI831" s="16"/>
      <c r="FJ831" s="16"/>
      <c r="FK831" s="16">
        <f t="shared" ref="FK831:FK884" si="730">FM831</f>
        <v>5.2</v>
      </c>
      <c r="FL831" s="16">
        <f t="shared" ref="FL831:FL884" si="731">FP831</f>
        <v>5.97</v>
      </c>
      <c r="FM831" s="15">
        <v>5.2</v>
      </c>
      <c r="FN831" s="15">
        <v>0.18</v>
      </c>
      <c r="FO831" s="15">
        <f>FN831*SQRT(AR831)</f>
        <v>0.31176914536239786</v>
      </c>
      <c r="FP831" s="15">
        <v>5.97</v>
      </c>
      <c r="FQ831" s="15">
        <v>0.31</v>
      </c>
      <c r="FR831" s="15">
        <f>FQ831*SQRT(AR831)</f>
        <v>0.53693575034635188</v>
      </c>
      <c r="FS831" s="15">
        <f t="shared" ref="FS831:FS884" si="732">FP831/FM831</f>
        <v>1.148076923076923</v>
      </c>
      <c r="FT831" s="15">
        <f t="shared" ref="FT831:FT884" si="733">FP831-FM831</f>
        <v>0.76999999999999957</v>
      </c>
      <c r="FU831" s="15">
        <f t="shared" ref="FU831:FU884" si="734">LN(FP831)-LN(FM831)</f>
        <v>0.13808830181712906</v>
      </c>
      <c r="FV831" s="15">
        <f>((FR831*FR831)/(AR831*FP831*FP831)+(FO831*FO831)/(AR831*FM831*FM831))</f>
        <v>3.8945652924078089E-3</v>
      </c>
      <c r="FX831" s="15">
        <v>16</v>
      </c>
      <c r="FY831" s="15">
        <v>1.2</v>
      </c>
      <c r="FZ831" s="15">
        <f>FY831*SQRT(AR831)</f>
        <v>2.0784609690826525</v>
      </c>
      <c r="GA831" s="15">
        <v>16.899999999999999</v>
      </c>
      <c r="GB831" s="15">
        <v>0.4</v>
      </c>
      <c r="GC831" s="15">
        <f>GB831*SQRT(AR831)</f>
        <v>0.69282032302755092</v>
      </c>
      <c r="GD831" s="15">
        <v>1.0562499999999999</v>
      </c>
      <c r="GE831" s="15">
        <f t="shared" si="728"/>
        <v>0.89999999999999858</v>
      </c>
      <c r="GF831" s="15">
        <f t="shared" si="729"/>
        <v>5.4724899689246431E-2</v>
      </c>
      <c r="GG831" s="15">
        <f>((GC831*GC831)/(AR831*GA831*GA831)+(FZ831*FZ831)/(AR831*FX831*FX831))</f>
        <v>6.1852044746332404E-3</v>
      </c>
      <c r="HE831" s="15">
        <v>7266</v>
      </c>
      <c r="HF831" s="15">
        <v>215</v>
      </c>
      <c r="HG831" s="15">
        <f>HF831*SQRT(AR831)</f>
        <v>372.39092362730861</v>
      </c>
      <c r="HH831" s="15">
        <v>7640</v>
      </c>
      <c r="HI831" s="15">
        <v>241</v>
      </c>
      <c r="HJ831" s="15">
        <f>HI831*SQRT(AR831)</f>
        <v>417.4242446240994</v>
      </c>
      <c r="HK831" s="15">
        <f t="shared" si="719"/>
        <v>1.0514726121662539</v>
      </c>
      <c r="HL831" s="15">
        <f t="shared" si="720"/>
        <v>374</v>
      </c>
      <c r="HM831" s="15">
        <f t="shared" si="721"/>
        <v>5.0191669379419324E-2</v>
      </c>
      <c r="HN831" s="15">
        <f>((HJ831*HJ831)/(AR831*HH831*HH831)+(HG831*HG831)/(AR831*HE831*HE831))</f>
        <v>1.8706160893243039E-3</v>
      </c>
      <c r="HP831" s="15" t="s">
        <v>766</v>
      </c>
      <c r="HV831" s="15">
        <f t="shared" si="722"/>
        <v>383.01176744447235</v>
      </c>
      <c r="HW831" s="15">
        <f t="shared" si="723"/>
        <v>5.0191669379419324E-2</v>
      </c>
      <c r="HX831" s="15">
        <f>BB831</f>
        <v>1922.3999999999999</v>
      </c>
      <c r="HY831" s="15">
        <f>AZ831</f>
        <v>3204</v>
      </c>
      <c r="HZ831" s="15">
        <f>BA831</f>
        <v>1.0935153583617745</v>
      </c>
      <c r="IA831" s="15">
        <f>BB831</f>
        <v>1922.3999999999999</v>
      </c>
    </row>
    <row r="832" spans="1:235" s="15" customFormat="1" x14ac:dyDescent="0.25">
      <c r="A832" s="31">
        <v>830</v>
      </c>
      <c r="B832" s="43">
        <v>130</v>
      </c>
      <c r="C832" s="1">
        <v>152</v>
      </c>
      <c r="D832" s="15" t="s">
        <v>1817</v>
      </c>
      <c r="E832" s="31">
        <v>1</v>
      </c>
      <c r="F832" s="15" t="s">
        <v>761</v>
      </c>
      <c r="G832" s="15" t="s">
        <v>1854</v>
      </c>
      <c r="H832" s="15" t="s">
        <v>1845</v>
      </c>
      <c r="I832" s="31">
        <v>2019</v>
      </c>
      <c r="J832" s="15" t="s">
        <v>825</v>
      </c>
      <c r="K832" s="1" t="s">
        <v>1295</v>
      </c>
      <c r="L832" s="15" t="s">
        <v>1876</v>
      </c>
      <c r="M832" s="15" t="s">
        <v>480</v>
      </c>
      <c r="N832" s="15" t="s">
        <v>23</v>
      </c>
      <c r="O832" s="31">
        <v>2</v>
      </c>
      <c r="P832" s="15">
        <v>28.690259999999999</v>
      </c>
      <c r="Q832" s="15">
        <v>112.95887</v>
      </c>
      <c r="R832" s="15">
        <v>25</v>
      </c>
      <c r="S832" s="15">
        <v>1393</v>
      </c>
      <c r="T832" s="15">
        <v>17</v>
      </c>
      <c r="U832" s="15" t="s">
        <v>1893</v>
      </c>
      <c r="V832" s="31">
        <v>1</v>
      </c>
      <c r="W832" s="16" t="s">
        <v>1153</v>
      </c>
      <c r="X832" s="15" t="s">
        <v>1907</v>
      </c>
      <c r="Y832" s="1">
        <v>1</v>
      </c>
      <c r="Z832" s="15">
        <v>5.5</v>
      </c>
      <c r="AA832" s="15" t="s">
        <v>573</v>
      </c>
      <c r="AB832" s="15">
        <f t="shared" si="725"/>
        <v>5.5</v>
      </c>
      <c r="AC832" s="1">
        <v>4</v>
      </c>
      <c r="AD832" s="15">
        <v>28.4</v>
      </c>
      <c r="AM832" s="1"/>
      <c r="AP832" s="15" t="s">
        <v>1917</v>
      </c>
      <c r="AQ832" s="1">
        <v>3</v>
      </c>
      <c r="AR832" s="1">
        <v>3</v>
      </c>
      <c r="AT832" s="15" t="s">
        <v>1920</v>
      </c>
      <c r="AW832" s="15">
        <v>1800</v>
      </c>
      <c r="AX832" s="15">
        <f t="shared" si="724"/>
        <v>3204</v>
      </c>
      <c r="AY832" s="15" t="s">
        <v>766</v>
      </c>
      <c r="AZ832" s="15">
        <f t="shared" si="706"/>
        <v>3204</v>
      </c>
      <c r="BA832" s="15">
        <f t="shared" si="707"/>
        <v>1.0935153583617745</v>
      </c>
      <c r="BB832" s="15">
        <f t="shared" si="708"/>
        <v>1922.3999999999999</v>
      </c>
      <c r="BP832" s="16"/>
      <c r="BQ832" s="16"/>
      <c r="BR832" s="16"/>
      <c r="BU832" s="16"/>
      <c r="EZ832" s="16"/>
      <c r="FA832" s="16"/>
      <c r="FB832" s="16"/>
      <c r="FC832" s="16"/>
      <c r="FD832" s="16"/>
      <c r="FE832" s="16"/>
      <c r="FF832" s="16"/>
      <c r="FG832" s="16"/>
      <c r="FH832" s="16"/>
      <c r="FI832" s="16"/>
      <c r="FJ832" s="16"/>
      <c r="FK832" s="16">
        <f t="shared" si="730"/>
        <v>5.18</v>
      </c>
      <c r="FL832" s="16">
        <f t="shared" si="731"/>
        <v>5.8</v>
      </c>
      <c r="FM832" s="15">
        <v>5.18</v>
      </c>
      <c r="FN832" s="15">
        <v>0.17</v>
      </c>
      <c r="FO832" s="15">
        <f>FN832*SQRT(AR832)</f>
        <v>0.29444863728670917</v>
      </c>
      <c r="FP832" s="15">
        <v>5.8</v>
      </c>
      <c r="FQ832" s="15">
        <v>0.4</v>
      </c>
      <c r="FR832" s="15">
        <f>FQ832*SQRT(AR832)</f>
        <v>0.69282032302755092</v>
      </c>
      <c r="FS832" s="15">
        <f t="shared" si="732"/>
        <v>1.1196911196911197</v>
      </c>
      <c r="FT832" s="15">
        <f t="shared" si="733"/>
        <v>0.62000000000000011</v>
      </c>
      <c r="FU832" s="15">
        <f t="shared" si="734"/>
        <v>0.11305286128098202</v>
      </c>
      <c r="FV832" s="15">
        <f>((FR832*FR832)/(AR832*FP832*FP832)+(FO832*FO832)/(AR832*FM832*FM832))</f>
        <v>5.8332986647321033E-3</v>
      </c>
      <c r="FX832" s="15">
        <v>16.899999999999999</v>
      </c>
      <c r="FY832" s="15">
        <v>1.1000000000000001</v>
      </c>
      <c r="FZ832" s="15">
        <f>FY832*SQRT(AR832)</f>
        <v>1.9052558883257651</v>
      </c>
      <c r="GA832" s="15">
        <v>16.7</v>
      </c>
      <c r="GB832" s="15">
        <v>0.5</v>
      </c>
      <c r="GC832" s="15">
        <f>GB832*SQRT(AR832)</f>
        <v>0.8660254037844386</v>
      </c>
      <c r="GD832" s="15">
        <v>0.98816568047337283</v>
      </c>
      <c r="GE832" s="15">
        <f t="shared" si="728"/>
        <v>-0.19999999999999929</v>
      </c>
      <c r="GF832" s="15">
        <f t="shared" si="729"/>
        <v>-1.1904902506318038E-2</v>
      </c>
      <c r="GG832" s="15">
        <f>((GC832*GC832)/(AR832*GA832*GA832)+(FZ832*FZ832)/(AR832*FX832*FX832))</f>
        <v>5.1329571106857154E-3</v>
      </c>
      <c r="HE832" s="15">
        <v>7389</v>
      </c>
      <c r="HF832" s="15">
        <v>214</v>
      </c>
      <c r="HG832" s="15">
        <f>HF832*SQRT(AR832)</f>
        <v>370.65887281973971</v>
      </c>
      <c r="HH832" s="15">
        <v>7504</v>
      </c>
      <c r="HI832" s="15">
        <v>211</v>
      </c>
      <c r="HJ832" s="15">
        <f>HI832*SQRT(AR832)</f>
        <v>365.46272039703308</v>
      </c>
      <c r="HK832" s="15">
        <f t="shared" si="719"/>
        <v>1.0155636757341995</v>
      </c>
      <c r="HL832" s="15">
        <f t="shared" si="720"/>
        <v>115</v>
      </c>
      <c r="HM832" s="15">
        <f t="shared" si="721"/>
        <v>1.5443803897412067E-2</v>
      </c>
      <c r="HN832" s="15">
        <f>((HJ832*HJ832)/(AR832*HH832*HH832)+(HG832*HG832)/(AR832*HE832*HE832))</f>
        <v>1.6294366043412742E-3</v>
      </c>
      <c r="HP832" s="15" t="s">
        <v>766</v>
      </c>
      <c r="HV832" s="15">
        <f t="shared" si="722"/>
        <v>1244.7710504289284</v>
      </c>
      <c r="HW832" s="15">
        <f t="shared" si="723"/>
        <v>1.5443803897412067E-2</v>
      </c>
      <c r="HX832" s="15">
        <f>BB832</f>
        <v>1922.3999999999999</v>
      </c>
      <c r="HY832" s="15">
        <f>AZ832</f>
        <v>3204</v>
      </c>
      <c r="HZ832" s="15">
        <f>BA832</f>
        <v>1.0935153583617745</v>
      </c>
      <c r="IA832" s="15">
        <f>BB832</f>
        <v>1922.3999999999999</v>
      </c>
    </row>
    <row r="833" spans="1:235" s="15" customFormat="1" x14ac:dyDescent="0.25">
      <c r="A833" s="31">
        <v>831</v>
      </c>
      <c r="B833" s="43">
        <v>130</v>
      </c>
      <c r="C833" s="1">
        <v>152</v>
      </c>
      <c r="D833" s="15" t="s">
        <v>1818</v>
      </c>
      <c r="E833" s="31">
        <v>4</v>
      </c>
      <c r="F833" s="15" t="s">
        <v>879</v>
      </c>
      <c r="G833" s="15" t="s">
        <v>1854</v>
      </c>
      <c r="H833" s="15" t="s">
        <v>1845</v>
      </c>
      <c r="I833" s="31">
        <v>2019</v>
      </c>
      <c r="J833" s="15" t="s">
        <v>825</v>
      </c>
      <c r="K833" s="1" t="s">
        <v>1295</v>
      </c>
      <c r="L833" s="15" t="s">
        <v>1876</v>
      </c>
      <c r="M833" s="15" t="s">
        <v>480</v>
      </c>
      <c r="N833" s="15" t="s">
        <v>23</v>
      </c>
      <c r="O833" s="31">
        <v>2</v>
      </c>
      <c r="P833" s="15">
        <v>28.690259999999999</v>
      </c>
      <c r="Q833" s="15">
        <v>112.95887</v>
      </c>
      <c r="R833" s="15">
        <v>25</v>
      </c>
      <c r="S833" s="15">
        <v>1393</v>
      </c>
      <c r="T833" s="15">
        <v>17</v>
      </c>
      <c r="U833" s="15" t="s">
        <v>1893</v>
      </c>
      <c r="V833" s="31">
        <v>1</v>
      </c>
      <c r="W833" s="16" t="s">
        <v>1153</v>
      </c>
      <c r="X833" s="15" t="s">
        <v>1907</v>
      </c>
      <c r="Y833" s="1">
        <v>1</v>
      </c>
      <c r="Z833" s="15">
        <v>5.5</v>
      </c>
      <c r="AA833" s="15" t="s">
        <v>573</v>
      </c>
      <c r="AB833" s="15">
        <f t="shared" si="725"/>
        <v>5.5</v>
      </c>
      <c r="AC833" s="1">
        <v>4</v>
      </c>
      <c r="AD833" s="15">
        <v>28.4</v>
      </c>
      <c r="AM833" s="1"/>
      <c r="AP833" s="15" t="s">
        <v>1917</v>
      </c>
      <c r="AQ833" s="1">
        <v>3</v>
      </c>
      <c r="AR833" s="1">
        <v>3</v>
      </c>
      <c r="AT833" s="15" t="s">
        <v>1920</v>
      </c>
      <c r="AW833" s="15">
        <v>1800</v>
      </c>
      <c r="AX833" s="15">
        <f t="shared" si="724"/>
        <v>3204</v>
      </c>
      <c r="AY833" s="15" t="s">
        <v>766</v>
      </c>
      <c r="AZ833" s="15">
        <f t="shared" si="706"/>
        <v>3204</v>
      </c>
      <c r="BA833" s="15">
        <f t="shared" si="707"/>
        <v>1.0935153583617745</v>
      </c>
      <c r="BB833" s="15">
        <f t="shared" si="708"/>
        <v>1922.3999999999999</v>
      </c>
      <c r="BG833" s="15" t="s">
        <v>1928</v>
      </c>
      <c r="BP833" s="16"/>
      <c r="BQ833" s="16"/>
      <c r="BR833" s="16"/>
      <c r="BS833" s="15">
        <v>6000</v>
      </c>
      <c r="BT833" s="15">
        <v>6000</v>
      </c>
      <c r="BU833" s="16" t="s">
        <v>766</v>
      </c>
      <c r="BY833" s="15">
        <f>BT833</f>
        <v>6000</v>
      </c>
      <c r="BZ833" s="15">
        <f>BY833/1.1/1000</f>
        <v>5.4545454545454541</v>
      </c>
      <c r="CA833" s="15">
        <f>BY833*2</f>
        <v>12000</v>
      </c>
      <c r="EZ833" s="16"/>
      <c r="FA833" s="16"/>
      <c r="FB833" s="16"/>
      <c r="FC833" s="16"/>
      <c r="FD833" s="16"/>
      <c r="FE833" s="16"/>
      <c r="FF833" s="16"/>
      <c r="FG833" s="16"/>
      <c r="FH833" s="16"/>
      <c r="FI833" s="16"/>
      <c r="FJ833" s="16"/>
      <c r="FK833" s="16">
        <f t="shared" si="730"/>
        <v>5.25</v>
      </c>
      <c r="FL833" s="16">
        <f t="shared" si="731"/>
        <v>5.28</v>
      </c>
      <c r="FM833" s="15">
        <v>5.25</v>
      </c>
      <c r="FN833" s="15">
        <v>0.18</v>
      </c>
      <c r="FO833" s="15">
        <f>FN833*SQRT(AR833)</f>
        <v>0.31176914536239786</v>
      </c>
      <c r="FP833" s="15">
        <v>5.28</v>
      </c>
      <c r="FQ833" s="15">
        <v>0.17</v>
      </c>
      <c r="FR833" s="15">
        <f>FQ833*SQRT(AR833)</f>
        <v>0.29444863728670917</v>
      </c>
      <c r="FS833" s="15">
        <f t="shared" si="732"/>
        <v>1.0057142857142858</v>
      </c>
      <c r="FT833" s="15">
        <f t="shared" si="733"/>
        <v>3.0000000000000249E-2</v>
      </c>
      <c r="FU833" s="15">
        <f t="shared" si="734"/>
        <v>5.6980211146377968E-3</v>
      </c>
      <c r="FV833" s="15">
        <f>((FR833*FR833)/(AR833*FP833*FP833)+(FO833*FO833)/(AR833*FM833*FM833))</f>
        <v>2.2121550617492172E-3</v>
      </c>
      <c r="FX833" s="15">
        <v>15.7</v>
      </c>
      <c r="FY833" s="15">
        <v>0.1</v>
      </c>
      <c r="FZ833" s="15">
        <f>FY833*SQRT(AR833)</f>
        <v>0.17320508075688773</v>
      </c>
      <c r="GA833" s="15">
        <v>16.899999999999999</v>
      </c>
      <c r="GB833" s="15">
        <v>1.1000000000000001</v>
      </c>
      <c r="GC833" s="15">
        <f>GB833*SQRT(AR833)</f>
        <v>1.9052558883257651</v>
      </c>
      <c r="GD833" s="15">
        <v>1.0562499999999999</v>
      </c>
      <c r="GE833" s="15">
        <f t="shared" si="728"/>
        <v>1.1999999999999993</v>
      </c>
      <c r="GF833" s="15">
        <f t="shared" si="729"/>
        <v>7.3652909574765335E-2</v>
      </c>
      <c r="GG833" s="15">
        <f>((GC833*GC833)/(AR833*GA833*GA833)+(FZ833*FZ833)/(AR833*FX833*FX833))</f>
        <v>4.2771159365577877E-3</v>
      </c>
      <c r="HE833" s="15">
        <v>7306</v>
      </c>
      <c r="HF833" s="15">
        <v>231</v>
      </c>
      <c r="HG833" s="15">
        <f>HF833*SQRT(AR833)</f>
        <v>400.10373654841061</v>
      </c>
      <c r="HH833" s="15">
        <v>7442</v>
      </c>
      <c r="HI833" s="15">
        <v>217</v>
      </c>
      <c r="HJ833" s="15">
        <f>HI833*SQRT(AR833)</f>
        <v>375.85502524244635</v>
      </c>
      <c r="HK833" s="15">
        <f t="shared" si="719"/>
        <v>1.0186148371201753</v>
      </c>
      <c r="HL833" s="15">
        <f t="shared" si="720"/>
        <v>136</v>
      </c>
      <c r="HM833" s="15">
        <f t="shared" si="721"/>
        <v>1.8443701551341007E-2</v>
      </c>
      <c r="HN833" s="15">
        <f>((HJ833*HJ833)/(AR833*HH833*HH833)+(HG833*HG833)/(AR833*HE833*HE833))</f>
        <v>1.8499256000874742E-3</v>
      </c>
      <c r="HP833" s="15" t="s">
        <v>766</v>
      </c>
      <c r="HV833" s="15">
        <f t="shared" si="722"/>
        <v>6506.286152265081</v>
      </c>
      <c r="HW833" s="15">
        <f t="shared" si="723"/>
        <v>1.8443701551341007E-2</v>
      </c>
      <c r="HX833" s="15">
        <f>CA833</f>
        <v>12000</v>
      </c>
      <c r="HY833" s="15">
        <f>BY833</f>
        <v>6000</v>
      </c>
      <c r="HZ833" s="15">
        <f>BZ833</f>
        <v>5.4545454545454541</v>
      </c>
      <c r="IA833" s="15">
        <f>CA833</f>
        <v>12000</v>
      </c>
    </row>
    <row r="834" spans="1:235" s="15" customFormat="1" x14ac:dyDescent="0.25">
      <c r="A834" s="31">
        <v>832</v>
      </c>
      <c r="B834" s="43">
        <v>130</v>
      </c>
      <c r="C834" s="1">
        <v>152</v>
      </c>
      <c r="D834" s="15" t="s">
        <v>1819</v>
      </c>
      <c r="E834" s="31">
        <v>4</v>
      </c>
      <c r="F834" s="15" t="s">
        <v>879</v>
      </c>
      <c r="G834" s="15" t="s">
        <v>1854</v>
      </c>
      <c r="H834" s="15" t="s">
        <v>1845</v>
      </c>
      <c r="I834" s="31">
        <v>2019</v>
      </c>
      <c r="J834" s="15" t="s">
        <v>825</v>
      </c>
      <c r="K834" s="1" t="s">
        <v>1295</v>
      </c>
      <c r="L834" s="15" t="s">
        <v>1876</v>
      </c>
      <c r="M834" s="15" t="s">
        <v>480</v>
      </c>
      <c r="N834" s="15" t="s">
        <v>23</v>
      </c>
      <c r="O834" s="31">
        <v>2</v>
      </c>
      <c r="P834" s="15">
        <v>28.690259999999999</v>
      </c>
      <c r="Q834" s="15">
        <v>112.95887</v>
      </c>
      <c r="R834" s="15">
        <v>25</v>
      </c>
      <c r="S834" s="15">
        <v>1393</v>
      </c>
      <c r="T834" s="15">
        <v>17</v>
      </c>
      <c r="U834" s="15" t="s">
        <v>1893</v>
      </c>
      <c r="V834" s="31">
        <v>1</v>
      </c>
      <c r="W834" s="16" t="s">
        <v>1153</v>
      </c>
      <c r="X834" s="15" t="s">
        <v>1907</v>
      </c>
      <c r="Y834" s="1">
        <v>1</v>
      </c>
      <c r="Z834" s="15">
        <v>5.5</v>
      </c>
      <c r="AA834" s="15" t="s">
        <v>573</v>
      </c>
      <c r="AB834" s="15">
        <f t="shared" si="725"/>
        <v>5.5</v>
      </c>
      <c r="AC834" s="1">
        <v>4</v>
      </c>
      <c r="AD834" s="15">
        <v>28.4</v>
      </c>
      <c r="AM834" s="1"/>
      <c r="AP834" s="15" t="s">
        <v>1917</v>
      </c>
      <c r="AQ834" s="1">
        <v>3</v>
      </c>
      <c r="AR834" s="1">
        <v>3</v>
      </c>
      <c r="AT834" s="15" t="s">
        <v>1920</v>
      </c>
      <c r="AW834" s="15">
        <v>1800</v>
      </c>
      <c r="AX834" s="15">
        <f t="shared" si="724"/>
        <v>3204</v>
      </c>
      <c r="AY834" s="15" t="s">
        <v>766</v>
      </c>
      <c r="AZ834" s="15">
        <f t="shared" si="706"/>
        <v>3204</v>
      </c>
      <c r="BA834" s="15">
        <f t="shared" si="707"/>
        <v>1.0935153583617745</v>
      </c>
      <c r="BB834" s="15">
        <f t="shared" si="708"/>
        <v>1922.3999999999999</v>
      </c>
      <c r="BG834" s="15" t="s">
        <v>1928</v>
      </c>
      <c r="BP834" s="16"/>
      <c r="BQ834" s="16"/>
      <c r="BR834" s="16"/>
      <c r="BS834" s="15">
        <v>6000</v>
      </c>
      <c r="BT834" s="15">
        <v>6000</v>
      </c>
      <c r="BU834" s="16" t="s">
        <v>766</v>
      </c>
      <c r="BY834" s="15">
        <f>BT834</f>
        <v>6000</v>
      </c>
      <c r="BZ834" s="15">
        <f>BY834/1.1/1000</f>
        <v>5.4545454545454541</v>
      </c>
      <c r="CA834" s="15">
        <f>BY834*2</f>
        <v>12000</v>
      </c>
      <c r="EZ834" s="16"/>
      <c r="FA834" s="16"/>
      <c r="FB834" s="16"/>
      <c r="FC834" s="16"/>
      <c r="FD834" s="16"/>
      <c r="FE834" s="16"/>
      <c r="FF834" s="16"/>
      <c r="FG834" s="16"/>
      <c r="FH834" s="16"/>
      <c r="FI834" s="16"/>
      <c r="FJ834" s="16"/>
      <c r="FK834" s="16">
        <f t="shared" si="730"/>
        <v>5.97</v>
      </c>
      <c r="FL834" s="16">
        <f t="shared" si="731"/>
        <v>6.1</v>
      </c>
      <c r="FM834" s="15">
        <v>5.97</v>
      </c>
      <c r="FN834" s="15">
        <v>0.31</v>
      </c>
      <c r="FO834" s="15">
        <f>FN834*SQRT(AR834)</f>
        <v>0.53693575034635188</v>
      </c>
      <c r="FP834" s="15">
        <v>6.1</v>
      </c>
      <c r="FQ834" s="15">
        <v>0.26</v>
      </c>
      <c r="FR834" s="15">
        <f>FQ834*SQRT(AR834)</f>
        <v>0.4503332099679081</v>
      </c>
      <c r="FS834" s="15">
        <f t="shared" si="732"/>
        <v>1.0217755443886096</v>
      </c>
      <c r="FT834" s="15">
        <f t="shared" si="733"/>
        <v>0.12999999999999989</v>
      </c>
      <c r="FU834" s="15">
        <f t="shared" si="734"/>
        <v>2.1541843774754765E-2</v>
      </c>
      <c r="FV834" s="15">
        <f>((FR834*FR834)/(AR834*FP834*FP834)+(FO834*FO834)/(AR834*FM834*FM834))</f>
        <v>4.5130563769129927E-3</v>
      </c>
      <c r="FX834" s="15">
        <v>16.899999999999999</v>
      </c>
      <c r="FY834" s="15">
        <v>0.4</v>
      </c>
      <c r="FZ834" s="15">
        <f>FY834*SQRT(AR834)</f>
        <v>0.69282032302755092</v>
      </c>
      <c r="GA834" s="15">
        <v>17.8</v>
      </c>
      <c r="GB834" s="15">
        <v>1.4</v>
      </c>
      <c r="GC834" s="15">
        <f>GB834*SQRT(AR834)</f>
        <v>2.4248711305964279</v>
      </c>
      <c r="GD834" s="15">
        <v>0.98816568047337283</v>
      </c>
      <c r="GE834" s="15">
        <f t="shared" si="728"/>
        <v>0.90000000000000213</v>
      </c>
      <c r="GF834" s="15">
        <f t="shared" si="729"/>
        <v>5.1884835369012006E-2</v>
      </c>
      <c r="GG834" s="15">
        <f>((GC834*GC834)/(AR834*GA834*GA834)+(FZ834*FZ834)/(AR834*FX834*FX834))</f>
        <v>6.7462920898333396E-3</v>
      </c>
      <c r="HE834" s="15">
        <v>7492</v>
      </c>
      <c r="HF834" s="15">
        <v>209</v>
      </c>
      <c r="HG834" s="15">
        <f>HF834*SQRT(AR834)</f>
        <v>361.99861878189535</v>
      </c>
      <c r="HH834" s="15">
        <v>7506</v>
      </c>
      <c r="HI834" s="15">
        <v>218</v>
      </c>
      <c r="HJ834" s="15">
        <f>HI834*SQRT(AR834)</f>
        <v>377.58707605001524</v>
      </c>
      <c r="HK834" s="15">
        <f t="shared" si="719"/>
        <v>1.0018686599038975</v>
      </c>
      <c r="HL834" s="15">
        <f t="shared" si="720"/>
        <v>14</v>
      </c>
      <c r="HM834" s="15">
        <f t="shared" si="721"/>
        <v>1.8669161309876614E-3</v>
      </c>
      <c r="HN834" s="15">
        <f>((HJ834*HJ834)/(AR834*HH834*HH834)+(HG834*HG834)/(AR834*HE834*HE834))</f>
        <v>1.6217313456413879E-3</v>
      </c>
      <c r="HP834" s="15" t="s">
        <v>766</v>
      </c>
      <c r="HV834" s="15">
        <f t="shared" si="722"/>
        <v>64277.124187960158</v>
      </c>
      <c r="HW834" s="15">
        <f t="shared" si="723"/>
        <v>1.8669161309876614E-3</v>
      </c>
      <c r="HX834" s="15">
        <f>CA834</f>
        <v>12000</v>
      </c>
      <c r="HY834" s="15">
        <f>BY834</f>
        <v>6000</v>
      </c>
      <c r="HZ834" s="15">
        <f>BZ834</f>
        <v>5.4545454545454541</v>
      </c>
      <c r="IA834" s="15">
        <f>CA834</f>
        <v>12000</v>
      </c>
    </row>
    <row r="835" spans="1:235" s="15" customFormat="1" x14ac:dyDescent="0.25">
      <c r="A835" s="31">
        <v>833</v>
      </c>
      <c r="B835" s="43">
        <v>131</v>
      </c>
      <c r="C835" s="1">
        <v>153</v>
      </c>
      <c r="D835" s="15" t="s">
        <v>1820</v>
      </c>
      <c r="E835" s="31">
        <v>1</v>
      </c>
      <c r="F835" s="15" t="s">
        <v>761</v>
      </c>
      <c r="G835" s="15" t="s">
        <v>1846</v>
      </c>
      <c r="H835" s="15" t="s">
        <v>1847</v>
      </c>
      <c r="I835" s="31">
        <v>2019</v>
      </c>
      <c r="J835" s="15" t="s">
        <v>1861</v>
      </c>
      <c r="K835" s="1">
        <v>2018</v>
      </c>
      <c r="L835" s="15" t="s">
        <v>1877</v>
      </c>
      <c r="M835" s="15" t="s">
        <v>480</v>
      </c>
      <c r="N835" s="15" t="s">
        <v>23</v>
      </c>
      <c r="O835" s="31">
        <v>2</v>
      </c>
      <c r="P835" s="15">
        <v>27.885752</v>
      </c>
      <c r="Q835" s="15">
        <v>114.567824</v>
      </c>
      <c r="R835" s="15" t="s">
        <v>1886</v>
      </c>
      <c r="S835" s="15">
        <v>1395.9</v>
      </c>
      <c r="T835" s="15" t="s">
        <v>1891</v>
      </c>
      <c r="U835" s="15" t="s">
        <v>1893</v>
      </c>
      <c r="V835" s="31">
        <v>1</v>
      </c>
      <c r="W835" s="16" t="s">
        <v>1158</v>
      </c>
      <c r="X835" s="15" t="s">
        <v>1907</v>
      </c>
      <c r="Y835" s="1">
        <v>1</v>
      </c>
      <c r="Z835" s="15">
        <v>5.13</v>
      </c>
      <c r="AA835" s="15" t="s">
        <v>573</v>
      </c>
      <c r="AB835" s="15">
        <f t="shared" si="725"/>
        <v>5.13</v>
      </c>
      <c r="AC835" s="1">
        <v>3</v>
      </c>
      <c r="AD835" s="15">
        <v>37.799999999999997</v>
      </c>
      <c r="AM835" s="1"/>
      <c r="AP835" s="15" t="s">
        <v>1917</v>
      </c>
      <c r="AQ835" s="1">
        <v>3</v>
      </c>
      <c r="AR835" s="1">
        <v>3</v>
      </c>
      <c r="AW835" s="15">
        <v>300</v>
      </c>
      <c r="AX835" s="15">
        <f t="shared" ref="AX835:AX850" si="735">AW835</f>
        <v>300</v>
      </c>
      <c r="AY835" s="15" t="s">
        <v>766</v>
      </c>
      <c r="AZ835" s="15">
        <f t="shared" si="706"/>
        <v>300</v>
      </c>
      <c r="BA835" s="15">
        <f t="shared" si="707"/>
        <v>0.10238907849829351</v>
      </c>
      <c r="BB835" s="15">
        <f t="shared" si="708"/>
        <v>180</v>
      </c>
      <c r="BP835" s="16"/>
      <c r="BQ835" s="16"/>
      <c r="BR835" s="16"/>
      <c r="BU835" s="16"/>
      <c r="EZ835" s="16"/>
      <c r="FA835" s="16"/>
      <c r="FB835" s="16"/>
      <c r="FC835" s="16"/>
      <c r="FD835" s="16"/>
      <c r="FE835" s="16"/>
      <c r="FF835" s="16"/>
      <c r="FG835" s="16"/>
      <c r="FH835" s="16"/>
      <c r="FI835" s="16"/>
      <c r="FJ835" s="16"/>
      <c r="FK835" s="16">
        <f t="shared" si="730"/>
        <v>5.0199999999999996</v>
      </c>
      <c r="FL835" s="16">
        <f t="shared" si="731"/>
        <v>5.22</v>
      </c>
      <c r="FM835" s="15">
        <v>5.0199999999999996</v>
      </c>
      <c r="FN835" s="15">
        <f t="shared" ref="FN835:FN842" si="736">FM835*0.05</f>
        <v>0.251</v>
      </c>
      <c r="FO835" s="15">
        <f>FN835*SQRT(AR835)</f>
        <v>0.43474475269978818</v>
      </c>
      <c r="FP835" s="15">
        <v>5.22</v>
      </c>
      <c r="FQ835" s="15">
        <f t="shared" ref="FQ835:FQ842" si="737">FP835*0.05</f>
        <v>0.26100000000000001</v>
      </c>
      <c r="FR835" s="15">
        <f>FQ835*SQRT(AR835)</f>
        <v>0.45206526077547698</v>
      </c>
      <c r="FS835" s="15">
        <f t="shared" si="732"/>
        <v>1.0398406374501992</v>
      </c>
      <c r="FT835" s="15">
        <f t="shared" si="733"/>
        <v>0.20000000000000018</v>
      </c>
      <c r="FU835" s="15">
        <f t="shared" si="734"/>
        <v>3.906746819090956E-2</v>
      </c>
      <c r="FV835" s="15">
        <f>((FR835*FR835)/(AR835*FP835*FP835)+(FO835*FO835)/(AR835*FM835*FM835))</f>
        <v>5.000000000000001E-3</v>
      </c>
      <c r="FX835" s="15">
        <v>38.4</v>
      </c>
      <c r="FY835" s="15">
        <f t="shared" ref="FY835:FY845" si="738">FX835*0.05</f>
        <v>1.92</v>
      </c>
      <c r="FZ835" s="15">
        <f>FY835*SQRT(AR835)</f>
        <v>3.325537550532244</v>
      </c>
      <c r="GA835" s="15">
        <v>39.799999999999997</v>
      </c>
      <c r="GB835" s="15">
        <f t="shared" ref="GB835:GB845" si="739">GA835*0.05</f>
        <v>1.99</v>
      </c>
      <c r="GC835" s="15">
        <f>GB835*SQRT(AR835)</f>
        <v>3.4467811070620655</v>
      </c>
      <c r="GD835" s="15">
        <v>1.0364583333333333</v>
      </c>
      <c r="GE835" s="15">
        <f t="shared" si="728"/>
        <v>1.3999999999999986</v>
      </c>
      <c r="GF835" s="15">
        <f t="shared" si="729"/>
        <v>3.5809452696710764E-2</v>
      </c>
      <c r="GG835" s="15">
        <f>((GC835*GC835)/(AR835*GA835*GA835)+(FZ835*FZ835)/(AR835*FX835*FX835))</f>
        <v>4.9999999999999992E-3</v>
      </c>
      <c r="HE835" s="15">
        <v>8336</v>
      </c>
      <c r="HF835" s="15">
        <f t="shared" ref="HF835:HF871" si="740">HE835*0.05</f>
        <v>416.8</v>
      </c>
      <c r="HG835" s="15">
        <f>HF835*SQRT(AR835)</f>
        <v>721.91877659470799</v>
      </c>
      <c r="HH835" s="15">
        <v>8756</v>
      </c>
      <c r="HI835" s="15">
        <f t="shared" ref="HI835:HI866" si="741">HH835*0.05</f>
        <v>437.8</v>
      </c>
      <c r="HJ835" s="15">
        <f>HI835*SQRT(AR835)</f>
        <v>758.29184355365442</v>
      </c>
      <c r="HK835" s="15">
        <f t="shared" si="719"/>
        <v>1.050383877159309</v>
      </c>
      <c r="HL835" s="15">
        <f t="shared" si="720"/>
        <v>420</v>
      </c>
      <c r="HM835" s="15">
        <f t="shared" si="721"/>
        <v>4.9155694649606119E-2</v>
      </c>
      <c r="HN835" s="15">
        <f>((HJ835*HJ835)/(AR835*HH835*HH835)+(HG835*HG835)/(AR835*HE835*HE835))</f>
        <v>4.9999999999999992E-3</v>
      </c>
      <c r="HP835" s="15" t="s">
        <v>766</v>
      </c>
      <c r="HV835" s="15">
        <f t="shared" si="722"/>
        <v>36.618341228434318</v>
      </c>
      <c r="HW835" s="15">
        <f t="shared" ref="HW835:HW871" si="742">HM835</f>
        <v>4.9155694649606119E-2</v>
      </c>
      <c r="HX835" s="15">
        <f>BB835</f>
        <v>180</v>
      </c>
      <c r="HY835" s="15">
        <f>AZ835</f>
        <v>300</v>
      </c>
      <c r="HZ835" s="15">
        <f>BA835</f>
        <v>0.10238907849829351</v>
      </c>
      <c r="IA835" s="15">
        <f>BB835</f>
        <v>180</v>
      </c>
    </row>
    <row r="836" spans="1:235" s="15" customFormat="1" x14ac:dyDescent="0.25">
      <c r="A836" s="31">
        <v>834</v>
      </c>
      <c r="B836" s="43">
        <v>131</v>
      </c>
      <c r="C836" s="1">
        <v>153</v>
      </c>
      <c r="D836" s="15" t="s">
        <v>1821</v>
      </c>
      <c r="E836" s="31">
        <v>1</v>
      </c>
      <c r="F836" s="15" t="s">
        <v>761</v>
      </c>
      <c r="G836" s="15" t="s">
        <v>1846</v>
      </c>
      <c r="H836" s="15" t="s">
        <v>1847</v>
      </c>
      <c r="I836" s="31">
        <v>2019</v>
      </c>
      <c r="J836" s="15" t="s">
        <v>1861</v>
      </c>
      <c r="K836" s="1">
        <v>2018</v>
      </c>
      <c r="L836" s="15" t="s">
        <v>1877</v>
      </c>
      <c r="M836" s="15" t="s">
        <v>480</v>
      </c>
      <c r="N836" s="15" t="s">
        <v>23</v>
      </c>
      <c r="O836" s="31">
        <v>2</v>
      </c>
      <c r="P836" s="15">
        <v>27.885752</v>
      </c>
      <c r="Q836" s="15">
        <v>114.567824</v>
      </c>
      <c r="R836" s="15" t="s">
        <v>1886</v>
      </c>
      <c r="S836" s="15">
        <v>1395.9</v>
      </c>
      <c r="T836" s="15" t="s">
        <v>1891</v>
      </c>
      <c r="U836" s="15" t="s">
        <v>1893</v>
      </c>
      <c r="V836" s="31">
        <v>1</v>
      </c>
      <c r="W836" s="16" t="s">
        <v>1158</v>
      </c>
      <c r="X836" s="15" t="s">
        <v>1907</v>
      </c>
      <c r="Y836" s="1">
        <v>1</v>
      </c>
      <c r="Z836" s="15">
        <v>5.13</v>
      </c>
      <c r="AA836" s="15" t="s">
        <v>573</v>
      </c>
      <c r="AB836" s="15">
        <f t="shared" si="725"/>
        <v>5.13</v>
      </c>
      <c r="AC836" s="1">
        <v>3</v>
      </c>
      <c r="AD836" s="15">
        <v>37.799999999999997</v>
      </c>
      <c r="AM836" s="1"/>
      <c r="AP836" s="15" t="s">
        <v>1917</v>
      </c>
      <c r="AQ836" s="1">
        <v>3</v>
      </c>
      <c r="AR836" s="1">
        <v>3</v>
      </c>
      <c r="AW836" s="15">
        <v>450</v>
      </c>
      <c r="AX836" s="15">
        <f t="shared" si="735"/>
        <v>450</v>
      </c>
      <c r="AY836" s="15" t="s">
        <v>766</v>
      </c>
      <c r="AZ836" s="15">
        <f t="shared" si="706"/>
        <v>450</v>
      </c>
      <c r="BA836" s="15">
        <f t="shared" si="707"/>
        <v>0.15358361774744025</v>
      </c>
      <c r="BB836" s="15">
        <f t="shared" si="708"/>
        <v>270</v>
      </c>
      <c r="BP836" s="16"/>
      <c r="BQ836" s="16"/>
      <c r="BR836" s="16"/>
      <c r="BU836" s="16"/>
      <c r="EZ836" s="16"/>
      <c r="FA836" s="16"/>
      <c r="FB836" s="16"/>
      <c r="FC836" s="16"/>
      <c r="FD836" s="16"/>
      <c r="FE836" s="16"/>
      <c r="FF836" s="16"/>
      <c r="FG836" s="16"/>
      <c r="FH836" s="16"/>
      <c r="FI836" s="16"/>
      <c r="FJ836" s="16"/>
      <c r="FK836" s="16">
        <f t="shared" si="730"/>
        <v>5.0199999999999996</v>
      </c>
      <c r="FL836" s="16">
        <f t="shared" si="731"/>
        <v>5.31</v>
      </c>
      <c r="FM836" s="15">
        <v>5.0199999999999996</v>
      </c>
      <c r="FN836" s="15">
        <f t="shared" si="736"/>
        <v>0.251</v>
      </c>
      <c r="FO836" s="15">
        <f>FN836*SQRT(AR836)</f>
        <v>0.43474475269978818</v>
      </c>
      <c r="FP836" s="15">
        <v>5.31</v>
      </c>
      <c r="FQ836" s="15">
        <f t="shared" si="737"/>
        <v>0.26550000000000001</v>
      </c>
      <c r="FR836" s="15">
        <f>FQ836*SQRT(AR836)</f>
        <v>0.45985948940953691</v>
      </c>
      <c r="FS836" s="15">
        <f t="shared" si="732"/>
        <v>1.0577689243027888</v>
      </c>
      <c r="FT836" s="15">
        <f t="shared" si="733"/>
        <v>0.29000000000000004</v>
      </c>
      <c r="FU836" s="15">
        <f t="shared" si="734"/>
        <v>5.6161901550209725E-2</v>
      </c>
      <c r="FV836" s="15">
        <f>((FR836*FR836)/(AR836*FP836*FP836)+(FO836*FO836)/(AR836*FM836*FM836))</f>
        <v>5.0000000000000001E-3</v>
      </c>
      <c r="FX836" s="15">
        <v>38.4</v>
      </c>
      <c r="FY836" s="15">
        <f t="shared" si="738"/>
        <v>1.92</v>
      </c>
      <c r="FZ836" s="15">
        <f>FY836*SQRT(AR836)</f>
        <v>3.325537550532244</v>
      </c>
      <c r="GA836" s="15">
        <v>41.9</v>
      </c>
      <c r="GB836" s="15">
        <f t="shared" si="739"/>
        <v>2.0950000000000002</v>
      </c>
      <c r="GC836" s="15">
        <f>GB836*SQRT(AR836)</f>
        <v>3.6286464418567981</v>
      </c>
      <c r="GD836" s="15">
        <v>1.0911458333333333</v>
      </c>
      <c r="GE836" s="15">
        <f t="shared" si="728"/>
        <v>3.5</v>
      </c>
      <c r="GF836" s="15">
        <f t="shared" si="729"/>
        <v>8.7228367334410972E-2</v>
      </c>
      <c r="GG836" s="15">
        <f>((GC836*GC836)/(AR836*GA836*GA836)+(FZ836*FZ836)/(AR836*FX836*FX836))</f>
        <v>5.0000000000000001E-3</v>
      </c>
      <c r="HE836" s="15">
        <v>8336</v>
      </c>
      <c r="HF836" s="15">
        <f t="shared" si="740"/>
        <v>416.8</v>
      </c>
      <c r="HG836" s="15">
        <f>HF836*SQRT(AR836)</f>
        <v>721.91877659470799</v>
      </c>
      <c r="HH836" s="15">
        <v>9005</v>
      </c>
      <c r="HI836" s="15">
        <f t="shared" si="741"/>
        <v>450.25</v>
      </c>
      <c r="HJ836" s="15">
        <f>HI836*SQRT(AR836)</f>
        <v>779.85587610788696</v>
      </c>
      <c r="HK836" s="15">
        <f t="shared" si="719"/>
        <v>1.0802543186180422</v>
      </c>
      <c r="HL836" s="15">
        <f t="shared" si="720"/>
        <v>669</v>
      </c>
      <c r="HM836" s="15">
        <f t="shared" si="721"/>
        <v>7.7196493616908057E-2</v>
      </c>
      <c r="HN836" s="15">
        <f>((HJ836*HJ836)/(AR836*HH836*HH836)+(HG836*HG836)/(AR836*HE836*HE836))</f>
        <v>4.9999999999999992E-3</v>
      </c>
      <c r="HP836" s="15" t="s">
        <v>766</v>
      </c>
      <c r="HV836" s="15">
        <f t="shared" si="722"/>
        <v>34.975681841184418</v>
      </c>
      <c r="HW836" s="15">
        <f t="shared" si="742"/>
        <v>7.7196493616908057E-2</v>
      </c>
      <c r="HX836" s="15">
        <f>BB836</f>
        <v>270</v>
      </c>
      <c r="HY836" s="15">
        <f>AZ836</f>
        <v>450</v>
      </c>
      <c r="HZ836" s="15">
        <f>BA836</f>
        <v>0.15358361774744025</v>
      </c>
      <c r="IA836" s="15">
        <f>BB836</f>
        <v>270</v>
      </c>
    </row>
    <row r="837" spans="1:235" s="15" customFormat="1" x14ac:dyDescent="0.25">
      <c r="A837" s="31">
        <v>835</v>
      </c>
      <c r="B837" s="43">
        <v>131</v>
      </c>
      <c r="C837" s="1">
        <v>153</v>
      </c>
      <c r="D837" s="15" t="s">
        <v>1822</v>
      </c>
      <c r="E837" s="31">
        <v>1</v>
      </c>
      <c r="F837" s="15" t="s">
        <v>761</v>
      </c>
      <c r="G837" s="15" t="s">
        <v>1846</v>
      </c>
      <c r="H837" s="15" t="s">
        <v>1847</v>
      </c>
      <c r="I837" s="31">
        <v>2019</v>
      </c>
      <c r="J837" s="15" t="s">
        <v>1861</v>
      </c>
      <c r="K837" s="1">
        <v>2018</v>
      </c>
      <c r="L837" s="15" t="s">
        <v>1877</v>
      </c>
      <c r="M837" s="15" t="s">
        <v>480</v>
      </c>
      <c r="N837" s="15" t="s">
        <v>23</v>
      </c>
      <c r="O837" s="31">
        <v>2</v>
      </c>
      <c r="P837" s="15">
        <v>27.885752</v>
      </c>
      <c r="Q837" s="15">
        <v>114.567824</v>
      </c>
      <c r="R837" s="15" t="s">
        <v>1886</v>
      </c>
      <c r="S837" s="15">
        <v>1395.9</v>
      </c>
      <c r="T837" s="15" t="s">
        <v>1891</v>
      </c>
      <c r="U837" s="15" t="s">
        <v>1893</v>
      </c>
      <c r="V837" s="31">
        <v>1</v>
      </c>
      <c r="W837" s="16" t="s">
        <v>1158</v>
      </c>
      <c r="X837" s="15" t="s">
        <v>1907</v>
      </c>
      <c r="Y837" s="1">
        <v>1</v>
      </c>
      <c r="Z837" s="15">
        <v>5.13</v>
      </c>
      <c r="AA837" s="15" t="s">
        <v>573</v>
      </c>
      <c r="AB837" s="15">
        <f t="shared" si="725"/>
        <v>5.13</v>
      </c>
      <c r="AC837" s="1">
        <v>3</v>
      </c>
      <c r="AD837" s="15">
        <v>37.799999999999997</v>
      </c>
      <c r="AM837" s="1"/>
      <c r="AP837" s="15" t="s">
        <v>1917</v>
      </c>
      <c r="AQ837" s="1">
        <v>3</v>
      </c>
      <c r="AR837" s="1">
        <v>3</v>
      </c>
      <c r="AW837" s="15">
        <v>600</v>
      </c>
      <c r="AX837" s="15">
        <f t="shared" si="735"/>
        <v>600</v>
      </c>
      <c r="AY837" s="15" t="s">
        <v>766</v>
      </c>
      <c r="AZ837" s="15">
        <f t="shared" si="706"/>
        <v>600</v>
      </c>
      <c r="BA837" s="15">
        <f t="shared" si="707"/>
        <v>0.20477815699658702</v>
      </c>
      <c r="BB837" s="15">
        <f t="shared" si="708"/>
        <v>360</v>
      </c>
      <c r="BP837" s="16"/>
      <c r="BQ837" s="16"/>
      <c r="BR837" s="16"/>
      <c r="BU837" s="16"/>
      <c r="EZ837" s="16"/>
      <c r="FA837" s="16"/>
      <c r="FB837" s="16"/>
      <c r="FC837" s="16"/>
      <c r="FD837" s="16"/>
      <c r="FE837" s="16"/>
      <c r="FF837" s="16"/>
      <c r="FG837" s="16"/>
      <c r="FH837" s="16"/>
      <c r="FI837" s="16"/>
      <c r="FJ837" s="16"/>
      <c r="FK837" s="16">
        <f t="shared" si="730"/>
        <v>5.0199999999999996</v>
      </c>
      <c r="FL837" s="16">
        <f t="shared" si="731"/>
        <v>5.39</v>
      </c>
      <c r="FM837" s="15">
        <v>5.0199999999999996</v>
      </c>
      <c r="FN837" s="15">
        <f t="shared" si="736"/>
        <v>0.251</v>
      </c>
      <c r="FO837" s="15">
        <f>FN837*SQRT(AR837)</f>
        <v>0.43474475269978818</v>
      </c>
      <c r="FP837" s="15">
        <v>5.39</v>
      </c>
      <c r="FQ837" s="15">
        <f t="shared" si="737"/>
        <v>0.26950000000000002</v>
      </c>
      <c r="FR837" s="15">
        <f>FQ837*SQRT(AR837)</f>
        <v>0.46678769263981246</v>
      </c>
      <c r="FS837" s="15">
        <f t="shared" si="732"/>
        <v>1.0737051792828685</v>
      </c>
      <c r="FT837" s="15">
        <f t="shared" si="733"/>
        <v>0.37000000000000011</v>
      </c>
      <c r="FU837" s="15">
        <f t="shared" si="734"/>
        <v>7.1115451217268033E-2</v>
      </c>
      <c r="FV837" s="15">
        <f>((FR837*FR837)/(AR837*FP837*FP837)+(FO837*FO837)/(AR837*FM837*FM837))</f>
        <v>5.000000000000001E-3</v>
      </c>
      <c r="FX837" s="15">
        <v>38.4</v>
      </c>
      <c r="FY837" s="15">
        <f t="shared" si="738"/>
        <v>1.92</v>
      </c>
      <c r="FZ837" s="15">
        <f>FY837*SQRT(AR837)</f>
        <v>3.325537550532244</v>
      </c>
      <c r="GA837" s="15">
        <v>44.5</v>
      </c>
      <c r="GB837" s="15">
        <f t="shared" si="739"/>
        <v>2.2250000000000001</v>
      </c>
      <c r="GC837" s="15">
        <f>GB837*SQRT(AR837)</f>
        <v>3.8538130468407519</v>
      </c>
      <c r="GD837" s="15">
        <v>1.1588541666666667</v>
      </c>
      <c r="GE837" s="15">
        <f t="shared" si="728"/>
        <v>6.1000000000000014</v>
      </c>
      <c r="GF837" s="15">
        <f t="shared" si="729"/>
        <v>0.14743172957851369</v>
      </c>
      <c r="GG837" s="15">
        <f>((GC837*GC837)/(AR837*GA837*GA837)+(FZ837*FZ837)/(AR837*FX837*FX837))</f>
        <v>4.9999999999999992E-3</v>
      </c>
      <c r="HE837" s="15">
        <v>8336</v>
      </c>
      <c r="HF837" s="15">
        <f t="shared" si="740"/>
        <v>416.8</v>
      </c>
      <c r="HG837" s="15">
        <f>HF837*SQRT(AR837)</f>
        <v>721.91877659470799</v>
      </c>
      <c r="HH837" s="15">
        <v>9416</v>
      </c>
      <c r="HI837" s="15">
        <f t="shared" si="741"/>
        <v>470.8</v>
      </c>
      <c r="HJ837" s="15">
        <f>HI837*SQRT(AR837)</f>
        <v>815.44952020342737</v>
      </c>
      <c r="HK837" s="15">
        <f t="shared" si="719"/>
        <v>1.1295585412667946</v>
      </c>
      <c r="HL837" s="15">
        <f t="shared" si="720"/>
        <v>1080</v>
      </c>
      <c r="HM837" s="15">
        <f t="shared" si="721"/>
        <v>0.12182688494696592</v>
      </c>
      <c r="HN837" s="15">
        <f>((HJ837*HJ837)/(AR837*HH837*HH837)+(HG837*HG837)/(AR837*HE837*HE837))</f>
        <v>4.9999999999999992E-3</v>
      </c>
      <c r="HP837" s="15" t="s">
        <v>766</v>
      </c>
      <c r="HV837" s="15">
        <f t="shared" si="722"/>
        <v>29.550127638633821</v>
      </c>
      <c r="HW837" s="15">
        <f t="shared" si="742"/>
        <v>0.12182688494696592</v>
      </c>
      <c r="HX837" s="15">
        <f>BB837</f>
        <v>360</v>
      </c>
      <c r="HY837" s="15">
        <f>AZ837</f>
        <v>600</v>
      </c>
      <c r="HZ837" s="15">
        <f>BA837</f>
        <v>0.20477815699658702</v>
      </c>
      <c r="IA837" s="15">
        <f>BB837</f>
        <v>360</v>
      </c>
    </row>
    <row r="838" spans="1:235" s="15" customFormat="1" x14ac:dyDescent="0.25">
      <c r="A838" s="31">
        <v>836</v>
      </c>
      <c r="B838" s="43">
        <v>131</v>
      </c>
      <c r="C838" s="1">
        <v>153</v>
      </c>
      <c r="D838" s="15" t="s">
        <v>1823</v>
      </c>
      <c r="E838" s="31">
        <v>1</v>
      </c>
      <c r="F838" s="15" t="s">
        <v>761</v>
      </c>
      <c r="G838" s="15" t="s">
        <v>1846</v>
      </c>
      <c r="H838" s="15" t="s">
        <v>1847</v>
      </c>
      <c r="I838" s="31">
        <v>2019</v>
      </c>
      <c r="J838" s="15" t="s">
        <v>1861</v>
      </c>
      <c r="K838" s="1">
        <v>2018</v>
      </c>
      <c r="L838" s="15" t="s">
        <v>1877</v>
      </c>
      <c r="M838" s="15" t="s">
        <v>480</v>
      </c>
      <c r="N838" s="15" t="s">
        <v>23</v>
      </c>
      <c r="O838" s="31">
        <v>2</v>
      </c>
      <c r="P838" s="15">
        <v>27.885752</v>
      </c>
      <c r="Q838" s="15">
        <v>114.567824</v>
      </c>
      <c r="R838" s="15" t="s">
        <v>1886</v>
      </c>
      <c r="S838" s="15">
        <v>1395.9</v>
      </c>
      <c r="T838" s="15" t="s">
        <v>1891</v>
      </c>
      <c r="U838" s="15" t="s">
        <v>1893</v>
      </c>
      <c r="V838" s="31">
        <v>1</v>
      </c>
      <c r="W838" s="16" t="s">
        <v>1158</v>
      </c>
      <c r="X838" s="15" t="s">
        <v>1907</v>
      </c>
      <c r="Y838" s="1">
        <v>1</v>
      </c>
      <c r="Z838" s="15">
        <v>5.13</v>
      </c>
      <c r="AA838" s="15" t="s">
        <v>573</v>
      </c>
      <c r="AB838" s="15">
        <f t="shared" si="725"/>
        <v>5.13</v>
      </c>
      <c r="AC838" s="1">
        <v>3</v>
      </c>
      <c r="AD838" s="15">
        <v>37.799999999999997</v>
      </c>
      <c r="AM838" s="1"/>
      <c r="AP838" s="15" t="s">
        <v>1917</v>
      </c>
      <c r="AQ838" s="1">
        <v>3</v>
      </c>
      <c r="AR838" s="1">
        <v>3</v>
      </c>
      <c r="AW838" s="15">
        <v>750</v>
      </c>
      <c r="AX838" s="15">
        <f t="shared" si="735"/>
        <v>750</v>
      </c>
      <c r="AY838" s="15" t="s">
        <v>766</v>
      </c>
      <c r="AZ838" s="15">
        <f t="shared" si="706"/>
        <v>750</v>
      </c>
      <c r="BA838" s="15">
        <f t="shared" si="707"/>
        <v>0.25597269624573377</v>
      </c>
      <c r="BB838" s="15">
        <f t="shared" si="708"/>
        <v>450</v>
      </c>
      <c r="BP838" s="16"/>
      <c r="BQ838" s="16"/>
      <c r="BR838" s="16"/>
      <c r="BU838" s="16"/>
      <c r="EZ838" s="16"/>
      <c r="FA838" s="16"/>
      <c r="FB838" s="16"/>
      <c r="FC838" s="16"/>
      <c r="FD838" s="16"/>
      <c r="FE838" s="16"/>
      <c r="FF838" s="16"/>
      <c r="FG838" s="16"/>
      <c r="FH838" s="16"/>
      <c r="FI838" s="16"/>
      <c r="FJ838" s="16"/>
      <c r="FK838" s="16">
        <f t="shared" si="730"/>
        <v>5.0199999999999996</v>
      </c>
      <c r="FL838" s="16">
        <f t="shared" si="731"/>
        <v>5.46</v>
      </c>
      <c r="FM838" s="15">
        <v>5.0199999999999996</v>
      </c>
      <c r="FN838" s="15">
        <f t="shared" si="736"/>
        <v>0.251</v>
      </c>
      <c r="FO838" s="15">
        <f>FN838*SQRT(AR838)</f>
        <v>0.43474475269978818</v>
      </c>
      <c r="FP838" s="15">
        <v>5.46</v>
      </c>
      <c r="FQ838" s="15">
        <f t="shared" si="737"/>
        <v>0.27300000000000002</v>
      </c>
      <c r="FR838" s="15">
        <f>FQ838*SQRT(AR838)</f>
        <v>0.4728498704663035</v>
      </c>
      <c r="FS838" s="15">
        <f t="shared" si="732"/>
        <v>1.0876494023904384</v>
      </c>
      <c r="FT838" s="15">
        <f t="shared" si="733"/>
        <v>0.44000000000000039</v>
      </c>
      <c r="FU838" s="15">
        <f t="shared" si="734"/>
        <v>8.4018856053175828E-2</v>
      </c>
      <c r="FV838" s="15">
        <f>((FR838*FR838)/(AR838*FP838*FP838)+(FO838*FO838)/(AR838*FM838*FM838))</f>
        <v>5.0000000000000001E-3</v>
      </c>
      <c r="FX838" s="15">
        <v>38.4</v>
      </c>
      <c r="FY838" s="15">
        <f t="shared" si="738"/>
        <v>1.92</v>
      </c>
      <c r="FZ838" s="15">
        <f>FY838*SQRT(AR838)</f>
        <v>3.325537550532244</v>
      </c>
      <c r="GA838" s="15">
        <v>43.7</v>
      </c>
      <c r="GB838" s="15">
        <f t="shared" si="739"/>
        <v>2.1850000000000001</v>
      </c>
      <c r="GC838" s="15">
        <f>GB838*SQRT(AR838)</f>
        <v>3.7845310145379969</v>
      </c>
      <c r="GD838" s="15">
        <v>1.1380208333333335</v>
      </c>
      <c r="GE838" s="15">
        <f t="shared" si="728"/>
        <v>5.3000000000000043</v>
      </c>
      <c r="GF838" s="15">
        <f t="shared" si="729"/>
        <v>0.12929064250786348</v>
      </c>
      <c r="GG838" s="15">
        <f>((GC838*GC838)/(AR838*GA838*GA838)+(FZ838*FZ838)/(AR838*FX838*FX838))</f>
        <v>4.9999999999999992E-3</v>
      </c>
      <c r="HE838" s="15">
        <v>8336</v>
      </c>
      <c r="HF838" s="15">
        <f t="shared" si="740"/>
        <v>416.8</v>
      </c>
      <c r="HG838" s="15">
        <f>HF838*SQRT(AR838)</f>
        <v>721.91877659470799</v>
      </c>
      <c r="HH838" s="15">
        <v>9107</v>
      </c>
      <c r="HI838" s="15">
        <f t="shared" si="741"/>
        <v>455.35</v>
      </c>
      <c r="HJ838" s="15">
        <f>HI838*SQRT(AR838)</f>
        <v>788.68933522648831</v>
      </c>
      <c r="HK838" s="15">
        <f t="shared" si="719"/>
        <v>1.0924904030710172</v>
      </c>
      <c r="HL838" s="15">
        <f t="shared" si="720"/>
        <v>771</v>
      </c>
      <c r="HM838" s="15">
        <f t="shared" si="721"/>
        <v>8.8459863574671616E-2</v>
      </c>
      <c r="HN838" s="15">
        <f>((HJ838*HJ838)/(AR838*HH838*HH838)+(HG838*HG838)/(AR838*HE838*HE838))</f>
        <v>4.9999999999999992E-3</v>
      </c>
      <c r="HP838" s="15" t="s">
        <v>766</v>
      </c>
      <c r="HV838" s="15">
        <f t="shared" si="722"/>
        <v>50.870528374729126</v>
      </c>
      <c r="HW838" s="15">
        <f t="shared" si="742"/>
        <v>8.8459863574671616E-2</v>
      </c>
      <c r="HX838" s="15">
        <f>BB838</f>
        <v>450</v>
      </c>
      <c r="HY838" s="15">
        <f>AZ838</f>
        <v>750</v>
      </c>
      <c r="HZ838" s="15">
        <f>BA838</f>
        <v>0.25597269624573377</v>
      </c>
      <c r="IA838" s="15">
        <f>BB838</f>
        <v>450</v>
      </c>
    </row>
    <row r="839" spans="1:235" s="15" customFormat="1" x14ac:dyDescent="0.25">
      <c r="A839" s="31">
        <v>837</v>
      </c>
      <c r="B839" s="43">
        <v>131</v>
      </c>
      <c r="C839" s="1">
        <v>154</v>
      </c>
      <c r="D839" s="15" t="s">
        <v>1824</v>
      </c>
      <c r="E839" s="31">
        <v>1</v>
      </c>
      <c r="F839" s="15" t="s">
        <v>761</v>
      </c>
      <c r="G839" s="15" t="s">
        <v>1846</v>
      </c>
      <c r="H839" s="15" t="s">
        <v>1847</v>
      </c>
      <c r="I839" s="31">
        <v>2019</v>
      </c>
      <c r="J839" s="15" t="s">
        <v>1861</v>
      </c>
      <c r="K839" s="1">
        <v>2018</v>
      </c>
      <c r="L839" s="15" t="s">
        <v>1877</v>
      </c>
      <c r="M839" s="15" t="s">
        <v>480</v>
      </c>
      <c r="N839" s="15" t="s">
        <v>23</v>
      </c>
      <c r="O839" s="31">
        <v>2</v>
      </c>
      <c r="P839" s="15">
        <v>27.953890000000001</v>
      </c>
      <c r="Q839" s="15">
        <v>114.60061</v>
      </c>
      <c r="R839" s="15" t="s">
        <v>1886</v>
      </c>
      <c r="S839" s="15">
        <v>1395.9</v>
      </c>
      <c r="T839" s="15" t="s">
        <v>1891</v>
      </c>
      <c r="U839" s="15" t="s">
        <v>1893</v>
      </c>
      <c r="V839" s="31">
        <v>1</v>
      </c>
      <c r="W839" s="16" t="s">
        <v>1158</v>
      </c>
      <c r="X839" s="15" t="s">
        <v>1907</v>
      </c>
      <c r="Y839" s="1">
        <v>1</v>
      </c>
      <c r="Z839" s="15">
        <v>4.4000000000000004</v>
      </c>
      <c r="AA839" s="15" t="s">
        <v>573</v>
      </c>
      <c r="AB839" s="15">
        <f t="shared" si="725"/>
        <v>4.4000000000000004</v>
      </c>
      <c r="AC839" s="1">
        <v>1</v>
      </c>
      <c r="AD839" s="15">
        <v>35.200000000000003</v>
      </c>
      <c r="AM839" s="1"/>
      <c r="AP839" s="15" t="s">
        <v>1917</v>
      </c>
      <c r="AQ839" s="1">
        <v>3</v>
      </c>
      <c r="AR839" s="1">
        <v>3</v>
      </c>
      <c r="AW839" s="15">
        <v>300</v>
      </c>
      <c r="AX839" s="15">
        <f t="shared" si="735"/>
        <v>300</v>
      </c>
      <c r="AY839" s="15" t="s">
        <v>766</v>
      </c>
      <c r="AZ839" s="15">
        <f t="shared" si="706"/>
        <v>300</v>
      </c>
      <c r="BA839" s="15">
        <f t="shared" si="707"/>
        <v>0.10238907849829351</v>
      </c>
      <c r="BB839" s="15">
        <f t="shared" si="708"/>
        <v>180</v>
      </c>
      <c r="BP839" s="16"/>
      <c r="BQ839" s="16"/>
      <c r="BR839" s="16"/>
      <c r="BU839" s="16"/>
      <c r="EZ839" s="16"/>
      <c r="FA839" s="16"/>
      <c r="FB839" s="16"/>
      <c r="FC839" s="16"/>
      <c r="FD839" s="16"/>
      <c r="FE839" s="16"/>
      <c r="FF839" s="16"/>
      <c r="FG839" s="16"/>
      <c r="FH839" s="16"/>
      <c r="FI839" s="16"/>
      <c r="FJ839" s="16"/>
      <c r="FK839" s="16">
        <f t="shared" si="730"/>
        <v>4.43</v>
      </c>
      <c r="FL839" s="16">
        <f t="shared" si="731"/>
        <v>4.5199999999999996</v>
      </c>
      <c r="FM839" s="15">
        <v>4.43</v>
      </c>
      <c r="FN839" s="15">
        <f t="shared" si="736"/>
        <v>0.2215</v>
      </c>
      <c r="FO839" s="15">
        <f>FN839*SQRT(AR839)</f>
        <v>0.38364925387650628</v>
      </c>
      <c r="FP839" s="15">
        <v>4.5199999999999996</v>
      </c>
      <c r="FQ839" s="15">
        <f t="shared" si="737"/>
        <v>0.22599999999999998</v>
      </c>
      <c r="FR839" s="15">
        <f>FQ839*SQRT(AR839)</f>
        <v>0.39144348251056621</v>
      </c>
      <c r="FS839" s="15">
        <f t="shared" si="732"/>
        <v>1.020316027088036</v>
      </c>
      <c r="FT839" s="15">
        <f t="shared" si="733"/>
        <v>8.9999999999999858E-2</v>
      </c>
      <c r="FU839" s="15">
        <f t="shared" si="734"/>
        <v>2.0112409787095498E-2</v>
      </c>
      <c r="FV839" s="15">
        <f>((FR839*FR839)/(AR839*FP839*FP839)+(FO839*FO839)/(AR839*FM839*FM839))</f>
        <v>4.9999999999999992E-3</v>
      </c>
      <c r="FX839" s="15">
        <v>36.6</v>
      </c>
      <c r="FY839" s="15">
        <f t="shared" si="738"/>
        <v>1.83</v>
      </c>
      <c r="FZ839" s="15">
        <f>FY839*SQRT(AR839)</f>
        <v>3.1696529778510456</v>
      </c>
      <c r="GA839" s="15">
        <v>42.4</v>
      </c>
      <c r="GB839" s="15">
        <f t="shared" si="739"/>
        <v>2.12</v>
      </c>
      <c r="GC839" s="15">
        <f>GB839*SQRT(AR839)</f>
        <v>3.6719477120460198</v>
      </c>
      <c r="GD839" s="15">
        <v>1.1584699453551912</v>
      </c>
      <c r="GE839" s="15">
        <f t="shared" si="728"/>
        <v>5.7999999999999972</v>
      </c>
      <c r="GF839" s="15">
        <f t="shared" si="729"/>
        <v>0.14710012183059185</v>
      </c>
      <c r="GG839" s="15">
        <f>((GC839*GC839)/(AR839*GA839*GA839)+(FZ839*FZ839)/(AR839*FX839*FX839))</f>
        <v>5.0000000000000001E-3</v>
      </c>
      <c r="HE839" s="15">
        <v>5546</v>
      </c>
      <c r="HF839" s="15">
        <f t="shared" si="740"/>
        <v>277.3</v>
      </c>
      <c r="HG839" s="15">
        <f>HF839*SQRT(AR839)</f>
        <v>480.29768893884966</v>
      </c>
      <c r="HH839" s="15">
        <v>5940</v>
      </c>
      <c r="HI839" s="15">
        <f t="shared" si="741"/>
        <v>297</v>
      </c>
      <c r="HJ839" s="15">
        <f>HI839*SQRT(AR839)</f>
        <v>514.41908984795657</v>
      </c>
      <c r="HK839" s="15">
        <f t="shared" si="719"/>
        <v>1.0710421925712226</v>
      </c>
      <c r="HL839" s="15">
        <f t="shared" si="720"/>
        <v>394</v>
      </c>
      <c r="HM839" s="15">
        <f t="shared" si="721"/>
        <v>6.863218618096667E-2</v>
      </c>
      <c r="HN839" s="15">
        <f>((HJ839*HJ839)/(AR839*HH839*HH839)+(HG839*HG839)/(AR839*HE839*HE839))</f>
        <v>5.0000000000000001E-3</v>
      </c>
      <c r="HP839" s="15" t="s">
        <v>766</v>
      </c>
      <c r="HV839" s="15">
        <f t="shared" si="722"/>
        <v>26.226761817754578</v>
      </c>
      <c r="HW839" s="15">
        <f t="shared" si="742"/>
        <v>6.863218618096667E-2</v>
      </c>
      <c r="HX839" s="15">
        <f>BB839</f>
        <v>180</v>
      </c>
      <c r="HY839" s="15">
        <f>AZ839</f>
        <v>300</v>
      </c>
      <c r="HZ839" s="15">
        <f>BA839</f>
        <v>0.10238907849829351</v>
      </c>
      <c r="IA839" s="15">
        <f>BB839</f>
        <v>180</v>
      </c>
    </row>
    <row r="840" spans="1:235" s="15" customFormat="1" x14ac:dyDescent="0.25">
      <c r="A840" s="31">
        <v>838</v>
      </c>
      <c r="B840" s="43">
        <v>131</v>
      </c>
      <c r="C840" s="1">
        <v>154</v>
      </c>
      <c r="D840" s="15" t="s">
        <v>1825</v>
      </c>
      <c r="E840" s="31">
        <v>1</v>
      </c>
      <c r="F840" s="15" t="s">
        <v>761</v>
      </c>
      <c r="G840" s="15" t="s">
        <v>1846</v>
      </c>
      <c r="H840" s="15" t="s">
        <v>1847</v>
      </c>
      <c r="I840" s="31">
        <v>2019</v>
      </c>
      <c r="J840" s="15" t="s">
        <v>1861</v>
      </c>
      <c r="K840" s="1">
        <v>2018</v>
      </c>
      <c r="L840" s="15" t="s">
        <v>1877</v>
      </c>
      <c r="M840" s="15" t="s">
        <v>480</v>
      </c>
      <c r="N840" s="15" t="s">
        <v>23</v>
      </c>
      <c r="O840" s="31">
        <v>2</v>
      </c>
      <c r="P840" s="15">
        <v>27.953890000000001</v>
      </c>
      <c r="Q840" s="15">
        <v>114.60061</v>
      </c>
      <c r="R840" s="15" t="s">
        <v>1886</v>
      </c>
      <c r="S840" s="15">
        <v>1395.9</v>
      </c>
      <c r="T840" s="15" t="s">
        <v>1891</v>
      </c>
      <c r="U840" s="15" t="s">
        <v>1893</v>
      </c>
      <c r="V840" s="31">
        <v>1</v>
      </c>
      <c r="W840" s="16" t="s">
        <v>1158</v>
      </c>
      <c r="X840" s="15" t="s">
        <v>1907</v>
      </c>
      <c r="Y840" s="1">
        <v>1</v>
      </c>
      <c r="Z840" s="15">
        <v>4.4000000000000004</v>
      </c>
      <c r="AA840" s="15" t="s">
        <v>573</v>
      </c>
      <c r="AB840" s="15">
        <f t="shared" si="725"/>
        <v>4.4000000000000004</v>
      </c>
      <c r="AC840" s="1">
        <v>1</v>
      </c>
      <c r="AD840" s="15">
        <v>35.200000000000003</v>
      </c>
      <c r="AM840" s="1"/>
      <c r="AP840" s="15" t="s">
        <v>1917</v>
      </c>
      <c r="AQ840" s="1">
        <v>3</v>
      </c>
      <c r="AR840" s="1">
        <v>3</v>
      </c>
      <c r="AW840" s="15">
        <v>450</v>
      </c>
      <c r="AX840" s="15">
        <f t="shared" si="735"/>
        <v>450</v>
      </c>
      <c r="AY840" s="15" t="s">
        <v>766</v>
      </c>
      <c r="AZ840" s="15">
        <f t="shared" si="706"/>
        <v>450</v>
      </c>
      <c r="BA840" s="15">
        <f t="shared" si="707"/>
        <v>0.15358361774744025</v>
      </c>
      <c r="BB840" s="15">
        <f t="shared" si="708"/>
        <v>270</v>
      </c>
      <c r="BP840" s="16"/>
      <c r="BQ840" s="16"/>
      <c r="BR840" s="16"/>
      <c r="BU840" s="16"/>
      <c r="EZ840" s="16"/>
      <c r="FA840" s="16"/>
      <c r="FB840" s="16"/>
      <c r="FC840" s="16"/>
      <c r="FD840" s="16"/>
      <c r="FE840" s="16"/>
      <c r="FF840" s="16"/>
      <c r="FG840" s="16"/>
      <c r="FH840" s="16"/>
      <c r="FI840" s="16"/>
      <c r="FJ840" s="16"/>
      <c r="FK840" s="16">
        <f t="shared" si="730"/>
        <v>4.43</v>
      </c>
      <c r="FL840" s="16">
        <f t="shared" si="731"/>
        <v>4.58</v>
      </c>
      <c r="FM840" s="15">
        <v>4.43</v>
      </c>
      <c r="FN840" s="15">
        <f t="shared" si="736"/>
        <v>0.2215</v>
      </c>
      <c r="FO840" s="15">
        <f>FN840*SQRT(AR840)</f>
        <v>0.38364925387650628</v>
      </c>
      <c r="FP840" s="15">
        <v>4.58</v>
      </c>
      <c r="FQ840" s="15">
        <f t="shared" si="737"/>
        <v>0.22900000000000001</v>
      </c>
      <c r="FR840" s="15">
        <f>FQ840*SQRT(AR840)</f>
        <v>0.39663963493327287</v>
      </c>
      <c r="FS840" s="15">
        <f t="shared" si="732"/>
        <v>1.033860045146727</v>
      </c>
      <c r="FT840" s="15">
        <f t="shared" si="733"/>
        <v>0.15000000000000036</v>
      </c>
      <c r="FU840" s="15">
        <f t="shared" si="734"/>
        <v>3.3299414069049238E-2</v>
      </c>
      <c r="FV840" s="15">
        <f>((FR840*FR840)/(AR840*FP840*FP840)+(FO840*FO840)/(AR840*FM840*FM840))</f>
        <v>4.9999999999999992E-3</v>
      </c>
      <c r="FX840" s="15">
        <v>36.6</v>
      </c>
      <c r="FY840" s="15">
        <f t="shared" si="738"/>
        <v>1.83</v>
      </c>
      <c r="FZ840" s="15">
        <f>FY840*SQRT(AR840)</f>
        <v>3.1696529778510456</v>
      </c>
      <c r="GA840" s="15">
        <v>39.9</v>
      </c>
      <c r="GB840" s="15">
        <f t="shared" si="739"/>
        <v>1.9950000000000001</v>
      </c>
      <c r="GC840" s="15">
        <f>GB840*SQRT(AR840)</f>
        <v>3.4554413610999104</v>
      </c>
      <c r="GD840" s="15">
        <v>1.0901639344262295</v>
      </c>
      <c r="GE840" s="15">
        <f t="shared" si="728"/>
        <v>3.2999999999999972</v>
      </c>
      <c r="GF840" s="15">
        <f t="shared" si="729"/>
        <v>8.6328083488497409E-2</v>
      </c>
      <c r="GG840" s="15">
        <f>((GC840*GC840)/(AR840*GA840*GA840)+(FZ840*FZ840)/(AR840*FX840*FX840))</f>
        <v>5.000000000000001E-3</v>
      </c>
      <c r="HE840" s="15">
        <v>5546</v>
      </c>
      <c r="HF840" s="15">
        <f t="shared" si="740"/>
        <v>277.3</v>
      </c>
      <c r="HG840" s="15">
        <f>HF840*SQRT(AR840)</f>
        <v>480.29768893884966</v>
      </c>
      <c r="HH840" s="15">
        <v>6041</v>
      </c>
      <c r="HI840" s="15">
        <f t="shared" si="741"/>
        <v>302.05</v>
      </c>
      <c r="HJ840" s="15">
        <f>HI840*SQRT(AR840)</f>
        <v>523.1659464261794</v>
      </c>
      <c r="HK840" s="15">
        <f t="shared" si="719"/>
        <v>1.0892535160476018</v>
      </c>
      <c r="HL840" s="15">
        <f t="shared" si="720"/>
        <v>495</v>
      </c>
      <c r="HM840" s="15">
        <f t="shared" si="721"/>
        <v>8.5492613963017661E-2</v>
      </c>
      <c r="HN840" s="15">
        <f>((HJ840*HJ840)/(AR840*HH840*HH840)+(HG840*HG840)/(AR840*HE840*HE840))</f>
        <v>5.000000000000001E-3</v>
      </c>
      <c r="HP840" s="15" t="s">
        <v>766</v>
      </c>
      <c r="HV840" s="15">
        <f t="shared" si="722"/>
        <v>31.581675595601329</v>
      </c>
      <c r="HW840" s="15">
        <f t="shared" si="742"/>
        <v>8.5492613963017661E-2</v>
      </c>
      <c r="HX840" s="15">
        <f>BB840</f>
        <v>270</v>
      </c>
      <c r="HY840" s="15">
        <f>AZ840</f>
        <v>450</v>
      </c>
      <c r="HZ840" s="15">
        <f>BA840</f>
        <v>0.15358361774744025</v>
      </c>
      <c r="IA840" s="15">
        <f>BB840</f>
        <v>270</v>
      </c>
    </row>
    <row r="841" spans="1:235" s="15" customFormat="1" x14ac:dyDescent="0.25">
      <c r="A841" s="31">
        <v>839</v>
      </c>
      <c r="B841" s="43">
        <v>131</v>
      </c>
      <c r="C841" s="1">
        <v>154</v>
      </c>
      <c r="D841" s="15" t="s">
        <v>1826</v>
      </c>
      <c r="E841" s="31">
        <v>1</v>
      </c>
      <c r="F841" s="15" t="s">
        <v>761</v>
      </c>
      <c r="G841" s="15" t="s">
        <v>1846</v>
      </c>
      <c r="H841" s="15" t="s">
        <v>1847</v>
      </c>
      <c r="I841" s="31">
        <v>2019</v>
      </c>
      <c r="J841" s="15" t="s">
        <v>1861</v>
      </c>
      <c r="K841" s="1">
        <v>2018</v>
      </c>
      <c r="L841" s="15" t="s">
        <v>1877</v>
      </c>
      <c r="M841" s="15" t="s">
        <v>480</v>
      </c>
      <c r="N841" s="15" t="s">
        <v>23</v>
      </c>
      <c r="O841" s="31">
        <v>2</v>
      </c>
      <c r="P841" s="15">
        <v>27.953890000000001</v>
      </c>
      <c r="Q841" s="15">
        <v>114.60061</v>
      </c>
      <c r="R841" s="15" t="s">
        <v>1886</v>
      </c>
      <c r="S841" s="15">
        <v>1395.9</v>
      </c>
      <c r="T841" s="15" t="s">
        <v>1891</v>
      </c>
      <c r="U841" s="15" t="s">
        <v>1893</v>
      </c>
      <c r="V841" s="31">
        <v>1</v>
      </c>
      <c r="W841" s="16" t="s">
        <v>1158</v>
      </c>
      <c r="X841" s="15" t="s">
        <v>1907</v>
      </c>
      <c r="Y841" s="1">
        <v>1</v>
      </c>
      <c r="Z841" s="15">
        <v>4.4000000000000004</v>
      </c>
      <c r="AA841" s="15" t="s">
        <v>573</v>
      </c>
      <c r="AB841" s="15">
        <f t="shared" si="725"/>
        <v>4.4000000000000004</v>
      </c>
      <c r="AC841" s="1">
        <v>1</v>
      </c>
      <c r="AD841" s="15">
        <v>35.200000000000003</v>
      </c>
      <c r="AM841" s="1"/>
      <c r="AP841" s="15" t="s">
        <v>1917</v>
      </c>
      <c r="AQ841" s="1">
        <v>3</v>
      </c>
      <c r="AR841" s="1">
        <v>3</v>
      </c>
      <c r="AW841" s="15">
        <v>600</v>
      </c>
      <c r="AX841" s="15">
        <f t="shared" si="735"/>
        <v>600</v>
      </c>
      <c r="AY841" s="15" t="s">
        <v>766</v>
      </c>
      <c r="AZ841" s="15">
        <f t="shared" si="706"/>
        <v>600</v>
      </c>
      <c r="BA841" s="15">
        <f t="shared" si="707"/>
        <v>0.20477815699658702</v>
      </c>
      <c r="BB841" s="15">
        <f t="shared" si="708"/>
        <v>360</v>
      </c>
      <c r="BP841" s="16"/>
      <c r="BQ841" s="16"/>
      <c r="BR841" s="16"/>
      <c r="BU841" s="16"/>
      <c r="EZ841" s="16"/>
      <c r="FA841" s="16"/>
      <c r="FB841" s="16"/>
      <c r="FC841" s="16"/>
      <c r="FD841" s="16"/>
      <c r="FE841" s="16"/>
      <c r="FF841" s="16"/>
      <c r="FG841" s="16"/>
      <c r="FH841" s="16"/>
      <c r="FI841" s="16"/>
      <c r="FJ841" s="16"/>
      <c r="FK841" s="16">
        <f t="shared" si="730"/>
        <v>4.43</v>
      </c>
      <c r="FL841" s="16">
        <f t="shared" si="731"/>
        <v>4.62</v>
      </c>
      <c r="FM841" s="15">
        <v>4.43</v>
      </c>
      <c r="FN841" s="15">
        <f t="shared" si="736"/>
        <v>0.2215</v>
      </c>
      <c r="FO841" s="15">
        <f>FN841*SQRT(AR841)</f>
        <v>0.38364925387650628</v>
      </c>
      <c r="FP841" s="15">
        <v>4.62</v>
      </c>
      <c r="FQ841" s="15">
        <f t="shared" si="737"/>
        <v>0.23100000000000001</v>
      </c>
      <c r="FR841" s="15">
        <f>FQ841*SQRT(AR841)</f>
        <v>0.40010373654841064</v>
      </c>
      <c r="FS841" s="15">
        <f t="shared" si="732"/>
        <v>1.0428893905191874</v>
      </c>
      <c r="FT841" s="15">
        <f t="shared" si="733"/>
        <v>0.19000000000000039</v>
      </c>
      <c r="FU841" s="15">
        <f t="shared" si="734"/>
        <v>4.1995121036603189E-2</v>
      </c>
      <c r="FV841" s="15">
        <f>((FR841*FR841)/(AR841*FP841*FP841)+(FO841*FO841)/(AR841*FM841*FM841))</f>
        <v>5.0000000000000001E-3</v>
      </c>
      <c r="FX841" s="15">
        <v>36.6</v>
      </c>
      <c r="FY841" s="15">
        <f t="shared" si="738"/>
        <v>1.83</v>
      </c>
      <c r="FZ841" s="15">
        <f>FY841*SQRT(AR841)</f>
        <v>3.1696529778510456</v>
      </c>
      <c r="GA841" s="15">
        <v>41.8</v>
      </c>
      <c r="GB841" s="15">
        <f t="shared" si="739"/>
        <v>2.09</v>
      </c>
      <c r="GC841" s="15">
        <f>GB841*SQRT(AR841)</f>
        <v>3.6199861878189532</v>
      </c>
      <c r="GD841" s="15">
        <v>1.1420765027322404</v>
      </c>
      <c r="GE841" s="15">
        <f t="shared" si="728"/>
        <v>5.1999999999999957</v>
      </c>
      <c r="GF841" s="15">
        <f t="shared" si="729"/>
        <v>0.13284809912339002</v>
      </c>
      <c r="GG841" s="15">
        <f>((GC841*GC841)/(AR841*GA841*GA841)+(FZ841*FZ841)/(AR841*FX841*FX841))</f>
        <v>4.9999999999999992E-3</v>
      </c>
      <c r="HE841" s="15">
        <v>5546</v>
      </c>
      <c r="HF841" s="15">
        <f t="shared" si="740"/>
        <v>277.3</v>
      </c>
      <c r="HG841" s="15">
        <f>HF841*SQRT(AR841)</f>
        <v>480.29768893884966</v>
      </c>
      <c r="HH841" s="15">
        <v>6566</v>
      </c>
      <c r="HI841" s="15">
        <f t="shared" si="741"/>
        <v>328.3</v>
      </c>
      <c r="HJ841" s="15">
        <f>HI841*SQRT(AR841)</f>
        <v>568.6322801248624</v>
      </c>
      <c r="HK841" s="15">
        <f t="shared" si="719"/>
        <v>1.1839163360980887</v>
      </c>
      <c r="HL841" s="15">
        <f t="shared" si="720"/>
        <v>1020</v>
      </c>
      <c r="HM841" s="15">
        <f t="shared" si="721"/>
        <v>0.16882787188581361</v>
      </c>
      <c r="HN841" s="15">
        <f>((HJ841*HJ841)/(AR841*HH841*HH841)+(HG841*HG841)/(AR841*HE841*HE841))</f>
        <v>5.0000000000000001E-3</v>
      </c>
      <c r="HP841" s="15" t="s">
        <v>766</v>
      </c>
      <c r="HV841" s="15">
        <f t="shared" si="722"/>
        <v>21.323493329554335</v>
      </c>
      <c r="HW841" s="15">
        <f t="shared" si="742"/>
        <v>0.16882787188581361</v>
      </c>
      <c r="HX841" s="15">
        <f>BB841</f>
        <v>360</v>
      </c>
      <c r="HY841" s="15">
        <f>AZ841</f>
        <v>600</v>
      </c>
      <c r="HZ841" s="15">
        <f>BA841</f>
        <v>0.20477815699658702</v>
      </c>
      <c r="IA841" s="15">
        <f>BB841</f>
        <v>360</v>
      </c>
    </row>
    <row r="842" spans="1:235" s="15" customFormat="1" x14ac:dyDescent="0.25">
      <c r="A842" s="31">
        <v>840</v>
      </c>
      <c r="B842" s="43">
        <v>131</v>
      </c>
      <c r="C842" s="1">
        <v>154</v>
      </c>
      <c r="D842" s="15" t="s">
        <v>1827</v>
      </c>
      <c r="E842" s="31">
        <v>1</v>
      </c>
      <c r="F842" s="15" t="s">
        <v>761</v>
      </c>
      <c r="G842" s="15" t="s">
        <v>1846</v>
      </c>
      <c r="H842" s="15" t="s">
        <v>1847</v>
      </c>
      <c r="I842" s="31">
        <v>2019</v>
      </c>
      <c r="J842" s="15" t="s">
        <v>1861</v>
      </c>
      <c r="K842" s="1">
        <v>2018</v>
      </c>
      <c r="L842" s="15" t="s">
        <v>1877</v>
      </c>
      <c r="M842" s="15" t="s">
        <v>480</v>
      </c>
      <c r="N842" s="15" t="s">
        <v>23</v>
      </c>
      <c r="O842" s="31">
        <v>2</v>
      </c>
      <c r="P842" s="15">
        <v>27.953890000000001</v>
      </c>
      <c r="Q842" s="15">
        <v>114.60061</v>
      </c>
      <c r="R842" s="15" t="s">
        <v>1886</v>
      </c>
      <c r="S842" s="15">
        <v>1395.9</v>
      </c>
      <c r="T842" s="15" t="s">
        <v>1891</v>
      </c>
      <c r="U842" s="15" t="s">
        <v>1893</v>
      </c>
      <c r="V842" s="31">
        <v>1</v>
      </c>
      <c r="W842" s="16" t="s">
        <v>1158</v>
      </c>
      <c r="X842" s="15" t="s">
        <v>1907</v>
      </c>
      <c r="Y842" s="1">
        <v>1</v>
      </c>
      <c r="Z842" s="15">
        <v>4.4000000000000004</v>
      </c>
      <c r="AA842" s="15" t="s">
        <v>573</v>
      </c>
      <c r="AB842" s="15">
        <f t="shared" si="725"/>
        <v>4.4000000000000004</v>
      </c>
      <c r="AC842" s="1">
        <v>1</v>
      </c>
      <c r="AD842" s="15">
        <v>35.200000000000003</v>
      </c>
      <c r="AM842" s="1"/>
      <c r="AP842" s="15" t="s">
        <v>1917</v>
      </c>
      <c r="AQ842" s="1">
        <v>3</v>
      </c>
      <c r="AR842" s="1">
        <v>3</v>
      </c>
      <c r="AW842" s="15">
        <v>750</v>
      </c>
      <c r="AX842" s="15">
        <f t="shared" si="735"/>
        <v>750</v>
      </c>
      <c r="AY842" s="15" t="s">
        <v>766</v>
      </c>
      <c r="AZ842" s="15">
        <f t="shared" si="706"/>
        <v>750</v>
      </c>
      <c r="BA842" s="15">
        <f t="shared" si="707"/>
        <v>0.25597269624573377</v>
      </c>
      <c r="BB842" s="15">
        <f t="shared" si="708"/>
        <v>450</v>
      </c>
      <c r="BP842" s="16"/>
      <c r="BQ842" s="16"/>
      <c r="BR842" s="16"/>
      <c r="BU842" s="16"/>
      <c r="EZ842" s="16"/>
      <c r="FA842" s="16"/>
      <c r="FB842" s="16"/>
      <c r="FC842" s="16"/>
      <c r="FD842" s="16"/>
      <c r="FE842" s="16"/>
      <c r="FF842" s="16"/>
      <c r="FG842" s="16"/>
      <c r="FH842" s="16"/>
      <c r="FI842" s="16"/>
      <c r="FJ842" s="16"/>
      <c r="FK842" s="16">
        <f t="shared" si="730"/>
        <v>4.43</v>
      </c>
      <c r="FL842" s="16">
        <f t="shared" si="731"/>
        <v>4.67</v>
      </c>
      <c r="FM842" s="15">
        <v>4.43</v>
      </c>
      <c r="FN842" s="15">
        <f t="shared" si="736"/>
        <v>0.2215</v>
      </c>
      <c r="FO842" s="15">
        <f>FN842*SQRT(AR842)</f>
        <v>0.38364925387650628</v>
      </c>
      <c r="FP842" s="15">
        <v>4.67</v>
      </c>
      <c r="FQ842" s="15">
        <f t="shared" si="737"/>
        <v>0.23350000000000001</v>
      </c>
      <c r="FR842" s="15">
        <f>FQ842*SQRT(AR842)</f>
        <v>0.40443386356733285</v>
      </c>
      <c r="FS842" s="15">
        <f t="shared" si="732"/>
        <v>1.0541760722347631</v>
      </c>
      <c r="FT842" s="15">
        <f t="shared" si="733"/>
        <v>0.24000000000000021</v>
      </c>
      <c r="FU842" s="15">
        <f t="shared" si="734"/>
        <v>5.2759487623761592E-2</v>
      </c>
      <c r="FV842" s="15">
        <f>((FR842*FR842)/(AR842*FP842*FP842)+(FO842*FO842)/(AR842*FM842*FM842))</f>
        <v>5.000000000000001E-3</v>
      </c>
      <c r="FX842" s="15">
        <v>36.6</v>
      </c>
      <c r="FY842" s="15">
        <f t="shared" si="738"/>
        <v>1.83</v>
      </c>
      <c r="FZ842" s="15">
        <f>FY842*SQRT(AR842)</f>
        <v>3.1696529778510456</v>
      </c>
      <c r="GA842" s="15">
        <v>40.700000000000003</v>
      </c>
      <c r="GB842" s="15">
        <f t="shared" si="739"/>
        <v>2.0350000000000001</v>
      </c>
      <c r="GC842" s="15">
        <f>GB842*SQRT(AR842)</f>
        <v>3.5247233934026654</v>
      </c>
      <c r="GD842" s="15">
        <v>1.1120218579234973</v>
      </c>
      <c r="GE842" s="15">
        <f t="shared" si="728"/>
        <v>4.1000000000000014</v>
      </c>
      <c r="GF842" s="15">
        <f t="shared" si="729"/>
        <v>0.10617985204122915</v>
      </c>
      <c r="GG842" s="15">
        <f>((GC842*GC842)/(AR842*GA842*GA842)+(FZ842*FZ842)/(AR842*FX842*FX842))</f>
        <v>5.0000000000000001E-3</v>
      </c>
      <c r="HE842" s="15">
        <v>5546</v>
      </c>
      <c r="HF842" s="15">
        <f t="shared" si="740"/>
        <v>277.3</v>
      </c>
      <c r="HG842" s="15">
        <f>HF842*SQRT(AR842)</f>
        <v>480.29768893884966</v>
      </c>
      <c r="HH842" s="15">
        <v>6116</v>
      </c>
      <c r="HI842" s="15">
        <f t="shared" si="741"/>
        <v>305.8</v>
      </c>
      <c r="HJ842" s="15">
        <f>HI842*SQRT(AR842)</f>
        <v>529.66113695456272</v>
      </c>
      <c r="HK842" s="15">
        <f t="shared" si="719"/>
        <v>1.1027767760548144</v>
      </c>
      <c r="HL842" s="15">
        <f t="shared" si="720"/>
        <v>570</v>
      </c>
      <c r="HM842" s="15">
        <f t="shared" si="721"/>
        <v>9.7831340873229422E-2</v>
      </c>
      <c r="HN842" s="15">
        <f>((HJ842*HJ842)/(AR842*HH842*HH842)+(HG842*HG842)/(AR842*HE842*HE842))</f>
        <v>5.000000000000001E-3</v>
      </c>
      <c r="HP842" s="15" t="s">
        <v>766</v>
      </c>
      <c r="HV842" s="15">
        <f t="shared" si="722"/>
        <v>45.997529624286081</v>
      </c>
      <c r="HW842" s="15">
        <f t="shared" si="742"/>
        <v>9.7831340873229422E-2</v>
      </c>
      <c r="HX842" s="15">
        <f>BB842</f>
        <v>450</v>
      </c>
      <c r="HY842" s="15">
        <f>AZ842</f>
        <v>750</v>
      </c>
      <c r="HZ842" s="15">
        <f>BA842</f>
        <v>0.25597269624573377</v>
      </c>
      <c r="IA842" s="15">
        <f>BB842</f>
        <v>450</v>
      </c>
    </row>
    <row r="843" spans="1:235" s="15" customFormat="1" x14ac:dyDescent="0.25">
      <c r="A843" s="31">
        <v>841</v>
      </c>
      <c r="B843" s="43">
        <v>132</v>
      </c>
      <c r="C843" s="1">
        <v>155</v>
      </c>
      <c r="D843" s="15" t="s">
        <v>1828</v>
      </c>
      <c r="E843" s="31">
        <v>1</v>
      </c>
      <c r="F843" s="15" t="s">
        <v>761</v>
      </c>
      <c r="G843" s="15" t="s">
        <v>1848</v>
      </c>
      <c r="H843" s="15" t="s">
        <v>1849</v>
      </c>
      <c r="I843" s="31">
        <v>2016</v>
      </c>
      <c r="J843" s="15" t="s">
        <v>1857</v>
      </c>
      <c r="K843" s="1" t="s">
        <v>1870</v>
      </c>
      <c r="L843" s="15" t="s">
        <v>1254</v>
      </c>
      <c r="M843" s="15" t="s">
        <v>480</v>
      </c>
      <c r="N843" s="15" t="s">
        <v>23</v>
      </c>
      <c r="O843" s="31">
        <v>2</v>
      </c>
      <c r="P843" s="15">
        <v>28.961993</v>
      </c>
      <c r="Q843" s="15">
        <v>107.04522900000001</v>
      </c>
      <c r="R843" s="15" t="s">
        <v>1887</v>
      </c>
      <c r="S843" s="15">
        <v>1151.5</v>
      </c>
      <c r="T843" s="15" t="s">
        <v>1892</v>
      </c>
      <c r="U843" s="15" t="s">
        <v>1893</v>
      </c>
      <c r="V843" s="31">
        <v>1</v>
      </c>
      <c r="W843" s="16" t="s">
        <v>1158</v>
      </c>
      <c r="X843" s="15" t="s">
        <v>1908</v>
      </c>
      <c r="Y843" s="1">
        <v>3</v>
      </c>
      <c r="Z843" s="15">
        <v>5</v>
      </c>
      <c r="AA843" s="15" t="s">
        <v>573</v>
      </c>
      <c r="AB843" s="15">
        <f t="shared" si="725"/>
        <v>5</v>
      </c>
      <c r="AC843" s="1">
        <v>2</v>
      </c>
      <c r="AD843" s="15">
        <v>32.5</v>
      </c>
      <c r="AM843" s="1"/>
      <c r="AP843" s="15" t="s">
        <v>1918</v>
      </c>
      <c r="AQ843" s="1">
        <v>3</v>
      </c>
      <c r="AR843" s="1">
        <v>3</v>
      </c>
      <c r="AS843" s="15" t="s">
        <v>1919</v>
      </c>
      <c r="AT843" s="15" t="s">
        <v>1920</v>
      </c>
      <c r="AU843" s="15" t="s">
        <v>1922</v>
      </c>
      <c r="AW843" s="15">
        <v>750</v>
      </c>
      <c r="AX843" s="15">
        <f t="shared" si="735"/>
        <v>750</v>
      </c>
      <c r="AY843" s="15" t="s">
        <v>766</v>
      </c>
      <c r="AZ843" s="15">
        <f t="shared" si="706"/>
        <v>750</v>
      </c>
      <c r="BA843" s="15">
        <f t="shared" si="707"/>
        <v>0.25597269624573377</v>
      </c>
      <c r="BB843" s="15">
        <f t="shared" si="708"/>
        <v>450</v>
      </c>
      <c r="BP843" s="16"/>
      <c r="BQ843" s="16"/>
      <c r="BR843" s="16"/>
      <c r="BU843" s="16"/>
      <c r="EZ843" s="16"/>
      <c r="FA843" s="16"/>
      <c r="FB843" s="16"/>
      <c r="FC843" s="16"/>
      <c r="FD843" s="16"/>
      <c r="FE843" s="16"/>
      <c r="FF843" s="16"/>
      <c r="FG843" s="16"/>
      <c r="FH843" s="16"/>
      <c r="FI843" s="16"/>
      <c r="FJ843" s="16"/>
      <c r="FK843" s="16">
        <f t="shared" si="730"/>
        <v>5</v>
      </c>
      <c r="FL843" s="16">
        <f t="shared" si="731"/>
        <v>5.31</v>
      </c>
      <c r="FM843" s="15">
        <v>5</v>
      </c>
      <c r="FN843" s="15">
        <f t="shared" ref="FN843:FN850" si="743">FM843*0.1</f>
        <v>0.5</v>
      </c>
      <c r="FO843" s="15">
        <f>FN843*SQRT(AR843)</f>
        <v>0.8660254037844386</v>
      </c>
      <c r="FP843" s="15">
        <v>5.31</v>
      </c>
      <c r="FQ843" s="15">
        <f t="shared" ref="FQ843:FQ850" si="744">FP843*0.1</f>
        <v>0.53100000000000003</v>
      </c>
      <c r="FR843" s="15">
        <f>FQ843*SQRT(AR843)</f>
        <v>0.91971897881907383</v>
      </c>
      <c r="FS843" s="15">
        <f t="shared" si="732"/>
        <v>1.0619999999999998</v>
      </c>
      <c r="FT843" s="15">
        <f t="shared" si="733"/>
        <v>0.30999999999999961</v>
      </c>
      <c r="FU843" s="15">
        <f t="shared" si="734"/>
        <v>6.0153922819747185E-2</v>
      </c>
      <c r="FV843" s="15">
        <f>((FR843*FR843)/(AR843*FP843*FP843)+(FO843*FO843)/(AR843*FM843*FM843))</f>
        <v>1.9999999999999997E-2</v>
      </c>
      <c r="FX843" s="15">
        <v>32.5</v>
      </c>
      <c r="FY843" s="15">
        <f t="shared" si="738"/>
        <v>1.625</v>
      </c>
      <c r="FZ843" s="15">
        <f>FY843*SQRT(AR843)</f>
        <v>2.8145825622994254</v>
      </c>
      <c r="GA843" s="15">
        <v>26.3</v>
      </c>
      <c r="GB843" s="15">
        <f t="shared" si="739"/>
        <v>1.3150000000000002</v>
      </c>
      <c r="GC843" s="15">
        <f>GB843*SQRT(AR843)</f>
        <v>2.2776468119530739</v>
      </c>
      <c r="GD843" s="15">
        <v>0.8092307692307692</v>
      </c>
      <c r="GE843" s="15">
        <f t="shared" si="728"/>
        <v>-6.1999999999999993</v>
      </c>
      <c r="GF843" s="15">
        <f t="shared" si="729"/>
        <v>-0.21167115015197302</v>
      </c>
      <c r="GG843" s="15">
        <f>((GC843*GC843)/(AR843*GA843*GA843)+(FZ843*FZ843)/(AR843*FX843*FX843))</f>
        <v>5.0000000000000001E-3</v>
      </c>
      <c r="HE843" s="15">
        <v>43433</v>
      </c>
      <c r="HF843" s="15">
        <f t="shared" si="740"/>
        <v>2171.65</v>
      </c>
      <c r="HG843" s="15">
        <f>HF843*SQRT(AR843)</f>
        <v>3761.4081362569523</v>
      </c>
      <c r="HH843" s="15">
        <v>45767</v>
      </c>
      <c r="HI843" s="15">
        <f t="shared" si="741"/>
        <v>2288.35</v>
      </c>
      <c r="HJ843" s="15">
        <f>HI843*SQRT(AR843)</f>
        <v>3963.5384655002399</v>
      </c>
      <c r="HK843" s="15">
        <f t="shared" si="719"/>
        <v>1.0537379411967858</v>
      </c>
      <c r="HL843" s="15">
        <f t="shared" si="720"/>
        <v>2334</v>
      </c>
      <c r="HM843" s="15">
        <f t="shared" si="721"/>
        <v>5.2343786564330586E-2</v>
      </c>
      <c r="HN843" s="15">
        <f>((HJ843*HJ843)/(AR843*HH843*HH843)+(HG843*HG843)/(AR843*HE843*HE843))</f>
        <v>4.9999999999999992E-3</v>
      </c>
      <c r="HP843" s="15" t="s">
        <v>766</v>
      </c>
      <c r="HV843" s="15">
        <f t="shared" si="722"/>
        <v>85.970089199975888</v>
      </c>
      <c r="HW843" s="15">
        <f t="shared" si="742"/>
        <v>5.2343786564330586E-2</v>
      </c>
      <c r="HX843" s="15">
        <f>BB843</f>
        <v>450</v>
      </c>
      <c r="HY843" s="15">
        <f>AZ843</f>
        <v>750</v>
      </c>
      <c r="HZ843" s="15">
        <f>BA843</f>
        <v>0.25597269624573377</v>
      </c>
      <c r="IA843" s="15">
        <f>BB843</f>
        <v>450</v>
      </c>
    </row>
    <row r="844" spans="1:235" s="15" customFormat="1" x14ac:dyDescent="0.25">
      <c r="A844" s="31">
        <v>842</v>
      </c>
      <c r="B844" s="43">
        <v>132</v>
      </c>
      <c r="C844" s="1">
        <v>155</v>
      </c>
      <c r="D844" s="15" t="s">
        <v>1924</v>
      </c>
      <c r="E844" s="31">
        <v>1</v>
      </c>
      <c r="F844" s="15" t="s">
        <v>761</v>
      </c>
      <c r="G844" s="15" t="s">
        <v>1848</v>
      </c>
      <c r="H844" s="15" t="s">
        <v>1849</v>
      </c>
      <c r="I844" s="31">
        <v>2016</v>
      </c>
      <c r="J844" s="15" t="s">
        <v>1857</v>
      </c>
      <c r="K844" s="1" t="s">
        <v>1870</v>
      </c>
      <c r="L844" s="15" t="s">
        <v>1254</v>
      </c>
      <c r="M844" s="15" t="s">
        <v>480</v>
      </c>
      <c r="N844" s="15" t="s">
        <v>23</v>
      </c>
      <c r="O844" s="31">
        <v>2</v>
      </c>
      <c r="P844" s="15">
        <v>28.961993</v>
      </c>
      <c r="Q844" s="15">
        <v>107.04522900000001</v>
      </c>
      <c r="R844" s="15" t="s">
        <v>1887</v>
      </c>
      <c r="S844" s="15">
        <v>1151.5</v>
      </c>
      <c r="T844" s="15" t="s">
        <v>1892</v>
      </c>
      <c r="U844" s="15" t="s">
        <v>1893</v>
      </c>
      <c r="V844" s="31">
        <v>1</v>
      </c>
      <c r="W844" s="16" t="s">
        <v>1158</v>
      </c>
      <c r="X844" s="15" t="s">
        <v>1908</v>
      </c>
      <c r="Y844" s="1">
        <v>3</v>
      </c>
      <c r="Z844" s="15">
        <v>5</v>
      </c>
      <c r="AA844" s="15" t="s">
        <v>573</v>
      </c>
      <c r="AB844" s="15">
        <f t="shared" si="725"/>
        <v>5</v>
      </c>
      <c r="AC844" s="1">
        <v>2</v>
      </c>
      <c r="AD844" s="15">
        <v>32.5</v>
      </c>
      <c r="AM844" s="1"/>
      <c r="AP844" s="15" t="s">
        <v>1918</v>
      </c>
      <c r="AQ844" s="1">
        <v>3</v>
      </c>
      <c r="AR844" s="1">
        <v>3</v>
      </c>
      <c r="AS844" s="15" t="s">
        <v>1919</v>
      </c>
      <c r="AT844" s="15" t="s">
        <v>1920</v>
      </c>
      <c r="AU844" s="15" t="s">
        <v>1922</v>
      </c>
      <c r="AW844" s="15">
        <v>750</v>
      </c>
      <c r="AX844" s="15">
        <f t="shared" si="735"/>
        <v>750</v>
      </c>
      <c r="AY844" s="15" t="s">
        <v>766</v>
      </c>
      <c r="AZ844" s="15">
        <f t="shared" si="706"/>
        <v>750</v>
      </c>
      <c r="BA844" s="15">
        <f t="shared" si="707"/>
        <v>0.25597269624573377</v>
      </c>
      <c r="BB844" s="15">
        <f t="shared" si="708"/>
        <v>450</v>
      </c>
      <c r="BP844" s="16"/>
      <c r="BQ844" s="16"/>
      <c r="BR844" s="16"/>
      <c r="BU844" s="16"/>
      <c r="EZ844" s="16"/>
      <c r="FA844" s="16"/>
      <c r="FB844" s="16"/>
      <c r="FC844" s="16"/>
      <c r="FD844" s="16"/>
      <c r="FE844" s="16"/>
      <c r="FF844" s="16"/>
      <c r="FG844" s="16"/>
      <c r="FH844" s="16"/>
      <c r="FI844" s="16"/>
      <c r="FJ844" s="16"/>
      <c r="FK844" s="16">
        <f t="shared" si="730"/>
        <v>5</v>
      </c>
      <c r="FL844" s="16">
        <f t="shared" si="731"/>
        <v>5.31</v>
      </c>
      <c r="FM844" s="15">
        <v>5</v>
      </c>
      <c r="FN844" s="15">
        <f t="shared" si="743"/>
        <v>0.5</v>
      </c>
      <c r="FO844" s="15">
        <f>FN844*SQRT(AR844)</f>
        <v>0.8660254037844386</v>
      </c>
      <c r="FP844" s="15">
        <v>5.31</v>
      </c>
      <c r="FQ844" s="15">
        <f t="shared" si="744"/>
        <v>0.53100000000000003</v>
      </c>
      <c r="FR844" s="15">
        <f>FQ844*SQRT(AR844)</f>
        <v>0.91971897881907383</v>
      </c>
      <c r="FS844" s="15">
        <f t="shared" si="732"/>
        <v>1.0619999999999998</v>
      </c>
      <c r="FT844" s="15">
        <f t="shared" si="733"/>
        <v>0.30999999999999961</v>
      </c>
      <c r="FU844" s="15">
        <f t="shared" si="734"/>
        <v>6.0153922819747185E-2</v>
      </c>
      <c r="FV844" s="15">
        <f>((FR844*FR844)/(AR844*FP844*FP844)+(FO844*FO844)/(AR844*FM844*FM844))</f>
        <v>1.9999999999999997E-2</v>
      </c>
      <c r="FX844" s="15">
        <v>32.5</v>
      </c>
      <c r="FY844" s="15">
        <f t="shared" si="738"/>
        <v>1.625</v>
      </c>
      <c r="FZ844" s="15">
        <f>FY844*SQRT(AR844)</f>
        <v>2.8145825622994254</v>
      </c>
      <c r="GA844" s="15">
        <v>26.3</v>
      </c>
      <c r="GB844" s="15">
        <f t="shared" si="739"/>
        <v>1.3150000000000002</v>
      </c>
      <c r="GC844" s="15">
        <f>GB844*SQRT(AR844)</f>
        <v>2.2776468119530739</v>
      </c>
      <c r="GD844" s="15">
        <v>0.8092307692307692</v>
      </c>
      <c r="GE844" s="15">
        <f t="shared" si="728"/>
        <v>-6.1999999999999993</v>
      </c>
      <c r="GF844" s="15">
        <f t="shared" si="729"/>
        <v>-0.21167115015197302</v>
      </c>
      <c r="GG844" s="15">
        <f>((GC844*GC844)/(AR844*GA844*GA844)+(FZ844*FZ844)/(AR844*FX844*FX844))</f>
        <v>5.0000000000000001E-3</v>
      </c>
      <c r="HE844" s="15">
        <v>25500</v>
      </c>
      <c r="HF844" s="15">
        <f t="shared" si="740"/>
        <v>1275</v>
      </c>
      <c r="HG844" s="15">
        <f>HF844*SQRT(AR844)</f>
        <v>2208.3647796503183</v>
      </c>
      <c r="HH844" s="15">
        <v>28167</v>
      </c>
      <c r="HI844" s="15">
        <f t="shared" si="741"/>
        <v>1408.3500000000001</v>
      </c>
      <c r="HJ844" s="15">
        <f>HI844*SQRT(AR844)</f>
        <v>2439.3337548396285</v>
      </c>
      <c r="HK844" s="15">
        <f t="shared" si="719"/>
        <v>1.1045882352941176</v>
      </c>
      <c r="HL844" s="15">
        <f t="shared" si="720"/>
        <v>2667</v>
      </c>
      <c r="HM844" s="15">
        <f t="shared" si="721"/>
        <v>9.9472627780139433E-2</v>
      </c>
      <c r="HN844" s="15">
        <f>((HJ844*HJ844)/(AR844*HH844*HH844)+(HG844*HG844)/(AR844*HE844*HE844))</f>
        <v>4.9999999999999992E-3</v>
      </c>
      <c r="HP844" s="15" t="s">
        <v>766</v>
      </c>
      <c r="HV844" s="15">
        <f t="shared" si="722"/>
        <v>45.238575680801141</v>
      </c>
      <c r="HW844" s="15">
        <f t="shared" si="742"/>
        <v>9.9472627780139433E-2</v>
      </c>
      <c r="HX844" s="15">
        <f>BB844</f>
        <v>450</v>
      </c>
      <c r="HY844" s="15">
        <f>AZ844</f>
        <v>750</v>
      </c>
      <c r="HZ844" s="15">
        <f>BA844</f>
        <v>0.25597269624573377</v>
      </c>
      <c r="IA844" s="15">
        <f>BB844</f>
        <v>450</v>
      </c>
    </row>
    <row r="845" spans="1:235" s="15" customFormat="1" x14ac:dyDescent="0.25">
      <c r="A845" s="31">
        <v>843</v>
      </c>
      <c r="B845" s="43">
        <v>132</v>
      </c>
      <c r="C845" s="1">
        <v>155</v>
      </c>
      <c r="D845" s="15" t="s">
        <v>1925</v>
      </c>
      <c r="E845" s="31">
        <v>1</v>
      </c>
      <c r="F845" s="15" t="s">
        <v>761</v>
      </c>
      <c r="G845" s="15" t="s">
        <v>1848</v>
      </c>
      <c r="H845" s="15" t="s">
        <v>1849</v>
      </c>
      <c r="I845" s="31">
        <v>2016</v>
      </c>
      <c r="J845" s="15" t="s">
        <v>1857</v>
      </c>
      <c r="K845" s="1" t="s">
        <v>1870</v>
      </c>
      <c r="L845" s="15" t="s">
        <v>1254</v>
      </c>
      <c r="M845" s="15" t="s">
        <v>480</v>
      </c>
      <c r="N845" s="15" t="s">
        <v>23</v>
      </c>
      <c r="O845" s="31">
        <v>2</v>
      </c>
      <c r="P845" s="15">
        <v>28.961993</v>
      </c>
      <c r="Q845" s="15">
        <v>107.04522900000001</v>
      </c>
      <c r="R845" s="15" t="s">
        <v>1887</v>
      </c>
      <c r="S845" s="15">
        <v>1151.5</v>
      </c>
      <c r="T845" s="15" t="s">
        <v>1892</v>
      </c>
      <c r="U845" s="15" t="s">
        <v>1893</v>
      </c>
      <c r="V845" s="31">
        <v>1</v>
      </c>
      <c r="W845" s="16" t="s">
        <v>1158</v>
      </c>
      <c r="X845" s="15" t="s">
        <v>1908</v>
      </c>
      <c r="Y845" s="1">
        <v>3</v>
      </c>
      <c r="Z845" s="15">
        <v>5</v>
      </c>
      <c r="AA845" s="15" t="s">
        <v>573</v>
      </c>
      <c r="AB845" s="15">
        <f t="shared" si="725"/>
        <v>5</v>
      </c>
      <c r="AC845" s="1">
        <v>2</v>
      </c>
      <c r="AD845" s="15">
        <v>32.5</v>
      </c>
      <c r="AM845" s="1"/>
      <c r="AP845" s="15" t="s">
        <v>1918</v>
      </c>
      <c r="AQ845" s="1">
        <v>3</v>
      </c>
      <c r="AR845" s="1">
        <v>3</v>
      </c>
      <c r="AS845" s="15" t="s">
        <v>1919</v>
      </c>
      <c r="AT845" s="15" t="s">
        <v>1920</v>
      </c>
      <c r="AU845" s="15" t="s">
        <v>1922</v>
      </c>
      <c r="AW845" s="15">
        <v>750</v>
      </c>
      <c r="AX845" s="15">
        <f t="shared" si="735"/>
        <v>750</v>
      </c>
      <c r="AY845" s="15" t="s">
        <v>766</v>
      </c>
      <c r="AZ845" s="15">
        <f t="shared" si="706"/>
        <v>750</v>
      </c>
      <c r="BA845" s="15">
        <f t="shared" si="707"/>
        <v>0.25597269624573377</v>
      </c>
      <c r="BB845" s="15">
        <f t="shared" si="708"/>
        <v>450</v>
      </c>
      <c r="BP845" s="16"/>
      <c r="BQ845" s="16"/>
      <c r="BR845" s="16"/>
      <c r="BU845" s="16"/>
      <c r="EZ845" s="16"/>
      <c r="FA845" s="16"/>
      <c r="FB845" s="16"/>
      <c r="FC845" s="16"/>
      <c r="FD845" s="16"/>
      <c r="FE845" s="16"/>
      <c r="FF845" s="16"/>
      <c r="FG845" s="16"/>
      <c r="FH845" s="16"/>
      <c r="FI845" s="16"/>
      <c r="FJ845" s="16"/>
      <c r="FK845" s="16">
        <f t="shared" si="730"/>
        <v>5</v>
      </c>
      <c r="FL845" s="16">
        <f t="shared" si="731"/>
        <v>5.31</v>
      </c>
      <c r="FM845" s="15">
        <v>5</v>
      </c>
      <c r="FN845" s="15">
        <f t="shared" si="743"/>
        <v>0.5</v>
      </c>
      <c r="FO845" s="15">
        <f>FN845*SQRT(AR845)</f>
        <v>0.8660254037844386</v>
      </c>
      <c r="FP845" s="15">
        <v>5.31</v>
      </c>
      <c r="FQ845" s="15">
        <f t="shared" si="744"/>
        <v>0.53100000000000003</v>
      </c>
      <c r="FR845" s="15">
        <f>FQ845*SQRT(AR845)</f>
        <v>0.91971897881907383</v>
      </c>
      <c r="FS845" s="15">
        <f t="shared" si="732"/>
        <v>1.0619999999999998</v>
      </c>
      <c r="FT845" s="15">
        <f t="shared" si="733"/>
        <v>0.30999999999999961</v>
      </c>
      <c r="FU845" s="15">
        <f t="shared" si="734"/>
        <v>6.0153922819747185E-2</v>
      </c>
      <c r="FV845" s="15">
        <f>((FR845*FR845)/(AR845*FP845*FP845)+(FO845*FO845)/(AR845*FM845*FM845))</f>
        <v>1.9999999999999997E-2</v>
      </c>
      <c r="FX845" s="15">
        <v>32.5</v>
      </c>
      <c r="FY845" s="15">
        <f t="shared" si="738"/>
        <v>1.625</v>
      </c>
      <c r="FZ845" s="15">
        <f>FY845*SQRT(AR845)</f>
        <v>2.8145825622994254</v>
      </c>
      <c r="GA845" s="15">
        <v>26.3</v>
      </c>
      <c r="GB845" s="15">
        <f t="shared" si="739"/>
        <v>1.3150000000000002</v>
      </c>
      <c r="GC845" s="15">
        <f>GB845*SQRT(AR845)</f>
        <v>2.2776468119530739</v>
      </c>
      <c r="GD845" s="15">
        <v>0.8092307692307692</v>
      </c>
      <c r="GE845" s="15">
        <f t="shared" si="728"/>
        <v>-6.1999999999999993</v>
      </c>
      <c r="GF845" s="15">
        <f t="shared" si="729"/>
        <v>-0.21167115015197302</v>
      </c>
      <c r="GG845" s="15">
        <f>((GC845*GC845)/(AR845*GA845*GA845)+(FZ845*FZ845)/(AR845*FX845*FX845))</f>
        <v>5.0000000000000001E-3</v>
      </c>
      <c r="HE845" s="15">
        <v>44167</v>
      </c>
      <c r="HF845" s="15">
        <f t="shared" si="740"/>
        <v>2208.35</v>
      </c>
      <c r="HG845" s="15">
        <f>HF845*SQRT(AR845)</f>
        <v>3824.9744008947296</v>
      </c>
      <c r="HH845" s="15">
        <v>48500</v>
      </c>
      <c r="HI845" s="15">
        <f t="shared" si="741"/>
        <v>2425</v>
      </c>
      <c r="HJ845" s="15">
        <f>HI845*SQRT(AR845)</f>
        <v>4200.2232083545268</v>
      </c>
      <c r="HK845" s="15">
        <f t="shared" si="719"/>
        <v>1.0981049199628683</v>
      </c>
      <c r="HL845" s="15">
        <f t="shared" si="720"/>
        <v>4333</v>
      </c>
      <c r="HM845" s="15">
        <f t="shared" si="721"/>
        <v>9.3585894043938467E-2</v>
      </c>
      <c r="HN845" s="15">
        <f>((HJ845*HJ845)/(AR845*HH845*HH845)+(HG845*HG845)/(AR845*HE845*HE845))</f>
        <v>4.9999999999999992E-3</v>
      </c>
      <c r="HP845" s="15" t="s">
        <v>766</v>
      </c>
      <c r="HV845" s="15">
        <f t="shared" si="722"/>
        <v>48.084169585293004</v>
      </c>
      <c r="HW845" s="15">
        <f t="shared" si="742"/>
        <v>9.3585894043938467E-2</v>
      </c>
      <c r="HX845" s="15">
        <f>BB845</f>
        <v>450</v>
      </c>
      <c r="HY845" s="15">
        <f>AZ845</f>
        <v>750</v>
      </c>
      <c r="HZ845" s="15">
        <f>BA845</f>
        <v>0.25597269624573377</v>
      </c>
      <c r="IA845" s="15">
        <f>BB845</f>
        <v>450</v>
      </c>
    </row>
    <row r="846" spans="1:235" s="15" customFormat="1" x14ac:dyDescent="0.25">
      <c r="A846" s="31">
        <v>844</v>
      </c>
      <c r="B846" s="43">
        <v>133</v>
      </c>
      <c r="C846" s="1">
        <v>156</v>
      </c>
      <c r="D846" s="15" t="s">
        <v>1926</v>
      </c>
      <c r="E846" s="31">
        <v>1</v>
      </c>
      <c r="F846" s="15" t="s">
        <v>761</v>
      </c>
      <c r="G846" s="15" t="s">
        <v>1850</v>
      </c>
      <c r="H846" s="15" t="s">
        <v>1851</v>
      </c>
      <c r="I846" s="31">
        <v>2018</v>
      </c>
      <c r="J846" s="15" t="s">
        <v>1862</v>
      </c>
      <c r="K846" s="1">
        <v>2017</v>
      </c>
      <c r="L846" s="15" t="s">
        <v>1878</v>
      </c>
      <c r="M846" s="15" t="s">
        <v>480</v>
      </c>
      <c r="N846" s="15" t="s">
        <v>23</v>
      </c>
      <c r="O846" s="31">
        <v>2</v>
      </c>
      <c r="P846" s="15">
        <v>37.201070000000001</v>
      </c>
      <c r="Q846" s="15">
        <v>121.977729</v>
      </c>
      <c r="R846" s="15" t="s">
        <v>1888</v>
      </c>
      <c r="S846" s="15">
        <v>762</v>
      </c>
      <c r="T846" s="15">
        <v>11.5</v>
      </c>
      <c r="U846" s="15" t="s">
        <v>1893</v>
      </c>
      <c r="V846" s="31">
        <v>1</v>
      </c>
      <c r="W846" s="16" t="s">
        <v>1158</v>
      </c>
      <c r="X846" s="15" t="s">
        <v>1909</v>
      </c>
      <c r="Y846" s="1">
        <v>5</v>
      </c>
      <c r="Z846" s="15">
        <v>4.2</v>
      </c>
      <c r="AA846" s="15" t="s">
        <v>573</v>
      </c>
      <c r="AB846" s="15">
        <f t="shared" si="725"/>
        <v>4.2</v>
      </c>
      <c r="AC846" s="1">
        <v>1</v>
      </c>
      <c r="AM846" s="1"/>
      <c r="AQ846" s="1"/>
      <c r="AR846" s="1">
        <v>3</v>
      </c>
      <c r="AS846" s="15">
        <v>12.4</v>
      </c>
      <c r="AT846" s="15" t="s">
        <v>1920</v>
      </c>
      <c r="AU846" s="15" t="s">
        <v>1923</v>
      </c>
      <c r="AW846" s="15">
        <v>750</v>
      </c>
      <c r="AX846" s="15">
        <f t="shared" si="735"/>
        <v>750</v>
      </c>
      <c r="AY846" s="15" t="s">
        <v>766</v>
      </c>
      <c r="AZ846" s="15">
        <f t="shared" si="706"/>
        <v>750</v>
      </c>
      <c r="BA846" s="15">
        <f t="shared" si="707"/>
        <v>0.25597269624573377</v>
      </c>
      <c r="BB846" s="15">
        <f t="shared" si="708"/>
        <v>450</v>
      </c>
      <c r="BP846" s="16"/>
      <c r="BQ846" s="16"/>
      <c r="BR846" s="16"/>
      <c r="BU846" s="16"/>
      <c r="EZ846" s="16"/>
      <c r="FA846" s="16"/>
      <c r="FB846" s="16"/>
      <c r="FC846" s="16"/>
      <c r="FD846" s="16"/>
      <c r="FE846" s="16"/>
      <c r="FF846" s="16"/>
      <c r="FG846" s="16"/>
      <c r="FH846" s="16"/>
      <c r="FI846" s="16"/>
      <c r="FJ846" s="16"/>
      <c r="FK846" s="16">
        <f t="shared" si="730"/>
        <v>4.2699999999999996</v>
      </c>
      <c r="FL846" s="16">
        <f t="shared" si="731"/>
        <v>4.59</v>
      </c>
      <c r="FM846" s="15">
        <v>4.2699999999999996</v>
      </c>
      <c r="FN846" s="15">
        <f t="shared" si="743"/>
        <v>0.42699999999999999</v>
      </c>
      <c r="FO846" s="15">
        <f>FN846*SQRT(AR846)</f>
        <v>0.7395856948319105</v>
      </c>
      <c r="FP846" s="15">
        <v>4.59</v>
      </c>
      <c r="FQ846" s="15">
        <f t="shared" si="744"/>
        <v>0.45900000000000002</v>
      </c>
      <c r="FR846" s="15">
        <f>FQ846*SQRT(AR846)</f>
        <v>0.79501132067411462</v>
      </c>
      <c r="FS846" s="15">
        <f t="shared" si="732"/>
        <v>1.0749414519906324</v>
      </c>
      <c r="FT846" s="15">
        <f t="shared" si="733"/>
        <v>0.32000000000000028</v>
      </c>
      <c r="FU846" s="15">
        <f t="shared" si="734"/>
        <v>7.2266196831920704E-2</v>
      </c>
      <c r="FV846" s="15">
        <f>((FR846*FR846)/(AR846*FP846*FP846)+(FO846*FO846)/(AR846*FM846*FM846))</f>
        <v>1.9999999999999997E-2</v>
      </c>
      <c r="HE846" s="15">
        <v>688</v>
      </c>
      <c r="HF846" s="15">
        <f t="shared" si="740"/>
        <v>34.4</v>
      </c>
      <c r="HG846" s="15">
        <f>HF846*SQRT(AR846)</f>
        <v>59.582547780369374</v>
      </c>
      <c r="HH846" s="15">
        <v>1982</v>
      </c>
      <c r="HI846" s="15">
        <f t="shared" si="741"/>
        <v>99.100000000000009</v>
      </c>
      <c r="HJ846" s="15">
        <f>HI846*SQRT(AR846)</f>
        <v>171.64623503007576</v>
      </c>
      <c r="HK846" s="15">
        <f t="shared" si="719"/>
        <v>2.8808139534883721</v>
      </c>
      <c r="HL846" s="15">
        <f t="shared" si="720"/>
        <v>1294</v>
      </c>
      <c r="HM846" s="15">
        <f t="shared" si="721"/>
        <v>1.0580728769565901</v>
      </c>
      <c r="HN846" s="15">
        <f>((HJ846*HJ846)/(AR846*HH846*HH846)+(HG846*HG846)/(AR846*HE846*HE846))</f>
        <v>5.0000000000000001E-3</v>
      </c>
      <c r="HP846" s="15" t="s">
        <v>766</v>
      </c>
      <c r="HV846" s="15">
        <f t="shared" si="722"/>
        <v>4.2530151731548669</v>
      </c>
      <c r="HW846" s="15">
        <f t="shared" si="742"/>
        <v>1.0580728769565901</v>
      </c>
      <c r="HX846" s="15">
        <f>BB846</f>
        <v>450</v>
      </c>
      <c r="HY846" s="15">
        <f>AZ846</f>
        <v>750</v>
      </c>
      <c r="HZ846" s="15">
        <f>BA846</f>
        <v>0.25597269624573377</v>
      </c>
      <c r="IA846" s="15">
        <f>BB846</f>
        <v>450</v>
      </c>
    </row>
    <row r="847" spans="1:235" s="15" customFormat="1" x14ac:dyDescent="0.25">
      <c r="A847" s="31">
        <v>845</v>
      </c>
      <c r="B847" s="43">
        <v>133</v>
      </c>
      <c r="C847" s="1">
        <v>156</v>
      </c>
      <c r="D847" s="15" t="s">
        <v>1927</v>
      </c>
      <c r="E847" s="31">
        <v>2</v>
      </c>
      <c r="F847" s="15" t="s">
        <v>777</v>
      </c>
      <c r="G847" s="15" t="s">
        <v>1850</v>
      </c>
      <c r="H847" s="15" t="s">
        <v>1851</v>
      </c>
      <c r="I847" s="31">
        <v>2018</v>
      </c>
      <c r="J847" s="15" t="s">
        <v>1862</v>
      </c>
      <c r="K847" s="1">
        <v>2017</v>
      </c>
      <c r="L847" s="15" t="s">
        <v>1878</v>
      </c>
      <c r="M847" s="15" t="s">
        <v>480</v>
      </c>
      <c r="N847" s="15" t="s">
        <v>23</v>
      </c>
      <c r="O847" s="31">
        <v>2</v>
      </c>
      <c r="P847" s="15">
        <v>37.201070000000001</v>
      </c>
      <c r="Q847" s="15">
        <v>121.977729</v>
      </c>
      <c r="R847" s="15" t="s">
        <v>1888</v>
      </c>
      <c r="S847" s="15">
        <v>762</v>
      </c>
      <c r="T847" s="15">
        <v>11.5</v>
      </c>
      <c r="U847" s="15" t="s">
        <v>1893</v>
      </c>
      <c r="V847" s="31">
        <v>1</v>
      </c>
      <c r="W847" s="16" t="s">
        <v>1158</v>
      </c>
      <c r="X847" s="15" t="s">
        <v>1909</v>
      </c>
      <c r="Y847" s="1">
        <v>5</v>
      </c>
      <c r="Z847" s="15">
        <v>4.2</v>
      </c>
      <c r="AA847" s="15" t="s">
        <v>573</v>
      </c>
      <c r="AB847" s="15">
        <f t="shared" si="725"/>
        <v>4.2</v>
      </c>
      <c r="AC847" s="1">
        <v>1</v>
      </c>
      <c r="AM847" s="1"/>
      <c r="AQ847" s="1"/>
      <c r="AR847" s="1">
        <v>3</v>
      </c>
      <c r="AS847" s="15">
        <v>12.4</v>
      </c>
      <c r="AT847" s="15" t="s">
        <v>1920</v>
      </c>
      <c r="AU847" s="15" t="s">
        <v>1923</v>
      </c>
      <c r="AW847" s="15">
        <v>750</v>
      </c>
      <c r="AX847" s="15">
        <f t="shared" si="735"/>
        <v>750</v>
      </c>
      <c r="AY847" s="15" t="s">
        <v>766</v>
      </c>
      <c r="AZ847" s="15">
        <f t="shared" si="706"/>
        <v>750</v>
      </c>
      <c r="BA847" s="15">
        <f t="shared" si="707"/>
        <v>0.25597269624573377</v>
      </c>
      <c r="BB847" s="15">
        <f t="shared" si="708"/>
        <v>450</v>
      </c>
      <c r="BP847" s="16"/>
      <c r="BQ847" s="16"/>
      <c r="BR847" s="16"/>
      <c r="BU847" s="16"/>
      <c r="CC847" s="15" t="s">
        <v>717</v>
      </c>
      <c r="CE847" s="15">
        <v>3000</v>
      </c>
      <c r="CF847" s="15">
        <v>3000</v>
      </c>
      <c r="CG847" s="15" t="s">
        <v>766</v>
      </c>
      <c r="CH847" s="15">
        <v>9.6</v>
      </c>
      <c r="CY847" s="25">
        <f>CF847</f>
        <v>3000</v>
      </c>
      <c r="CZ847" s="25">
        <f>CY847/0.78/1000</f>
        <v>3.8461538461538463</v>
      </c>
      <c r="DA847" s="25">
        <f>CY847*3</f>
        <v>9000</v>
      </c>
      <c r="EZ847" s="16"/>
      <c r="FA847" s="16"/>
      <c r="FB847" s="16"/>
      <c r="FC847" s="16"/>
      <c r="FD847" s="16"/>
      <c r="FE847" s="16"/>
      <c r="FF847" s="16"/>
      <c r="FG847" s="16"/>
      <c r="FH847" s="16"/>
      <c r="FI847" s="16"/>
      <c r="FJ847" s="16"/>
      <c r="FK847" s="16">
        <f t="shared" si="730"/>
        <v>4.2699999999999996</v>
      </c>
      <c r="FL847" s="16">
        <f t="shared" si="731"/>
        <v>4.3</v>
      </c>
      <c r="FM847" s="15">
        <v>4.2699999999999996</v>
      </c>
      <c r="FN847" s="15">
        <f t="shared" si="743"/>
        <v>0.42699999999999999</v>
      </c>
      <c r="FO847" s="15">
        <f>FN847*SQRT(AR847)</f>
        <v>0.7395856948319105</v>
      </c>
      <c r="FP847" s="15">
        <v>4.3</v>
      </c>
      <c r="FQ847" s="15">
        <f t="shared" si="744"/>
        <v>0.43</v>
      </c>
      <c r="FR847" s="15">
        <f>FQ847*SQRT(AR847)</f>
        <v>0.74478184725461716</v>
      </c>
      <c r="FS847" s="15">
        <f t="shared" si="732"/>
        <v>1.0070257611241218</v>
      </c>
      <c r="FT847" s="15">
        <f t="shared" si="733"/>
        <v>3.0000000000000249E-2</v>
      </c>
      <c r="FU847" s="15">
        <f t="shared" si="734"/>
        <v>7.0011954589837E-3</v>
      </c>
      <c r="FV847" s="15">
        <f>((FR847*FR847)/(AR847*FP847*FP847)+(FO847*FO847)/(AR847*FM847*FM847))</f>
        <v>1.9999999999999997E-2</v>
      </c>
      <c r="HE847" s="15">
        <v>688</v>
      </c>
      <c r="HF847" s="15">
        <f t="shared" si="740"/>
        <v>34.4</v>
      </c>
      <c r="HG847" s="15">
        <f>HF847*SQRT(AR847)</f>
        <v>59.582547780369374</v>
      </c>
      <c r="HH847" s="15">
        <v>729</v>
      </c>
      <c r="HI847" s="15">
        <f t="shared" si="741"/>
        <v>36.450000000000003</v>
      </c>
      <c r="HJ847" s="15">
        <f>HI847*SQRT(AR847)</f>
        <v>63.133251935885582</v>
      </c>
      <c r="HK847" s="15">
        <f t="shared" si="719"/>
        <v>1.0595930232558139</v>
      </c>
      <c r="HL847" s="15">
        <f t="shared" si="720"/>
        <v>41</v>
      </c>
      <c r="HM847" s="15">
        <f t="shared" si="721"/>
        <v>5.7884894075314719E-2</v>
      </c>
      <c r="HN847" s="15">
        <f>((HJ847*HJ847)/(AR847*HH847*HH847)+(HG847*HG847)/(AR847*HE847*HE847))</f>
        <v>5.0000000000000001E-3</v>
      </c>
      <c r="HP847" s="15" t="s">
        <v>766</v>
      </c>
      <c r="HV847" s="15">
        <f t="shared" si="722"/>
        <v>1554.8097899756012</v>
      </c>
      <c r="HW847" s="15">
        <f t="shared" si="742"/>
        <v>5.7884894075314719E-2</v>
      </c>
      <c r="HX847" s="25">
        <f>DA847</f>
        <v>9000</v>
      </c>
      <c r="HY847" s="25">
        <f>CY847</f>
        <v>3000</v>
      </c>
      <c r="HZ847" s="25">
        <f>CZ847</f>
        <v>3.8461538461538463</v>
      </c>
      <c r="IA847" s="25">
        <f>DA847</f>
        <v>9000</v>
      </c>
    </row>
    <row r="848" spans="1:235" s="15" customFormat="1" x14ac:dyDescent="0.25">
      <c r="A848" s="31">
        <v>846</v>
      </c>
      <c r="B848" s="43">
        <v>134</v>
      </c>
      <c r="C848" s="1">
        <v>157</v>
      </c>
      <c r="D848" s="15" t="s">
        <v>1929</v>
      </c>
      <c r="E848" s="31">
        <v>1</v>
      </c>
      <c r="F848" s="15" t="s">
        <v>761</v>
      </c>
      <c r="G848" s="15" t="s">
        <v>1852</v>
      </c>
      <c r="H848" s="15" t="s">
        <v>1853</v>
      </c>
      <c r="I848" s="31">
        <v>2015</v>
      </c>
      <c r="J848" s="15" t="s">
        <v>1855</v>
      </c>
      <c r="K848" s="1">
        <v>2014</v>
      </c>
      <c r="L848" s="15" t="s">
        <v>1021</v>
      </c>
      <c r="M848" s="15" t="s">
        <v>480</v>
      </c>
      <c r="N848" s="15" t="s">
        <v>23</v>
      </c>
      <c r="O848" s="31">
        <v>2</v>
      </c>
      <c r="P848" s="15">
        <v>26.789929999999998</v>
      </c>
      <c r="Q848" s="15">
        <v>114.90886999999999</v>
      </c>
      <c r="R848" s="15" t="s">
        <v>1889</v>
      </c>
      <c r="S848" s="15">
        <v>1726</v>
      </c>
      <c r="T848" s="15">
        <v>18.600000000000001</v>
      </c>
      <c r="U848" s="15" t="s">
        <v>1893</v>
      </c>
      <c r="V848" s="31">
        <v>1</v>
      </c>
      <c r="W848" s="16" t="s">
        <v>1158</v>
      </c>
      <c r="X848" s="15" t="s">
        <v>1907</v>
      </c>
      <c r="Y848" s="1">
        <v>1</v>
      </c>
      <c r="Z848" s="15">
        <v>5</v>
      </c>
      <c r="AA848" s="15" t="s">
        <v>573</v>
      </c>
      <c r="AB848" s="15">
        <f t="shared" si="725"/>
        <v>5</v>
      </c>
      <c r="AC848" s="1">
        <v>2</v>
      </c>
      <c r="AD848" s="15">
        <v>29.2</v>
      </c>
      <c r="AM848" s="1"/>
      <c r="AQ848" s="1"/>
      <c r="AR848" s="1">
        <v>3</v>
      </c>
      <c r="AS848" s="15">
        <v>9.5</v>
      </c>
      <c r="AW848" s="15">
        <v>600</v>
      </c>
      <c r="AX848" s="15">
        <f t="shared" si="735"/>
        <v>600</v>
      </c>
      <c r="AY848" s="15" t="s">
        <v>766</v>
      </c>
      <c r="AZ848" s="15">
        <f t="shared" si="706"/>
        <v>600</v>
      </c>
      <c r="BA848" s="15">
        <f t="shared" si="707"/>
        <v>0.20477815699658702</v>
      </c>
      <c r="BB848" s="15">
        <f t="shared" si="708"/>
        <v>360</v>
      </c>
      <c r="BP848" s="16"/>
      <c r="BQ848" s="16"/>
      <c r="BR848" s="16"/>
      <c r="BU848" s="16"/>
      <c r="EZ848" s="16"/>
      <c r="FA848" s="16"/>
      <c r="FB848" s="16"/>
      <c r="FC848" s="16"/>
      <c r="FD848" s="16"/>
      <c r="FE848" s="16"/>
      <c r="FF848" s="16"/>
      <c r="FG848" s="16"/>
      <c r="FH848" s="16"/>
      <c r="FI848" s="16"/>
      <c r="FJ848" s="16"/>
      <c r="FK848" s="16">
        <f t="shared" si="730"/>
        <v>4.96</v>
      </c>
      <c r="FL848" s="16">
        <f t="shared" si="731"/>
        <v>5.22</v>
      </c>
      <c r="FM848" s="15">
        <v>4.96</v>
      </c>
      <c r="FN848" s="15">
        <f t="shared" si="743"/>
        <v>0.496</v>
      </c>
      <c r="FO848" s="15">
        <f>FN848*SQRT(AR848)</f>
        <v>0.85909720055416305</v>
      </c>
      <c r="FP848" s="15">
        <v>5.22</v>
      </c>
      <c r="FQ848" s="15">
        <f t="shared" si="744"/>
        <v>0.52200000000000002</v>
      </c>
      <c r="FR848" s="15">
        <f>FQ848*SQRT(AR848)</f>
        <v>0.90413052155095397</v>
      </c>
      <c r="FS848" s="15">
        <f t="shared" si="732"/>
        <v>1.0524193548387097</v>
      </c>
      <c r="FT848" s="15">
        <f t="shared" si="733"/>
        <v>0.25999999999999979</v>
      </c>
      <c r="FU848" s="15">
        <f t="shared" si="734"/>
        <v>5.1091661157711243E-2</v>
      </c>
      <c r="FV848" s="15">
        <f>((FR848*FR848)/(AR848*FP848*FP848)+(FO848*FO848)/(AR848*FM848*FM848))</f>
        <v>1.9999999999999997E-2</v>
      </c>
      <c r="FX848" s="15">
        <v>29.63</v>
      </c>
      <c r="FY848" s="15">
        <f t="shared" ref="FY848:FY871" si="745">FX848*0.05</f>
        <v>1.4815</v>
      </c>
      <c r="FZ848" s="15">
        <f>FY848*SQRT(AR848)</f>
        <v>2.5660332714132918</v>
      </c>
      <c r="GA848" s="15">
        <v>29.6</v>
      </c>
      <c r="GB848" s="15">
        <f t="shared" ref="GB848:GB875" si="746">GA848*0.05</f>
        <v>1.4800000000000002</v>
      </c>
      <c r="GC848" s="15">
        <f>GB848*SQRT(AR848)</f>
        <v>2.5634351952019387</v>
      </c>
      <c r="GD848" s="15">
        <v>0.99898751265609187</v>
      </c>
      <c r="GE848" s="15">
        <f t="shared" ref="GE848:GE884" si="747">GA848-FX848</f>
        <v>-2.9999999999997584E-2</v>
      </c>
      <c r="GF848" s="15">
        <f t="shared" ref="GF848:GF884" si="748">LN(GA848)-LN(FX848)</f>
        <v>-1.01300025545914E-3</v>
      </c>
      <c r="GG848" s="15">
        <f>((GC848*GC848)/(AR848*GA848*GA848)+(FZ848*FZ848)/(AR848*FX848*FX848))</f>
        <v>5.000000000000001E-3</v>
      </c>
      <c r="HE848" s="15">
        <v>6660</v>
      </c>
      <c r="HF848" s="15">
        <f t="shared" si="740"/>
        <v>333</v>
      </c>
      <c r="HG848" s="15">
        <f>HF848*SQRT(AR848)</f>
        <v>576.77291892043615</v>
      </c>
      <c r="HH848" s="15">
        <v>6968</v>
      </c>
      <c r="HI848" s="15">
        <f t="shared" si="741"/>
        <v>348.40000000000003</v>
      </c>
      <c r="HJ848" s="15">
        <f>HI848*SQRT(AR848)</f>
        <v>603.44650135699692</v>
      </c>
      <c r="HK848" s="15">
        <f t="shared" si="719"/>
        <v>1.0462462462462463</v>
      </c>
      <c r="HL848" s="15">
        <f t="shared" si="720"/>
        <v>308</v>
      </c>
      <c r="HM848" s="15">
        <f t="shared" si="721"/>
        <v>4.5208754997904776E-2</v>
      </c>
      <c r="HN848" s="15">
        <f>((HJ848*HJ848)/(AR848*HH848*HH848)+(HG848*HG848)/(AR848*HE848*HE848))</f>
        <v>5.000000000000001E-3</v>
      </c>
      <c r="HP848" s="15" t="s">
        <v>766</v>
      </c>
      <c r="HV848" s="15">
        <f t="shared" si="722"/>
        <v>79.63059367962785</v>
      </c>
      <c r="HW848" s="15">
        <f t="shared" si="742"/>
        <v>4.5208754997904776E-2</v>
      </c>
      <c r="HX848" s="15">
        <f>BB848</f>
        <v>360</v>
      </c>
      <c r="HY848" s="15">
        <f>AZ848</f>
        <v>600</v>
      </c>
      <c r="HZ848" s="15">
        <f>BA848</f>
        <v>0.20477815699658702</v>
      </c>
      <c r="IA848" s="15">
        <f>BB848</f>
        <v>360</v>
      </c>
    </row>
    <row r="849" spans="1:235" s="15" customFormat="1" x14ac:dyDescent="0.25">
      <c r="A849" s="31">
        <v>847</v>
      </c>
      <c r="B849" s="43">
        <v>134</v>
      </c>
      <c r="C849" s="1">
        <v>157</v>
      </c>
      <c r="D849" s="15" t="s">
        <v>1930</v>
      </c>
      <c r="E849" s="31">
        <v>1</v>
      </c>
      <c r="F849" s="15" t="s">
        <v>761</v>
      </c>
      <c r="G849" s="15" t="s">
        <v>1852</v>
      </c>
      <c r="H849" s="15" t="s">
        <v>1853</v>
      </c>
      <c r="I849" s="31">
        <v>2015</v>
      </c>
      <c r="J849" s="15" t="s">
        <v>1855</v>
      </c>
      <c r="K849" s="1">
        <v>2014</v>
      </c>
      <c r="L849" s="15" t="s">
        <v>1021</v>
      </c>
      <c r="M849" s="15" t="s">
        <v>480</v>
      </c>
      <c r="N849" s="15" t="s">
        <v>23</v>
      </c>
      <c r="O849" s="31">
        <v>2</v>
      </c>
      <c r="P849" s="15">
        <v>26.789929999999998</v>
      </c>
      <c r="Q849" s="15">
        <v>114.90886999999999</v>
      </c>
      <c r="R849" s="15" t="s">
        <v>1889</v>
      </c>
      <c r="S849" s="15">
        <v>1726</v>
      </c>
      <c r="T849" s="15">
        <v>18.600000000000001</v>
      </c>
      <c r="U849" s="15" t="s">
        <v>1893</v>
      </c>
      <c r="V849" s="31">
        <v>1</v>
      </c>
      <c r="W849" s="16" t="s">
        <v>1158</v>
      </c>
      <c r="X849" s="15" t="s">
        <v>1907</v>
      </c>
      <c r="Y849" s="1">
        <v>1</v>
      </c>
      <c r="Z849" s="15">
        <v>5</v>
      </c>
      <c r="AA849" s="15" t="s">
        <v>573</v>
      </c>
      <c r="AB849" s="15">
        <f t="shared" si="725"/>
        <v>5</v>
      </c>
      <c r="AC849" s="1">
        <v>2</v>
      </c>
      <c r="AD849" s="15">
        <v>29.2</v>
      </c>
      <c r="AM849" s="1"/>
      <c r="AQ849" s="1"/>
      <c r="AR849" s="1">
        <v>3</v>
      </c>
      <c r="AS849" s="15">
        <v>9.5</v>
      </c>
      <c r="AW849" s="15">
        <v>750</v>
      </c>
      <c r="AX849" s="15">
        <f t="shared" si="735"/>
        <v>750</v>
      </c>
      <c r="AY849" s="15" t="s">
        <v>766</v>
      </c>
      <c r="AZ849" s="15">
        <f t="shared" si="706"/>
        <v>750</v>
      </c>
      <c r="BA849" s="15">
        <f t="shared" si="707"/>
        <v>0.25597269624573377</v>
      </c>
      <c r="BB849" s="15">
        <f t="shared" si="708"/>
        <v>450</v>
      </c>
      <c r="BP849" s="16"/>
      <c r="BQ849" s="16"/>
      <c r="BR849" s="16"/>
      <c r="BU849" s="16"/>
      <c r="EZ849" s="16"/>
      <c r="FA849" s="16"/>
      <c r="FB849" s="16"/>
      <c r="FC849" s="16"/>
      <c r="FD849" s="16"/>
      <c r="FE849" s="16"/>
      <c r="FF849" s="16"/>
      <c r="FG849" s="16"/>
      <c r="FH849" s="16"/>
      <c r="FI849" s="16"/>
      <c r="FJ849" s="16"/>
      <c r="FK849" s="16">
        <f t="shared" si="730"/>
        <v>4.96</v>
      </c>
      <c r="FL849" s="16">
        <f t="shared" si="731"/>
        <v>5.37</v>
      </c>
      <c r="FM849" s="15">
        <v>4.96</v>
      </c>
      <c r="FN849" s="15">
        <f t="shared" si="743"/>
        <v>0.496</v>
      </c>
      <c r="FO849" s="15">
        <f>FN849*SQRT(AR849)</f>
        <v>0.85909720055416305</v>
      </c>
      <c r="FP849" s="15">
        <v>5.37</v>
      </c>
      <c r="FQ849" s="15">
        <f t="shared" si="744"/>
        <v>0.53700000000000003</v>
      </c>
      <c r="FR849" s="15">
        <f>FQ849*SQRT(AR849)</f>
        <v>0.93011128366448714</v>
      </c>
      <c r="FS849" s="15">
        <f t="shared" si="732"/>
        <v>1.0826612903225807</v>
      </c>
      <c r="FT849" s="15">
        <f t="shared" si="733"/>
        <v>0.41000000000000014</v>
      </c>
      <c r="FU849" s="15">
        <f t="shared" si="734"/>
        <v>7.9422167783937292E-2</v>
      </c>
      <c r="FV849" s="15">
        <f>((FR849*FR849)/(AR849*FP849*FP849)+(FO849*FO849)/(AR849*FM849*FM849))</f>
        <v>1.9999999999999997E-2</v>
      </c>
      <c r="FX849" s="15">
        <v>29.63</v>
      </c>
      <c r="FY849" s="15">
        <f t="shared" si="745"/>
        <v>1.4815</v>
      </c>
      <c r="FZ849" s="15">
        <f>FY849*SQRT(AR849)</f>
        <v>2.5660332714132918</v>
      </c>
      <c r="GA849" s="15">
        <v>29.7</v>
      </c>
      <c r="GB849" s="15">
        <f t="shared" si="746"/>
        <v>1.4850000000000001</v>
      </c>
      <c r="GC849" s="15">
        <f>GB849*SQRT(AR849)</f>
        <v>2.5720954492397827</v>
      </c>
      <c r="GD849" s="15">
        <v>1.0023624704691192</v>
      </c>
      <c r="GE849" s="15">
        <f t="shared" si="747"/>
        <v>7.0000000000000284E-2</v>
      </c>
      <c r="GF849" s="15">
        <f t="shared" si="748"/>
        <v>2.3596842231801141E-3</v>
      </c>
      <c r="GG849" s="15">
        <f>((GC849*GC849)/(AR849*GA849*GA849)+(FZ849*FZ849)/(AR849*FX849*FX849))</f>
        <v>5.000000000000001E-3</v>
      </c>
      <c r="HE849" s="15">
        <v>6660</v>
      </c>
      <c r="HF849" s="15">
        <f t="shared" si="740"/>
        <v>333</v>
      </c>
      <c r="HG849" s="15">
        <f>HF849*SQRT(AR849)</f>
        <v>576.77291892043615</v>
      </c>
      <c r="HH849" s="15">
        <v>6954</v>
      </c>
      <c r="HI849" s="15">
        <f t="shared" si="741"/>
        <v>347.70000000000005</v>
      </c>
      <c r="HJ849" s="15">
        <f>HI849*SQRT(AR849)</f>
        <v>602.23406579169864</v>
      </c>
      <c r="HK849" s="15">
        <f t="shared" si="719"/>
        <v>1.0441441441441441</v>
      </c>
      <c r="HL849" s="15">
        <f t="shared" si="720"/>
        <v>294</v>
      </c>
      <c r="HM849" s="15">
        <f t="shared" si="721"/>
        <v>4.3197549033372695E-2</v>
      </c>
      <c r="HN849" s="15">
        <f>((HJ849*HJ849)/(AR849*HH849*HH849)+(HG849*HG849)/(AR849*HE849*HE849))</f>
        <v>5.0000000000000001E-3</v>
      </c>
      <c r="HP849" s="15" t="s">
        <v>766</v>
      </c>
      <c r="HV849" s="15">
        <f t="shared" si="722"/>
        <v>104.17257693309128</v>
      </c>
      <c r="HW849" s="15">
        <f t="shared" si="742"/>
        <v>4.3197549033372695E-2</v>
      </c>
      <c r="HX849" s="15">
        <f>BB849</f>
        <v>450</v>
      </c>
      <c r="HY849" s="15">
        <f>AZ849</f>
        <v>750</v>
      </c>
      <c r="HZ849" s="15">
        <f>BA849</f>
        <v>0.25597269624573377</v>
      </c>
      <c r="IA849" s="15">
        <f>BB849</f>
        <v>450</v>
      </c>
    </row>
    <row r="850" spans="1:235" s="15" customFormat="1" x14ac:dyDescent="0.25">
      <c r="A850" s="31">
        <v>848</v>
      </c>
      <c r="B850" s="43">
        <v>134</v>
      </c>
      <c r="C850" s="1">
        <v>157</v>
      </c>
      <c r="D850" s="15" t="s">
        <v>1932</v>
      </c>
      <c r="E850" s="31">
        <v>1</v>
      </c>
      <c r="F850" s="15" t="s">
        <v>761</v>
      </c>
      <c r="G850" s="15" t="s">
        <v>1852</v>
      </c>
      <c r="H850" s="15" t="s">
        <v>1853</v>
      </c>
      <c r="I850" s="31">
        <v>2015</v>
      </c>
      <c r="J850" s="15" t="s">
        <v>1855</v>
      </c>
      <c r="K850" s="1">
        <v>2014</v>
      </c>
      <c r="L850" s="15" t="s">
        <v>1021</v>
      </c>
      <c r="M850" s="15" t="s">
        <v>480</v>
      </c>
      <c r="N850" s="15" t="s">
        <v>23</v>
      </c>
      <c r="O850" s="31">
        <v>2</v>
      </c>
      <c r="P850" s="15">
        <v>26.789929999999998</v>
      </c>
      <c r="Q850" s="15">
        <v>114.90886999999999</v>
      </c>
      <c r="R850" s="15" t="s">
        <v>1889</v>
      </c>
      <c r="S850" s="15">
        <v>1726</v>
      </c>
      <c r="T850" s="15">
        <v>18.600000000000001</v>
      </c>
      <c r="U850" s="15" t="s">
        <v>1893</v>
      </c>
      <c r="V850" s="31">
        <v>1</v>
      </c>
      <c r="W850" s="16" t="s">
        <v>1158</v>
      </c>
      <c r="X850" s="15" t="s">
        <v>1907</v>
      </c>
      <c r="Y850" s="1">
        <v>1</v>
      </c>
      <c r="Z850" s="15">
        <v>5</v>
      </c>
      <c r="AA850" s="15" t="s">
        <v>573</v>
      </c>
      <c r="AB850" s="15">
        <f t="shared" si="725"/>
        <v>5</v>
      </c>
      <c r="AC850" s="1">
        <v>2</v>
      </c>
      <c r="AD850" s="15">
        <v>29.2</v>
      </c>
      <c r="AM850" s="1"/>
      <c r="AQ850" s="1"/>
      <c r="AR850" s="1">
        <v>3</v>
      </c>
      <c r="AS850" s="15">
        <v>9.5</v>
      </c>
      <c r="AW850" s="15">
        <v>900</v>
      </c>
      <c r="AX850" s="15">
        <f t="shared" si="735"/>
        <v>900</v>
      </c>
      <c r="AY850" s="15" t="s">
        <v>766</v>
      </c>
      <c r="AZ850" s="15">
        <f t="shared" si="706"/>
        <v>900</v>
      </c>
      <c r="BA850" s="15">
        <f t="shared" si="707"/>
        <v>0.30716723549488051</v>
      </c>
      <c r="BB850" s="15">
        <f t="shared" si="708"/>
        <v>540</v>
      </c>
      <c r="BP850" s="16"/>
      <c r="BQ850" s="16"/>
      <c r="BR850" s="16"/>
      <c r="BU850" s="16"/>
      <c r="EZ850" s="16"/>
      <c r="FA850" s="16"/>
      <c r="FB850" s="16"/>
      <c r="FC850" s="16"/>
      <c r="FD850" s="16"/>
      <c r="FE850" s="16"/>
      <c r="FF850" s="16"/>
      <c r="FG850" s="16"/>
      <c r="FH850" s="16"/>
      <c r="FI850" s="16"/>
      <c r="FJ850" s="16"/>
      <c r="FK850" s="16">
        <f t="shared" si="730"/>
        <v>4.96</v>
      </c>
      <c r="FL850" s="16">
        <f t="shared" si="731"/>
        <v>5.5</v>
      </c>
      <c r="FM850" s="15">
        <v>4.96</v>
      </c>
      <c r="FN850" s="15">
        <f t="shared" si="743"/>
        <v>0.496</v>
      </c>
      <c r="FO850" s="15">
        <f>FN850*SQRT(AR850)</f>
        <v>0.85909720055416305</v>
      </c>
      <c r="FP850" s="15">
        <v>5.5</v>
      </c>
      <c r="FQ850" s="15">
        <f t="shared" si="744"/>
        <v>0.55000000000000004</v>
      </c>
      <c r="FR850" s="15">
        <f>FQ850*SQRT(AR850)</f>
        <v>0.95262794416288255</v>
      </c>
      <c r="FS850" s="15">
        <f t="shared" si="732"/>
        <v>1.1088709677419355</v>
      </c>
      <c r="FT850" s="15">
        <f t="shared" si="733"/>
        <v>0.54</v>
      </c>
      <c r="FU850" s="15">
        <f t="shared" si="734"/>
        <v>0.10334235150158921</v>
      </c>
      <c r="FV850" s="15">
        <f>((FR850*FR850)/(AR850*FP850*FP850)+(FO850*FO850)/(AR850*FM850*FM850))</f>
        <v>1.9999999999999997E-2</v>
      </c>
      <c r="FX850" s="15">
        <v>29.63</v>
      </c>
      <c r="FY850" s="15">
        <f t="shared" si="745"/>
        <v>1.4815</v>
      </c>
      <c r="FZ850" s="15">
        <f>FY850*SQRT(AR850)</f>
        <v>2.5660332714132918</v>
      </c>
      <c r="GA850" s="15">
        <v>29.8</v>
      </c>
      <c r="GB850" s="15">
        <f t="shared" si="746"/>
        <v>1.4900000000000002</v>
      </c>
      <c r="GC850" s="15">
        <f>GB850*SQRT(AR850)</f>
        <v>2.5807557032776276</v>
      </c>
      <c r="GD850" s="15">
        <v>1.0057374282821465</v>
      </c>
      <c r="GE850" s="15">
        <f t="shared" si="747"/>
        <v>0.17000000000000171</v>
      </c>
      <c r="GF850" s="15">
        <f t="shared" si="748"/>
        <v>5.7210319258849118E-3</v>
      </c>
      <c r="GG850" s="15">
        <f>((GC850*GC850)/(AR850*GA850*GA850)+(FZ850*FZ850)/(AR850*FX850*FX850))</f>
        <v>5.000000000000001E-3</v>
      </c>
      <c r="HE850" s="15">
        <v>6660</v>
      </c>
      <c r="HF850" s="15">
        <f t="shared" si="740"/>
        <v>333</v>
      </c>
      <c r="HG850" s="15">
        <f>HF850*SQRT(AR850)</f>
        <v>576.77291892043615</v>
      </c>
      <c r="HH850" s="15">
        <v>6878</v>
      </c>
      <c r="HI850" s="15">
        <f t="shared" si="741"/>
        <v>343.90000000000003</v>
      </c>
      <c r="HJ850" s="15">
        <f>HI850*SQRT(AR850)</f>
        <v>595.65227272293691</v>
      </c>
      <c r="HK850" s="15">
        <f t="shared" si="719"/>
        <v>1.0327327327327327</v>
      </c>
      <c r="HL850" s="15">
        <f t="shared" si="720"/>
        <v>218</v>
      </c>
      <c r="HM850" s="15">
        <f t="shared" si="721"/>
        <v>3.2208427457776523E-2</v>
      </c>
      <c r="HN850" s="15">
        <f>((HJ850*HJ850)/(AR850*HH850*HH850)+(HG850*HG850)/(AR850*HE850*HE850))</f>
        <v>5.0000000000000001E-3</v>
      </c>
      <c r="HP850" s="15" t="s">
        <v>766</v>
      </c>
      <c r="HV850" s="15">
        <f t="shared" si="722"/>
        <v>167.65798352245241</v>
      </c>
      <c r="HW850" s="15">
        <f t="shared" si="742"/>
        <v>3.2208427457776523E-2</v>
      </c>
      <c r="HX850" s="15">
        <f>BB850</f>
        <v>540</v>
      </c>
      <c r="HY850" s="15">
        <f>AZ850</f>
        <v>900</v>
      </c>
      <c r="HZ850" s="15">
        <f>BA850</f>
        <v>0.30716723549488051</v>
      </c>
      <c r="IA850" s="15">
        <f>BB850</f>
        <v>540</v>
      </c>
    </row>
    <row r="851" spans="1:235" s="15" customFormat="1" x14ac:dyDescent="0.25">
      <c r="A851" s="31">
        <v>849</v>
      </c>
      <c r="B851" s="1">
        <v>135</v>
      </c>
      <c r="C851" s="1">
        <v>158</v>
      </c>
      <c r="D851" s="15" t="s">
        <v>1933</v>
      </c>
      <c r="E851" s="1">
        <v>4</v>
      </c>
      <c r="F851" s="15" t="s">
        <v>879</v>
      </c>
      <c r="G851" s="15" t="s">
        <v>1931</v>
      </c>
      <c r="H851" s="15" t="s">
        <v>1599</v>
      </c>
      <c r="I851" s="1">
        <v>2015</v>
      </c>
      <c r="J851" s="15" t="s">
        <v>1939</v>
      </c>
      <c r="K851" s="1" t="s">
        <v>1940</v>
      </c>
      <c r="L851" s="15" t="s">
        <v>1941</v>
      </c>
      <c r="M851" s="15" t="s">
        <v>480</v>
      </c>
      <c r="N851" s="15" t="s">
        <v>23</v>
      </c>
      <c r="O851" s="31">
        <v>2</v>
      </c>
      <c r="P851" s="15">
        <v>23.042000000000002</v>
      </c>
      <c r="Q851" s="15">
        <v>114.57</v>
      </c>
      <c r="R851" s="15" t="s">
        <v>532</v>
      </c>
      <c r="S851" s="15">
        <v>1850</v>
      </c>
      <c r="T851" s="15">
        <v>24</v>
      </c>
      <c r="U851" s="15" t="s">
        <v>1893</v>
      </c>
      <c r="V851" s="31">
        <v>1</v>
      </c>
      <c r="W851" s="16" t="s">
        <v>1179</v>
      </c>
      <c r="X851" s="15" t="s">
        <v>1942</v>
      </c>
      <c r="Y851" s="1">
        <v>3</v>
      </c>
      <c r="Z851" s="15">
        <v>5.57</v>
      </c>
      <c r="AA851" s="15" t="s">
        <v>573</v>
      </c>
      <c r="AB851" s="15">
        <f t="shared" si="725"/>
        <v>5.57</v>
      </c>
      <c r="AC851" s="1">
        <v>4</v>
      </c>
      <c r="AD851" s="15">
        <v>31.62</v>
      </c>
      <c r="AM851" s="1"/>
      <c r="AP851" s="15" t="s">
        <v>1943</v>
      </c>
      <c r="AQ851" s="1">
        <v>5</v>
      </c>
      <c r="AR851" s="1">
        <v>3</v>
      </c>
      <c r="BI851" s="15">
        <v>218.4</v>
      </c>
      <c r="BJ851" s="15">
        <v>21.8</v>
      </c>
      <c r="BK851" s="15">
        <v>7.3</v>
      </c>
      <c r="BL851" s="15">
        <v>15</v>
      </c>
      <c r="BP851" s="16"/>
      <c r="BQ851" s="16"/>
      <c r="BR851" s="16"/>
      <c r="BS851" s="15">
        <v>4500</v>
      </c>
      <c r="BT851" s="15">
        <f>BS851</f>
        <v>4500</v>
      </c>
      <c r="BU851" s="16" t="s">
        <v>766</v>
      </c>
      <c r="BY851" s="15">
        <f>BT851</f>
        <v>4500</v>
      </c>
      <c r="BZ851" s="15">
        <f>BY851/1.1/1000</f>
        <v>4.0909090909090908</v>
      </c>
      <c r="CA851" s="15">
        <f>BY851*2</f>
        <v>9000</v>
      </c>
      <c r="EZ851" s="16"/>
      <c r="FA851" s="16"/>
      <c r="FB851" s="16"/>
      <c r="FC851" s="16"/>
      <c r="FD851" s="16"/>
      <c r="FE851" s="16"/>
      <c r="FF851" s="16"/>
      <c r="FG851" s="16"/>
      <c r="FH851" s="16"/>
      <c r="FI851" s="16"/>
      <c r="FJ851" s="16"/>
      <c r="FK851" s="16">
        <f t="shared" si="730"/>
        <v>5.42</v>
      </c>
      <c r="FL851" s="16">
        <f t="shared" si="731"/>
        <v>5.66</v>
      </c>
      <c r="FM851" s="15">
        <v>5.42</v>
      </c>
      <c r="FN851" s="15">
        <f t="shared" ref="FN851:FN856" si="749">FM851*0.05</f>
        <v>0.27100000000000002</v>
      </c>
      <c r="FO851" s="15">
        <f>FN851*SQRT(AR851)</f>
        <v>0.46938576885116573</v>
      </c>
      <c r="FP851" s="15">
        <v>5.66</v>
      </c>
      <c r="FQ851" s="15">
        <f t="shared" ref="FQ851:FQ856" si="750">FP851*0.05</f>
        <v>0.28300000000000003</v>
      </c>
      <c r="FR851" s="15">
        <f>FQ851*SQRT(AR851)</f>
        <v>0.4901703785419923</v>
      </c>
      <c r="FS851" s="15">
        <f t="shared" si="732"/>
        <v>1.0442804428044281</v>
      </c>
      <c r="FT851" s="15">
        <f t="shared" si="733"/>
        <v>0.24000000000000021</v>
      </c>
      <c r="FU851" s="15">
        <f t="shared" si="734"/>
        <v>4.3328076763536671E-2</v>
      </c>
      <c r="FV851" s="15">
        <f>((FR851*FR851)/(AR851*FP851*FP851)+(FO851*FO851)/(AR851*FM851*FM851))</f>
        <v>5.000000000000001E-3</v>
      </c>
      <c r="FX851" s="15">
        <v>30.54</v>
      </c>
      <c r="FY851" s="15">
        <f t="shared" si="745"/>
        <v>1.5270000000000001</v>
      </c>
      <c r="FZ851" s="15">
        <f>FY851*SQRT(AR851)</f>
        <v>2.6448415831576759</v>
      </c>
      <c r="GA851" s="15">
        <v>32.1</v>
      </c>
      <c r="GB851" s="15">
        <f t="shared" si="746"/>
        <v>1.6050000000000002</v>
      </c>
      <c r="GC851" s="15">
        <f>GB851*SQRT(AR851)</f>
        <v>2.7799415461480481</v>
      </c>
      <c r="GD851" s="15">
        <f t="shared" ref="GD851:GD884" si="751">GA851/FX851</f>
        <v>1.0510805500982319</v>
      </c>
      <c r="GE851" s="15">
        <f t="shared" si="747"/>
        <v>1.5600000000000023</v>
      </c>
      <c r="GF851" s="15">
        <f t="shared" si="748"/>
        <v>4.9818730345483786E-2</v>
      </c>
      <c r="GG851" s="15">
        <f>((GC851*GC851)/(AR851*GA851*GA851)+(FZ851*FZ851)/(AR851*FX851*FX851))</f>
        <v>5.0000000000000001E-3</v>
      </c>
      <c r="HE851" s="15">
        <v>700.9</v>
      </c>
      <c r="HF851" s="15">
        <f t="shared" si="740"/>
        <v>35.045000000000002</v>
      </c>
      <c r="HG851" s="15">
        <f>HF851*SQRT(AR851)</f>
        <v>60.699720551251303</v>
      </c>
      <c r="HH851" s="15">
        <v>773.6</v>
      </c>
      <c r="HI851" s="15">
        <f t="shared" si="741"/>
        <v>38.680000000000007</v>
      </c>
      <c r="HJ851" s="15">
        <f>HI851*SQRT(AR851)</f>
        <v>66.995725236764187</v>
      </c>
      <c r="HK851" s="15">
        <f t="shared" si="719"/>
        <v>1.1037237837066629</v>
      </c>
      <c r="HL851" s="15">
        <f t="shared" si="720"/>
        <v>72.700000000000045</v>
      </c>
      <c r="HM851" s="15">
        <f t="shared" si="721"/>
        <v>9.8689720632805233E-2</v>
      </c>
      <c r="HN851" s="15">
        <f>((HJ851*HJ851)/(AR851*HH851*HH851)+(HG851*HG851)/(AR851*HE851*HE851))</f>
        <v>5.000000000000001E-3</v>
      </c>
      <c r="HP851" s="15" t="s">
        <v>766</v>
      </c>
      <c r="HV851" s="15">
        <f t="shared" si="722"/>
        <v>911.94908064298738</v>
      </c>
      <c r="HW851" s="15">
        <f t="shared" si="742"/>
        <v>9.8689720632805233E-2</v>
      </c>
      <c r="HX851" s="15">
        <f>CA851</f>
        <v>9000</v>
      </c>
      <c r="HY851" s="15">
        <f>BY851</f>
        <v>4500</v>
      </c>
      <c r="HZ851" s="15">
        <f>BZ851</f>
        <v>4.0909090909090908</v>
      </c>
      <c r="IA851" s="15">
        <f>CA851</f>
        <v>9000</v>
      </c>
    </row>
    <row r="852" spans="1:235" s="15" customFormat="1" x14ac:dyDescent="0.25">
      <c r="A852" s="31">
        <v>850</v>
      </c>
      <c r="B852" s="1">
        <v>135</v>
      </c>
      <c r="C852" s="1">
        <v>158</v>
      </c>
      <c r="D852" s="15" t="s">
        <v>1934</v>
      </c>
      <c r="E852" s="1">
        <v>4</v>
      </c>
      <c r="F852" s="15" t="s">
        <v>879</v>
      </c>
      <c r="G852" s="15" t="s">
        <v>1931</v>
      </c>
      <c r="H852" s="15" t="s">
        <v>1599</v>
      </c>
      <c r="I852" s="1">
        <v>2015</v>
      </c>
      <c r="J852" s="15" t="s">
        <v>1939</v>
      </c>
      <c r="K852" s="1" t="s">
        <v>1940</v>
      </c>
      <c r="L852" s="15" t="s">
        <v>1941</v>
      </c>
      <c r="M852" s="15" t="s">
        <v>480</v>
      </c>
      <c r="N852" s="15" t="s">
        <v>23</v>
      </c>
      <c r="O852" s="31">
        <v>2</v>
      </c>
      <c r="P852" s="15">
        <v>23.042000000000002</v>
      </c>
      <c r="Q852" s="15">
        <v>114.57</v>
      </c>
      <c r="R852" s="15" t="s">
        <v>532</v>
      </c>
      <c r="S852" s="15">
        <v>1850</v>
      </c>
      <c r="T852" s="15">
        <v>24</v>
      </c>
      <c r="U852" s="15" t="s">
        <v>1893</v>
      </c>
      <c r="V852" s="31">
        <v>1</v>
      </c>
      <c r="W852" s="16" t="s">
        <v>1179</v>
      </c>
      <c r="X852" s="15" t="s">
        <v>1942</v>
      </c>
      <c r="Y852" s="1">
        <v>3</v>
      </c>
      <c r="Z852" s="15">
        <v>5.57</v>
      </c>
      <c r="AA852" s="15" t="s">
        <v>573</v>
      </c>
      <c r="AB852" s="15">
        <f t="shared" si="725"/>
        <v>5.57</v>
      </c>
      <c r="AC852" s="1">
        <v>4</v>
      </c>
      <c r="AD852" s="15">
        <v>31.62</v>
      </c>
      <c r="AM852" s="1"/>
      <c r="AP852" s="15" t="s">
        <v>1943</v>
      </c>
      <c r="AQ852" s="1">
        <v>5</v>
      </c>
      <c r="AR852" s="1">
        <v>3</v>
      </c>
      <c r="BI852" s="15">
        <v>218.4</v>
      </c>
      <c r="BJ852" s="15">
        <v>21.8</v>
      </c>
      <c r="BK852" s="15">
        <v>7.3</v>
      </c>
      <c r="BL852" s="15">
        <v>15</v>
      </c>
      <c r="BP852" s="16"/>
      <c r="BQ852" s="16"/>
      <c r="BR852" s="16"/>
      <c r="BS852" s="15">
        <v>9000</v>
      </c>
      <c r="BT852" s="15">
        <f>BS852</f>
        <v>9000</v>
      </c>
      <c r="BU852" s="16" t="s">
        <v>766</v>
      </c>
      <c r="BY852" s="15">
        <f>BT852</f>
        <v>9000</v>
      </c>
      <c r="BZ852" s="15">
        <f>BY852/1.1/1000</f>
        <v>8.1818181818181817</v>
      </c>
      <c r="CA852" s="15">
        <f>BY852*2</f>
        <v>18000</v>
      </c>
      <c r="EZ852" s="16"/>
      <c r="FA852" s="16"/>
      <c r="FB852" s="16"/>
      <c r="FC852" s="16"/>
      <c r="FD852" s="16"/>
      <c r="FE852" s="16"/>
      <c r="FF852" s="16"/>
      <c r="FG852" s="16"/>
      <c r="FH852" s="16"/>
      <c r="FI852" s="16"/>
      <c r="FJ852" s="16"/>
      <c r="FK852" s="16">
        <f t="shared" si="730"/>
        <v>5.42</v>
      </c>
      <c r="FL852" s="16">
        <f t="shared" si="731"/>
        <v>5.75</v>
      </c>
      <c r="FM852" s="15">
        <v>5.42</v>
      </c>
      <c r="FN852" s="15">
        <f t="shared" si="749"/>
        <v>0.27100000000000002</v>
      </c>
      <c r="FO852" s="15">
        <f>FN852*SQRT(AR852)</f>
        <v>0.46938576885116573</v>
      </c>
      <c r="FP852" s="15">
        <v>5.75</v>
      </c>
      <c r="FQ852" s="15">
        <f t="shared" si="750"/>
        <v>0.28750000000000003</v>
      </c>
      <c r="FR852" s="15">
        <f>FQ852*SQRT(AR852)</f>
        <v>0.49796460717605223</v>
      </c>
      <c r="FS852" s="15">
        <f t="shared" si="732"/>
        <v>1.0608856088560885</v>
      </c>
      <c r="FT852" s="15">
        <f t="shared" si="733"/>
        <v>0.33000000000000007</v>
      </c>
      <c r="FU852" s="15">
        <f t="shared" si="734"/>
        <v>5.9104039357704252E-2</v>
      </c>
      <c r="FV852" s="15">
        <f>((FR852*FR852)/(AR852*FP852*FP852)+(FO852*FO852)/(AR852*FM852*FM852))</f>
        <v>5.000000000000001E-3</v>
      </c>
      <c r="FX852" s="15">
        <v>30.54</v>
      </c>
      <c r="FY852" s="15">
        <f t="shared" si="745"/>
        <v>1.5270000000000001</v>
      </c>
      <c r="FZ852" s="15">
        <f>FY852*SQRT(AR852)</f>
        <v>2.6448415831576759</v>
      </c>
      <c r="GA852" s="15">
        <v>33.53</v>
      </c>
      <c r="GB852" s="15">
        <f t="shared" si="746"/>
        <v>1.6765000000000001</v>
      </c>
      <c r="GC852" s="15">
        <f>GB852*SQRT(AR852)</f>
        <v>2.9037831788892228</v>
      </c>
      <c r="GD852" s="15">
        <f t="shared" si="751"/>
        <v>1.0979043876882777</v>
      </c>
      <c r="GE852" s="15">
        <f t="shared" si="747"/>
        <v>2.990000000000002</v>
      </c>
      <c r="GF852" s="15">
        <f t="shared" si="748"/>
        <v>9.340326068765048E-2</v>
      </c>
      <c r="GG852" s="15">
        <f>((GC852*GC852)/(AR852*GA852*GA852)+(FZ852*FZ852)/(AR852*FX852*FX852))</f>
        <v>5.0000000000000001E-3</v>
      </c>
      <c r="HE852" s="15">
        <v>700.9</v>
      </c>
      <c r="HF852" s="15">
        <f t="shared" si="740"/>
        <v>35.045000000000002</v>
      </c>
      <c r="HG852" s="15">
        <f>HF852*SQRT(AR852)</f>
        <v>60.699720551251303</v>
      </c>
      <c r="HH852" s="15">
        <v>847.8</v>
      </c>
      <c r="HI852" s="15">
        <f t="shared" si="741"/>
        <v>42.39</v>
      </c>
      <c r="HJ852" s="15">
        <f>HI852*SQRT(AR852)</f>
        <v>73.421633732844711</v>
      </c>
      <c r="HK852" s="15">
        <f t="shared" si="719"/>
        <v>1.2095876729918675</v>
      </c>
      <c r="HL852" s="15">
        <f t="shared" si="720"/>
        <v>146.89999999999998</v>
      </c>
      <c r="HM852" s="15">
        <f t="shared" si="721"/>
        <v>0.19027953541225706</v>
      </c>
      <c r="HN852" s="15">
        <f>((HJ852*HJ852)/(AR852*HH852*HH852)+(HG852*HG852)/(AR852*HE852*HE852))</f>
        <v>5.000000000000001E-3</v>
      </c>
      <c r="HP852" s="15" t="s">
        <v>766</v>
      </c>
      <c r="HV852" s="15">
        <f t="shared" si="722"/>
        <v>945.97666328128469</v>
      </c>
      <c r="HW852" s="15">
        <f t="shared" si="742"/>
        <v>0.19027953541225706</v>
      </c>
      <c r="HX852" s="15">
        <f>CA852</f>
        <v>18000</v>
      </c>
      <c r="HY852" s="15">
        <f>BY852</f>
        <v>9000</v>
      </c>
      <c r="HZ852" s="15">
        <f>BZ852</f>
        <v>8.1818181818181817</v>
      </c>
      <c r="IA852" s="15">
        <f>CA852</f>
        <v>18000</v>
      </c>
    </row>
    <row r="853" spans="1:235" s="15" customFormat="1" x14ac:dyDescent="0.25">
      <c r="A853" s="31">
        <v>851</v>
      </c>
      <c r="B853" s="1">
        <v>135</v>
      </c>
      <c r="C853" s="1">
        <v>158</v>
      </c>
      <c r="D853" s="15" t="s">
        <v>1935</v>
      </c>
      <c r="E853" s="1">
        <v>5</v>
      </c>
      <c r="F853" s="15" t="s">
        <v>798</v>
      </c>
      <c r="G853" s="15" t="s">
        <v>1931</v>
      </c>
      <c r="H853" s="15" t="s">
        <v>1599</v>
      </c>
      <c r="I853" s="1">
        <v>2015</v>
      </c>
      <c r="J853" s="15" t="s">
        <v>1939</v>
      </c>
      <c r="K853" s="1" t="s">
        <v>1940</v>
      </c>
      <c r="L853" s="15" t="s">
        <v>1941</v>
      </c>
      <c r="M853" s="15" t="s">
        <v>480</v>
      </c>
      <c r="N853" s="15" t="s">
        <v>23</v>
      </c>
      <c r="O853" s="31">
        <v>2</v>
      </c>
      <c r="P853" s="15">
        <v>23.042000000000002</v>
      </c>
      <c r="Q853" s="15">
        <v>114.57</v>
      </c>
      <c r="R853" s="15" t="s">
        <v>532</v>
      </c>
      <c r="S853" s="15">
        <v>1850</v>
      </c>
      <c r="T853" s="15">
        <v>24</v>
      </c>
      <c r="U853" s="15" t="s">
        <v>1893</v>
      </c>
      <c r="V853" s="31">
        <v>1</v>
      </c>
      <c r="W853" s="16" t="s">
        <v>1179</v>
      </c>
      <c r="X853" s="15" t="s">
        <v>1942</v>
      </c>
      <c r="Y853" s="1">
        <v>3</v>
      </c>
      <c r="Z853" s="15">
        <v>5.57</v>
      </c>
      <c r="AA853" s="15" t="s">
        <v>573</v>
      </c>
      <c r="AB853" s="15">
        <f t="shared" si="725"/>
        <v>5.57</v>
      </c>
      <c r="AC853" s="1">
        <v>4</v>
      </c>
      <c r="AD853" s="15">
        <v>31.62</v>
      </c>
      <c r="AM853" s="1"/>
      <c r="AP853" s="15" t="s">
        <v>1943</v>
      </c>
      <c r="AQ853" s="1">
        <v>5</v>
      </c>
      <c r="AR853" s="1">
        <v>3</v>
      </c>
      <c r="BP853" s="16"/>
      <c r="BQ853" s="16"/>
      <c r="BR853" s="16"/>
      <c r="BU853" s="16"/>
      <c r="DB853" s="15" t="s">
        <v>1944</v>
      </c>
      <c r="DD853" s="15">
        <f>1029*15/2</f>
        <v>7717.5</v>
      </c>
      <c r="DE853" s="15">
        <f t="shared" ref="DE853:DE862" si="752">DD853</f>
        <v>7717.5</v>
      </c>
      <c r="DF853" s="15" t="s">
        <v>766</v>
      </c>
      <c r="DS853" s="15">
        <f>DE853</f>
        <v>7717.5</v>
      </c>
      <c r="DT853" s="15">
        <f t="shared" ref="DT853:DT862" si="753">DS853/0.6/1000</f>
        <v>12.862500000000001</v>
      </c>
      <c r="DU853" s="15">
        <f t="shared" ref="DU853:DU862" si="754">DS853*0.2</f>
        <v>1543.5</v>
      </c>
      <c r="EZ853" s="16"/>
      <c r="FA853" s="16"/>
      <c r="FB853" s="16"/>
      <c r="FC853" s="16"/>
      <c r="FD853" s="16"/>
      <c r="FE853" s="16"/>
      <c r="FF853" s="16"/>
      <c r="FG853" s="16"/>
      <c r="FH853" s="16"/>
      <c r="FI853" s="16"/>
      <c r="FJ853" s="16"/>
      <c r="FK853" s="16">
        <f t="shared" si="730"/>
        <v>5.42</v>
      </c>
      <c r="FL853" s="16">
        <f t="shared" si="731"/>
        <v>5.73</v>
      </c>
      <c r="FM853" s="15">
        <v>5.42</v>
      </c>
      <c r="FN853" s="15">
        <f t="shared" si="749"/>
        <v>0.27100000000000002</v>
      </c>
      <c r="FO853" s="15">
        <f>FN853*SQRT(AR853)</f>
        <v>0.46938576885116573</v>
      </c>
      <c r="FP853" s="15">
        <v>5.73</v>
      </c>
      <c r="FQ853" s="15">
        <f t="shared" si="750"/>
        <v>0.28650000000000003</v>
      </c>
      <c r="FR853" s="15">
        <f>FQ853*SQRT(AR853)</f>
        <v>0.49623255636848335</v>
      </c>
      <c r="FS853" s="15">
        <f t="shared" si="732"/>
        <v>1.0571955719557196</v>
      </c>
      <c r="FT853" s="15">
        <f t="shared" si="733"/>
        <v>0.3100000000000005</v>
      </c>
      <c r="FU853" s="15">
        <f t="shared" si="734"/>
        <v>5.5619715275093462E-2</v>
      </c>
      <c r="FV853" s="15">
        <f>((FR853*FR853)/(AR853*FP853*FP853)+(FO853*FO853)/(AR853*FM853*FM853))</f>
        <v>5.0000000000000001E-3</v>
      </c>
      <c r="FX853" s="15">
        <v>30.54</v>
      </c>
      <c r="FY853" s="15">
        <f t="shared" si="745"/>
        <v>1.5270000000000001</v>
      </c>
      <c r="FZ853" s="15">
        <f>FY853*SQRT(AR853)</f>
        <v>2.6448415831576759</v>
      </c>
      <c r="GA853" s="15">
        <v>32.33</v>
      </c>
      <c r="GB853" s="15">
        <f t="shared" si="746"/>
        <v>1.6165</v>
      </c>
      <c r="GC853" s="15">
        <f>GB853*SQRT(AR853)</f>
        <v>2.7998601304350901</v>
      </c>
      <c r="GD853" s="15">
        <f t="shared" si="751"/>
        <v>1.058611656843484</v>
      </c>
      <c r="GE853" s="15">
        <f t="shared" si="747"/>
        <v>1.7899999999999991</v>
      </c>
      <c r="GF853" s="15">
        <f t="shared" si="748"/>
        <v>5.6958291946854978E-2</v>
      </c>
      <c r="GG853" s="15">
        <f>((GC853*GC853)/(AR853*GA853*GA853)+(FZ853*FZ853)/(AR853*FX853*FX853))</f>
        <v>5.000000000000001E-3</v>
      </c>
      <c r="HE853" s="15">
        <v>700.9</v>
      </c>
      <c r="HF853" s="15">
        <f t="shared" si="740"/>
        <v>35.045000000000002</v>
      </c>
      <c r="HG853" s="15">
        <f>HF853*SQRT(AR853)</f>
        <v>60.699720551251303</v>
      </c>
      <c r="HH853" s="15">
        <v>753.8</v>
      </c>
      <c r="HI853" s="15">
        <f t="shared" si="741"/>
        <v>37.69</v>
      </c>
      <c r="HJ853" s="15">
        <f>HI853*SQRT(AR853)</f>
        <v>65.280994937270975</v>
      </c>
      <c r="HK853" s="15">
        <f t="shared" si="719"/>
        <v>1.0754743900699102</v>
      </c>
      <c r="HL853" s="15">
        <f t="shared" si="720"/>
        <v>52.899999999999977</v>
      </c>
      <c r="HM853" s="15">
        <f t="shared" si="721"/>
        <v>7.2761857326756108E-2</v>
      </c>
      <c r="HN853" s="15">
        <f>((HJ853*HJ853)/(AR853*HH853*HH853)+(HG853*HG853)/(AR853*HE853*HE853))</f>
        <v>5.0000000000000001E-3</v>
      </c>
      <c r="HP853" s="15" t="s">
        <v>766</v>
      </c>
      <c r="HV853" s="15">
        <f t="shared" si="722"/>
        <v>212.13037389473314</v>
      </c>
      <c r="HW853" s="15">
        <f t="shared" si="742"/>
        <v>7.2761857326756108E-2</v>
      </c>
      <c r="HX853" s="15">
        <f>DU853</f>
        <v>1543.5</v>
      </c>
      <c r="HY853" s="15">
        <f t="shared" ref="HY853:IA854" si="755">DS853</f>
        <v>7717.5</v>
      </c>
      <c r="HZ853" s="15">
        <f t="shared" si="755"/>
        <v>12.862500000000001</v>
      </c>
      <c r="IA853" s="15">
        <f t="shared" si="755"/>
        <v>1543.5</v>
      </c>
    </row>
    <row r="854" spans="1:235" s="15" customFormat="1" x14ac:dyDescent="0.25">
      <c r="A854" s="31">
        <v>852</v>
      </c>
      <c r="B854" s="1">
        <v>135</v>
      </c>
      <c r="C854" s="1">
        <v>158</v>
      </c>
      <c r="D854" s="15" t="s">
        <v>1936</v>
      </c>
      <c r="E854" s="1">
        <v>5</v>
      </c>
      <c r="F854" s="15" t="s">
        <v>798</v>
      </c>
      <c r="G854" s="15" t="s">
        <v>1931</v>
      </c>
      <c r="H854" s="15" t="s">
        <v>1599</v>
      </c>
      <c r="I854" s="1">
        <v>2015</v>
      </c>
      <c r="J854" s="15" t="s">
        <v>1939</v>
      </c>
      <c r="K854" s="1" t="s">
        <v>1940</v>
      </c>
      <c r="L854" s="15" t="s">
        <v>1941</v>
      </c>
      <c r="M854" s="15" t="s">
        <v>480</v>
      </c>
      <c r="N854" s="15" t="s">
        <v>23</v>
      </c>
      <c r="O854" s="31">
        <v>2</v>
      </c>
      <c r="P854" s="15">
        <v>23.042000000000002</v>
      </c>
      <c r="Q854" s="15">
        <v>114.57</v>
      </c>
      <c r="R854" s="15" t="s">
        <v>532</v>
      </c>
      <c r="S854" s="15">
        <v>1850</v>
      </c>
      <c r="T854" s="15">
        <v>24</v>
      </c>
      <c r="U854" s="15" t="s">
        <v>1893</v>
      </c>
      <c r="V854" s="31">
        <v>1</v>
      </c>
      <c r="W854" s="16" t="s">
        <v>1179</v>
      </c>
      <c r="X854" s="15" t="s">
        <v>1942</v>
      </c>
      <c r="Y854" s="1">
        <v>3</v>
      </c>
      <c r="Z854" s="15">
        <v>5.57</v>
      </c>
      <c r="AA854" s="15" t="s">
        <v>573</v>
      </c>
      <c r="AB854" s="15">
        <f t="shared" si="725"/>
        <v>5.57</v>
      </c>
      <c r="AC854" s="1">
        <v>4</v>
      </c>
      <c r="AD854" s="15">
        <v>31.62</v>
      </c>
      <c r="AM854" s="1"/>
      <c r="AP854" s="15" t="s">
        <v>1943</v>
      </c>
      <c r="AQ854" s="1">
        <v>5</v>
      </c>
      <c r="AR854" s="1">
        <v>3</v>
      </c>
      <c r="BP854" s="16"/>
      <c r="BQ854" s="16"/>
      <c r="BR854" s="16"/>
      <c r="BU854" s="16"/>
      <c r="DB854" s="15" t="s">
        <v>1944</v>
      </c>
      <c r="DD854" s="15">
        <f>1029*15</f>
        <v>15435</v>
      </c>
      <c r="DE854" s="15">
        <f t="shared" si="752"/>
        <v>15435</v>
      </c>
      <c r="DF854" s="15" t="s">
        <v>766</v>
      </c>
      <c r="DS854" s="15">
        <f>DE854</f>
        <v>15435</v>
      </c>
      <c r="DT854" s="15">
        <f t="shared" si="753"/>
        <v>25.725000000000001</v>
      </c>
      <c r="DU854" s="15">
        <f t="shared" si="754"/>
        <v>3087</v>
      </c>
      <c r="EZ854" s="16"/>
      <c r="FA854" s="16"/>
      <c r="FB854" s="16"/>
      <c r="FC854" s="16"/>
      <c r="FD854" s="16"/>
      <c r="FE854" s="16"/>
      <c r="FF854" s="16"/>
      <c r="FG854" s="16"/>
      <c r="FH854" s="16"/>
      <c r="FI854" s="16"/>
      <c r="FJ854" s="16"/>
      <c r="FK854" s="16">
        <f t="shared" si="730"/>
        <v>5.42</v>
      </c>
      <c r="FL854" s="16">
        <f t="shared" si="731"/>
        <v>5.77</v>
      </c>
      <c r="FM854" s="15">
        <v>5.42</v>
      </c>
      <c r="FN854" s="15">
        <f t="shared" si="749"/>
        <v>0.27100000000000002</v>
      </c>
      <c r="FO854" s="15">
        <f>FN854*SQRT(AR854)</f>
        <v>0.46938576885116573</v>
      </c>
      <c r="FP854" s="15">
        <v>5.77</v>
      </c>
      <c r="FQ854" s="15">
        <f t="shared" si="750"/>
        <v>0.28849999999999998</v>
      </c>
      <c r="FR854" s="15">
        <f>FQ854*SQRT(AR854)</f>
        <v>0.49969665798362101</v>
      </c>
      <c r="FS854" s="15">
        <f t="shared" si="732"/>
        <v>1.0645756457564575</v>
      </c>
      <c r="FT854" s="15">
        <f t="shared" si="733"/>
        <v>0.34999999999999964</v>
      </c>
      <c r="FU854" s="15">
        <f t="shared" si="734"/>
        <v>6.2576265068453374E-2</v>
      </c>
      <c r="FV854" s="15">
        <f>((FR854*FR854)/(AR854*FP854*FP854)+(FO854*FO854)/(AR854*FM854*FM854))</f>
        <v>5.0000000000000001E-3</v>
      </c>
      <c r="FX854" s="15">
        <v>30.54</v>
      </c>
      <c r="FY854" s="15">
        <f t="shared" si="745"/>
        <v>1.5270000000000001</v>
      </c>
      <c r="FZ854" s="15">
        <f>FY854*SQRT(AR854)</f>
        <v>2.6448415831576759</v>
      </c>
      <c r="GA854" s="15">
        <v>32.909999999999997</v>
      </c>
      <c r="GB854" s="15">
        <f t="shared" si="746"/>
        <v>1.6455</v>
      </c>
      <c r="GC854" s="15">
        <f>GB854*SQRT(AR854)</f>
        <v>2.8500896038545873</v>
      </c>
      <c r="GD854" s="15">
        <f t="shared" si="751"/>
        <v>1.0776031434184674</v>
      </c>
      <c r="GE854" s="15">
        <f t="shared" si="747"/>
        <v>2.3699999999999974</v>
      </c>
      <c r="GF854" s="15">
        <f t="shared" si="748"/>
        <v>7.4739263164762093E-2</v>
      </c>
      <c r="GG854" s="15">
        <f>((GC854*GC854)/(AR854*GA854*GA854)+(FZ854*FZ854)/(AR854*FX854*FX854))</f>
        <v>5.000000000000001E-3</v>
      </c>
      <c r="HE854" s="15">
        <v>700.9</v>
      </c>
      <c r="HF854" s="15">
        <f t="shared" si="740"/>
        <v>35.045000000000002</v>
      </c>
      <c r="HG854" s="15">
        <f>HF854*SQRT(AR854)</f>
        <v>60.699720551251303</v>
      </c>
      <c r="HH854" s="15">
        <v>783.7</v>
      </c>
      <c r="HI854" s="15">
        <f t="shared" si="741"/>
        <v>39.185000000000002</v>
      </c>
      <c r="HJ854" s="15">
        <f>HI854*SQRT(AR854)</f>
        <v>67.870410894586456</v>
      </c>
      <c r="HK854" s="15">
        <f t="shared" si="719"/>
        <v>1.1181338279355115</v>
      </c>
      <c r="HL854" s="15">
        <f t="shared" si="720"/>
        <v>82.800000000000068</v>
      </c>
      <c r="HM854" s="15">
        <f t="shared" si="721"/>
        <v>0.1116610705525396</v>
      </c>
      <c r="HN854" s="15">
        <f>((HJ854*HJ854)/(AR854*HH854*HH854)+(HG854*HG854)/(AR854*HE854*HE854))</f>
        <v>4.9999999999999992E-3</v>
      </c>
      <c r="HP854" s="15" t="s">
        <v>766</v>
      </c>
      <c r="HV854" s="15">
        <f t="shared" si="722"/>
        <v>276.4616159172038</v>
      </c>
      <c r="HW854" s="15">
        <f t="shared" si="742"/>
        <v>0.1116610705525396</v>
      </c>
      <c r="HX854" s="15">
        <f>DU854</f>
        <v>3087</v>
      </c>
      <c r="HY854" s="15">
        <f t="shared" si="755"/>
        <v>15435</v>
      </c>
      <c r="HZ854" s="15">
        <f t="shared" si="755"/>
        <v>25.725000000000001</v>
      </c>
      <c r="IA854" s="15">
        <f t="shared" si="755"/>
        <v>3087</v>
      </c>
    </row>
    <row r="855" spans="1:235" s="15" customFormat="1" x14ac:dyDescent="0.25">
      <c r="A855" s="31">
        <v>853</v>
      </c>
      <c r="B855" s="1">
        <v>135</v>
      </c>
      <c r="C855" s="1">
        <v>158</v>
      </c>
      <c r="D855" s="15" t="s">
        <v>1937</v>
      </c>
      <c r="E855" s="1">
        <v>6</v>
      </c>
      <c r="F855" s="15" t="s">
        <v>1938</v>
      </c>
      <c r="G855" s="15" t="s">
        <v>1931</v>
      </c>
      <c r="H855" s="15" t="s">
        <v>1599</v>
      </c>
      <c r="I855" s="1">
        <v>2015</v>
      </c>
      <c r="J855" s="15" t="s">
        <v>1939</v>
      </c>
      <c r="K855" s="1" t="s">
        <v>1940</v>
      </c>
      <c r="L855" s="15" t="s">
        <v>1941</v>
      </c>
      <c r="M855" s="15" t="s">
        <v>480</v>
      </c>
      <c r="N855" s="15" t="s">
        <v>23</v>
      </c>
      <c r="O855" s="31">
        <v>2</v>
      </c>
      <c r="P855" s="15">
        <v>23.042000000000002</v>
      </c>
      <c r="Q855" s="15">
        <v>114.57</v>
      </c>
      <c r="R855" s="15" t="s">
        <v>532</v>
      </c>
      <c r="S855" s="15">
        <v>1850</v>
      </c>
      <c r="T855" s="15">
        <v>24</v>
      </c>
      <c r="U855" s="15" t="s">
        <v>1893</v>
      </c>
      <c r="V855" s="31">
        <v>1</v>
      </c>
      <c r="W855" s="16" t="s">
        <v>1179</v>
      </c>
      <c r="X855" s="15" t="s">
        <v>1942</v>
      </c>
      <c r="Y855" s="1">
        <v>3</v>
      </c>
      <c r="Z855" s="15">
        <v>5.57</v>
      </c>
      <c r="AA855" s="15" t="s">
        <v>573</v>
      </c>
      <c r="AB855" s="15">
        <f t="shared" si="725"/>
        <v>5.57</v>
      </c>
      <c r="AC855" s="1">
        <v>4</v>
      </c>
      <c r="AD855" s="15">
        <v>31.62</v>
      </c>
      <c r="AM855" s="1"/>
      <c r="AP855" s="15" t="s">
        <v>1943</v>
      </c>
      <c r="AQ855" s="1">
        <v>5</v>
      </c>
      <c r="AR855" s="1">
        <v>3</v>
      </c>
      <c r="BI855" s="15">
        <v>218.4</v>
      </c>
      <c r="BJ855" s="15">
        <v>21.8</v>
      </c>
      <c r="BK855" s="15">
        <v>7.3</v>
      </c>
      <c r="BL855" s="15">
        <v>15</v>
      </c>
      <c r="BP855" s="16"/>
      <c r="BQ855" s="16"/>
      <c r="BR855" s="16"/>
      <c r="BS855" s="15">
        <v>4500</v>
      </c>
      <c r="BT855" s="15">
        <f>BS855</f>
        <v>4500</v>
      </c>
      <c r="BU855" s="16" t="s">
        <v>766</v>
      </c>
      <c r="BY855" s="15">
        <f>BT855</f>
        <v>4500</v>
      </c>
      <c r="BZ855" s="15">
        <f>BY855/1.1/1000</f>
        <v>4.0909090909090908</v>
      </c>
      <c r="CA855" s="15">
        <f>BY855*2</f>
        <v>9000</v>
      </c>
      <c r="DB855" s="15" t="s">
        <v>1944</v>
      </c>
      <c r="DD855" s="15">
        <f>1029*15/2</f>
        <v>7717.5</v>
      </c>
      <c r="DE855" s="15">
        <f t="shared" si="752"/>
        <v>7717.5</v>
      </c>
      <c r="DF855" s="15" t="s">
        <v>766</v>
      </c>
      <c r="DS855" s="15">
        <f>DE855</f>
        <v>7717.5</v>
      </c>
      <c r="DT855" s="15">
        <f t="shared" si="753"/>
        <v>12.862500000000001</v>
      </c>
      <c r="DU855" s="15">
        <f t="shared" si="754"/>
        <v>1543.5</v>
      </c>
      <c r="EW855" s="46">
        <f>AX855+BT855+CF855+DE855+DY855</f>
        <v>12217.5</v>
      </c>
      <c r="EX855" s="46">
        <f>BA855+BZ855+CZ855+DT855+ET855</f>
        <v>16.953409090909091</v>
      </c>
      <c r="EY855" s="46">
        <f>BB855+CA855+DA855+DU855+EU855</f>
        <v>10543.5</v>
      </c>
      <c r="EZ855" s="16"/>
      <c r="FA855" s="16"/>
      <c r="FB855" s="16"/>
      <c r="FC855" s="16"/>
      <c r="FD855" s="16"/>
      <c r="FE855" s="16"/>
      <c r="FF855" s="16"/>
      <c r="FG855" s="16"/>
      <c r="FH855" s="16"/>
      <c r="FI855" s="16"/>
      <c r="FJ855" s="16"/>
      <c r="FK855" s="16">
        <f t="shared" si="730"/>
        <v>5.42</v>
      </c>
      <c r="FL855" s="16">
        <f t="shared" si="731"/>
        <v>5.76</v>
      </c>
      <c r="FM855" s="15">
        <v>5.42</v>
      </c>
      <c r="FN855" s="15">
        <f t="shared" si="749"/>
        <v>0.27100000000000002</v>
      </c>
      <c r="FO855" s="15">
        <f>FN855*SQRT(AR855)</f>
        <v>0.46938576885116573</v>
      </c>
      <c r="FP855" s="15">
        <v>5.76</v>
      </c>
      <c r="FQ855" s="15">
        <f t="shared" si="750"/>
        <v>0.28799999999999998</v>
      </c>
      <c r="FR855" s="15">
        <f>FQ855*SQRT(AR855)</f>
        <v>0.49883063257983662</v>
      </c>
      <c r="FS855" s="15">
        <f t="shared" si="732"/>
        <v>1.0627306273062731</v>
      </c>
      <c r="FT855" s="15">
        <f t="shared" si="733"/>
        <v>0.33999999999999986</v>
      </c>
      <c r="FU855" s="15">
        <f t="shared" si="734"/>
        <v>6.0841659256245073E-2</v>
      </c>
      <c r="FV855" s="15">
        <f>((FR855*FR855)/(AR855*FP855*FP855)+(FO855*FO855)/(AR855*FM855*FM855))</f>
        <v>5.0000000000000001E-3</v>
      </c>
      <c r="FX855" s="15">
        <v>30.54</v>
      </c>
      <c r="FY855" s="15">
        <f t="shared" si="745"/>
        <v>1.5270000000000001</v>
      </c>
      <c r="FZ855" s="15">
        <f>FY855*SQRT(AR855)</f>
        <v>2.6448415831576759</v>
      </c>
      <c r="GA855" s="15">
        <v>32.83</v>
      </c>
      <c r="GB855" s="15">
        <f t="shared" si="746"/>
        <v>1.6415</v>
      </c>
      <c r="GC855" s="15">
        <f>GB855*SQRT(AR855)</f>
        <v>2.8431614006243118</v>
      </c>
      <c r="GD855" s="15">
        <f t="shared" si="751"/>
        <v>1.0749836280288148</v>
      </c>
      <c r="GE855" s="15">
        <f t="shared" si="747"/>
        <v>2.2899999999999991</v>
      </c>
      <c r="GF855" s="15">
        <f t="shared" si="748"/>
        <v>7.2305431723014735E-2</v>
      </c>
      <c r="GG855" s="15">
        <f>((GC855*GC855)/(AR855*GA855*GA855)+(FZ855*FZ855)/(AR855*FX855*FX855))</f>
        <v>5.0000000000000001E-3</v>
      </c>
      <c r="HE855" s="15">
        <v>700.9</v>
      </c>
      <c r="HF855" s="15">
        <f t="shared" si="740"/>
        <v>35.045000000000002</v>
      </c>
      <c r="HG855" s="15">
        <f>HF855*SQRT(AR855)</f>
        <v>60.699720551251303</v>
      </c>
      <c r="HH855" s="15">
        <v>813.6</v>
      </c>
      <c r="HI855" s="15">
        <f t="shared" si="741"/>
        <v>40.680000000000007</v>
      </c>
      <c r="HJ855" s="15">
        <f>HI855*SQRT(AR855)</f>
        <v>70.459826851901937</v>
      </c>
      <c r="HK855" s="15">
        <f t="shared" si="719"/>
        <v>1.1607932658011129</v>
      </c>
      <c r="HL855" s="15">
        <f t="shared" si="720"/>
        <v>112.70000000000005</v>
      </c>
      <c r="HM855" s="15">
        <f t="shared" si="721"/>
        <v>0.14910362122807097</v>
      </c>
      <c r="HN855" s="15">
        <f>((HJ855*HJ855)/(AR855*HH855*HH855)+(HG855*HG855)/(AR855*HE855*HE855))</f>
        <v>5.000000000000001E-3</v>
      </c>
      <c r="HP855" s="15" t="s">
        <v>766</v>
      </c>
      <c r="HV855" s="15">
        <f t="shared" si="722"/>
        <v>707.12568300889995</v>
      </c>
      <c r="HW855" s="15">
        <f t="shared" si="742"/>
        <v>0.14910362122807097</v>
      </c>
      <c r="HX855" s="15">
        <f>EY855</f>
        <v>10543.5</v>
      </c>
      <c r="HY855" s="15">
        <f t="shared" ref="HY855:IA856" si="756">EW855</f>
        <v>12217.5</v>
      </c>
      <c r="HZ855" s="15">
        <f t="shared" si="756"/>
        <v>16.953409090909091</v>
      </c>
      <c r="IA855" s="15">
        <f t="shared" si="756"/>
        <v>10543.5</v>
      </c>
    </row>
    <row r="856" spans="1:235" s="15" customFormat="1" x14ac:dyDescent="0.25">
      <c r="A856" s="31">
        <v>854</v>
      </c>
      <c r="B856" s="1">
        <v>135</v>
      </c>
      <c r="C856" s="1">
        <v>158</v>
      </c>
      <c r="D856" s="15" t="s">
        <v>1945</v>
      </c>
      <c r="E856" s="1">
        <v>6</v>
      </c>
      <c r="F856" s="15" t="s">
        <v>1938</v>
      </c>
      <c r="G856" s="15" t="s">
        <v>1931</v>
      </c>
      <c r="H856" s="15" t="s">
        <v>1599</v>
      </c>
      <c r="I856" s="1">
        <v>2015</v>
      </c>
      <c r="J856" s="15" t="s">
        <v>1939</v>
      </c>
      <c r="K856" s="1" t="s">
        <v>1940</v>
      </c>
      <c r="L856" s="15" t="s">
        <v>1941</v>
      </c>
      <c r="M856" s="15" t="s">
        <v>480</v>
      </c>
      <c r="N856" s="15" t="s">
        <v>23</v>
      </c>
      <c r="O856" s="31">
        <v>2</v>
      </c>
      <c r="P856" s="15">
        <v>23.042000000000002</v>
      </c>
      <c r="Q856" s="15">
        <v>114.57</v>
      </c>
      <c r="R856" s="15" t="s">
        <v>532</v>
      </c>
      <c r="S856" s="15">
        <v>1850</v>
      </c>
      <c r="T856" s="15">
        <v>24</v>
      </c>
      <c r="U856" s="15" t="s">
        <v>1893</v>
      </c>
      <c r="V856" s="31">
        <v>1</v>
      </c>
      <c r="W856" s="16" t="s">
        <v>1179</v>
      </c>
      <c r="X856" s="15" t="s">
        <v>1942</v>
      </c>
      <c r="Y856" s="1">
        <v>3</v>
      </c>
      <c r="Z856" s="15">
        <v>5.57</v>
      </c>
      <c r="AA856" s="15" t="s">
        <v>573</v>
      </c>
      <c r="AB856" s="15">
        <f t="shared" si="725"/>
        <v>5.57</v>
      </c>
      <c r="AC856" s="1">
        <v>4</v>
      </c>
      <c r="AD856" s="15">
        <v>31.62</v>
      </c>
      <c r="AM856" s="1"/>
      <c r="AP856" s="15" t="s">
        <v>1943</v>
      </c>
      <c r="AQ856" s="1">
        <v>5</v>
      </c>
      <c r="AR856" s="1">
        <v>3</v>
      </c>
      <c r="BI856" s="15">
        <v>218.4</v>
      </c>
      <c r="BJ856" s="15">
        <v>21.8</v>
      </c>
      <c r="BK856" s="15">
        <v>7.3</v>
      </c>
      <c r="BL856" s="15">
        <v>15</v>
      </c>
      <c r="BP856" s="16"/>
      <c r="BQ856" s="16"/>
      <c r="BR856" s="16"/>
      <c r="BS856" s="15">
        <v>4500</v>
      </c>
      <c r="BT856" s="15">
        <f>BS856</f>
        <v>4500</v>
      </c>
      <c r="BU856" s="16" t="s">
        <v>766</v>
      </c>
      <c r="BY856" s="15">
        <f>BT856</f>
        <v>4500</v>
      </c>
      <c r="BZ856" s="15">
        <f>BY856/1.1/1000</f>
        <v>4.0909090909090908</v>
      </c>
      <c r="CA856" s="15">
        <f>BY856*2</f>
        <v>9000</v>
      </c>
      <c r="DB856" s="15" t="s">
        <v>1944</v>
      </c>
      <c r="DD856" s="15">
        <f>1029*15</f>
        <v>15435</v>
      </c>
      <c r="DE856" s="15">
        <f t="shared" si="752"/>
        <v>15435</v>
      </c>
      <c r="DF856" s="15" t="s">
        <v>766</v>
      </c>
      <c r="DS856" s="15">
        <f>DE856</f>
        <v>15435</v>
      </c>
      <c r="DT856" s="15">
        <f t="shared" si="753"/>
        <v>25.725000000000001</v>
      </c>
      <c r="DU856" s="15">
        <f t="shared" si="754"/>
        <v>3087</v>
      </c>
      <c r="EW856" s="46">
        <f>AX856+BT856+CF856+DE856+DY856</f>
        <v>19935</v>
      </c>
      <c r="EX856" s="46">
        <f>BA856+BZ856+CZ856+DT856+ET856</f>
        <v>29.815909090909091</v>
      </c>
      <c r="EY856" s="46">
        <f>BB856+CA856+DA856+DU856+EU856</f>
        <v>12087</v>
      </c>
      <c r="EZ856" s="16"/>
      <c r="FA856" s="16"/>
      <c r="FB856" s="16"/>
      <c r="FC856" s="16"/>
      <c r="FD856" s="16"/>
      <c r="FE856" s="16"/>
      <c r="FF856" s="16"/>
      <c r="FG856" s="16"/>
      <c r="FH856" s="16"/>
      <c r="FI856" s="16"/>
      <c r="FJ856" s="16"/>
      <c r="FK856" s="16">
        <f t="shared" si="730"/>
        <v>5.42</v>
      </c>
      <c r="FL856" s="16">
        <f t="shared" si="731"/>
        <v>5.8</v>
      </c>
      <c r="FM856" s="15">
        <v>5.42</v>
      </c>
      <c r="FN856" s="15">
        <f t="shared" si="749"/>
        <v>0.27100000000000002</v>
      </c>
      <c r="FO856" s="15">
        <f>FN856*SQRT(AR856)</f>
        <v>0.46938576885116573</v>
      </c>
      <c r="FP856" s="15">
        <v>5.8</v>
      </c>
      <c r="FQ856" s="15">
        <f t="shared" si="750"/>
        <v>0.28999999999999998</v>
      </c>
      <c r="FR856" s="15">
        <f>FQ856*SQRT(AR856)</f>
        <v>0.50229473419497439</v>
      </c>
      <c r="FS856" s="15">
        <f t="shared" si="732"/>
        <v>1.070110701107011</v>
      </c>
      <c r="FT856" s="15">
        <f t="shared" si="733"/>
        <v>0.37999999999999989</v>
      </c>
      <c r="FU856" s="15">
        <f t="shared" si="734"/>
        <v>6.7762102100818788E-2</v>
      </c>
      <c r="FV856" s="15">
        <f>((FR856*FR856)/(AR856*FP856*FP856)+(FO856*FO856)/(AR856*FM856*FM856))</f>
        <v>5.000000000000001E-3</v>
      </c>
      <c r="FX856" s="15">
        <v>30.54</v>
      </c>
      <c r="FY856" s="15">
        <f t="shared" si="745"/>
        <v>1.5270000000000001</v>
      </c>
      <c r="FZ856" s="15">
        <f>FY856*SQRT(AR856)</f>
        <v>2.6448415831576759</v>
      </c>
      <c r="GA856" s="15">
        <v>33.58</v>
      </c>
      <c r="GB856" s="15">
        <f t="shared" si="746"/>
        <v>1.679</v>
      </c>
      <c r="GC856" s="15">
        <f>GB856*SQRT(AR856)</f>
        <v>2.9081133059081448</v>
      </c>
      <c r="GD856" s="15">
        <f t="shared" si="751"/>
        <v>1.0995415848068106</v>
      </c>
      <c r="GE856" s="15">
        <f t="shared" si="747"/>
        <v>3.0399999999999991</v>
      </c>
      <c r="GF856" s="15">
        <f t="shared" si="748"/>
        <v>9.4893351858908126E-2</v>
      </c>
      <c r="GG856" s="15">
        <f>((GC856*GC856)/(AR856*GA856*GA856)+(FZ856*FZ856)/(AR856*FX856*FX856))</f>
        <v>5.000000000000001E-3</v>
      </c>
      <c r="HE856" s="15">
        <v>700.9</v>
      </c>
      <c r="HF856" s="15">
        <f t="shared" si="740"/>
        <v>35.045000000000002</v>
      </c>
      <c r="HG856" s="15">
        <f>HF856*SQRT(AR856)</f>
        <v>60.699720551251303</v>
      </c>
      <c r="HH856" s="15">
        <v>841.1</v>
      </c>
      <c r="HI856" s="15">
        <f t="shared" si="741"/>
        <v>42.055000000000007</v>
      </c>
      <c r="HJ856" s="15">
        <f>HI856*SQRT(AR856)</f>
        <v>72.841396712309148</v>
      </c>
      <c r="HK856" s="15">
        <f t="shared" si="719"/>
        <v>1.2000285347410473</v>
      </c>
      <c r="HL856" s="15">
        <f t="shared" si="720"/>
        <v>140.20000000000005</v>
      </c>
      <c r="HM856" s="15">
        <f t="shared" si="721"/>
        <v>0.18234533546211207</v>
      </c>
      <c r="HN856" s="15">
        <f>((HJ856*HJ856)/(AR856*HH856*HH856)+(HG856*HG856)/(AR856*HE856*HE856))</f>
        <v>5.000000000000001E-3</v>
      </c>
      <c r="HP856" s="15" t="s">
        <v>766</v>
      </c>
      <c r="HV856" s="15">
        <f t="shared" si="722"/>
        <v>662.86313106766863</v>
      </c>
      <c r="HW856" s="15">
        <f t="shared" si="742"/>
        <v>0.18234533546211207</v>
      </c>
      <c r="HX856" s="15">
        <f>EY856</f>
        <v>12087</v>
      </c>
      <c r="HY856" s="15">
        <f t="shared" si="756"/>
        <v>19935</v>
      </c>
      <c r="HZ856" s="15">
        <f t="shared" si="756"/>
        <v>29.815909090909091</v>
      </c>
      <c r="IA856" s="15">
        <f t="shared" si="756"/>
        <v>12087</v>
      </c>
    </row>
    <row r="857" spans="1:235" s="15" customFormat="1" x14ac:dyDescent="0.25">
      <c r="A857" s="31">
        <v>855</v>
      </c>
      <c r="B857" s="1">
        <v>136</v>
      </c>
      <c r="C857" s="1">
        <v>159</v>
      </c>
      <c r="D857" s="15" t="s">
        <v>1946</v>
      </c>
      <c r="E857" s="1">
        <v>5</v>
      </c>
      <c r="F857" s="15" t="s">
        <v>798</v>
      </c>
      <c r="G857" s="15" t="s">
        <v>2412</v>
      </c>
      <c r="H857" s="15" t="s">
        <v>818</v>
      </c>
      <c r="I857" s="1">
        <v>2020</v>
      </c>
      <c r="J857" s="15" t="s">
        <v>2413</v>
      </c>
      <c r="K857" s="1" t="s">
        <v>1948</v>
      </c>
      <c r="L857" s="15" t="s">
        <v>2414</v>
      </c>
      <c r="M857" s="15" t="s">
        <v>480</v>
      </c>
      <c r="N857" s="15" t="s">
        <v>23</v>
      </c>
      <c r="O857" s="31">
        <v>3</v>
      </c>
      <c r="P857" s="15">
        <v>43.32</v>
      </c>
      <c r="Q857" s="15">
        <v>124.23</v>
      </c>
      <c r="R857" s="15" t="s">
        <v>532</v>
      </c>
      <c r="S857" s="15">
        <v>577</v>
      </c>
      <c r="T857" s="15">
        <v>5.8</v>
      </c>
      <c r="U857" s="15" t="s">
        <v>1893</v>
      </c>
      <c r="V857" s="31">
        <v>1</v>
      </c>
      <c r="W857" s="16" t="s">
        <v>2415</v>
      </c>
      <c r="X857" s="15" t="s">
        <v>731</v>
      </c>
      <c r="Y857" s="1">
        <v>12</v>
      </c>
      <c r="Z857" s="15">
        <v>7.1</v>
      </c>
      <c r="AA857" s="15" t="s">
        <v>573</v>
      </c>
      <c r="AB857" s="15">
        <f t="shared" si="725"/>
        <v>7.1</v>
      </c>
      <c r="AC857" s="1">
        <v>6</v>
      </c>
      <c r="AD857" s="15">
        <f t="shared" ref="AD857:AD871" si="757">11.3*1.75</f>
        <v>19.775000000000002</v>
      </c>
      <c r="AJ857" s="15">
        <v>47.65</v>
      </c>
      <c r="AK857" s="15">
        <v>27.54</v>
      </c>
      <c r="AL857" s="15">
        <v>24.81</v>
      </c>
      <c r="AM857" s="1">
        <v>1</v>
      </c>
      <c r="AP857" s="15" t="s">
        <v>2416</v>
      </c>
      <c r="AQ857" s="1">
        <v>4</v>
      </c>
      <c r="AR857" s="1">
        <v>4</v>
      </c>
      <c r="BP857" s="16"/>
      <c r="BQ857" s="16"/>
      <c r="BR857" s="16"/>
      <c r="BU857" s="16"/>
      <c r="DB857" s="15" t="s">
        <v>804</v>
      </c>
      <c r="DD857" s="15">
        <v>10000</v>
      </c>
      <c r="DE857" s="15">
        <f t="shared" si="752"/>
        <v>10000</v>
      </c>
      <c r="DF857" s="15" t="s">
        <v>766</v>
      </c>
      <c r="DS857" s="15">
        <f>DE857</f>
        <v>10000</v>
      </c>
      <c r="DT857" s="15">
        <f t="shared" si="753"/>
        <v>16.666666666666668</v>
      </c>
      <c r="DU857" s="15">
        <f t="shared" si="754"/>
        <v>2000</v>
      </c>
      <c r="EZ857" s="16"/>
      <c r="FA857" s="16"/>
      <c r="FB857" s="16"/>
      <c r="FC857" s="16"/>
      <c r="FD857" s="16"/>
      <c r="FE857" s="16"/>
      <c r="FF857" s="16"/>
      <c r="FG857" s="16"/>
      <c r="FH857" s="16"/>
      <c r="FI857" s="16"/>
      <c r="FJ857" s="16"/>
      <c r="FK857" s="16">
        <f t="shared" si="730"/>
        <v>7.38</v>
      </c>
      <c r="FL857" s="16">
        <f t="shared" si="731"/>
        <v>7.73</v>
      </c>
      <c r="FM857" s="15">
        <v>7.38</v>
      </c>
      <c r="FN857" s="15">
        <v>0.13</v>
      </c>
      <c r="FO857" s="15">
        <f>FN857*SQRT(AR857)</f>
        <v>0.26</v>
      </c>
      <c r="FP857" s="15">
        <v>7.73</v>
      </c>
      <c r="FQ857" s="15">
        <v>0.21</v>
      </c>
      <c r="FR857" s="15">
        <f>FQ857*SQRT(AR857)</f>
        <v>0.42</v>
      </c>
      <c r="FS857" s="15">
        <f t="shared" si="732"/>
        <v>1.0474254742547426</v>
      </c>
      <c r="FT857" s="15">
        <f t="shared" si="733"/>
        <v>0.35000000000000053</v>
      </c>
      <c r="FU857" s="15">
        <f t="shared" si="734"/>
        <v>4.6335223986949448E-2</v>
      </c>
      <c r="FV857" s="15">
        <f>((FR857*FR857)/(AR857*FP857*FP857)+(FO857*FO857)/(AR857*FM857*FM857))</f>
        <v>1.0483339235014594E-3</v>
      </c>
      <c r="FX857" s="15">
        <v>17.330400000000001</v>
      </c>
      <c r="FY857" s="15">
        <f t="shared" si="745"/>
        <v>0.86652000000000007</v>
      </c>
      <c r="FZ857" s="15">
        <f>FY857*SQRT(AR857)</f>
        <v>1.7330400000000001</v>
      </c>
      <c r="GA857" s="15">
        <v>20.288399999999999</v>
      </c>
      <c r="GB857" s="15">
        <f t="shared" si="746"/>
        <v>1.0144200000000001</v>
      </c>
      <c r="GC857" s="15">
        <f>GB857*SQRT(AR857)</f>
        <v>2.0288400000000002</v>
      </c>
      <c r="GD857" s="15">
        <f t="shared" si="751"/>
        <v>1.1706827309236947</v>
      </c>
      <c r="GE857" s="15">
        <f t="shared" si="747"/>
        <v>2.9579999999999984</v>
      </c>
      <c r="GF857" s="15">
        <f t="shared" si="748"/>
        <v>0.15758710932583941</v>
      </c>
      <c r="GG857" s="15">
        <f>((GC857*GC857)/(AR857*GA857*GA857)+(FZ857*FZ857)/(AR857*FX857*FX857))</f>
        <v>5.000000000000001E-3</v>
      </c>
      <c r="HE857" s="15">
        <v>11954</v>
      </c>
      <c r="HF857" s="15">
        <f t="shared" si="740"/>
        <v>597.70000000000005</v>
      </c>
      <c r="HG857" s="15">
        <f>HF857*SQRT(AR857)</f>
        <v>1195.4000000000001</v>
      </c>
      <c r="HH857" s="15">
        <v>13367</v>
      </c>
      <c r="HI857" s="15">
        <f t="shared" si="741"/>
        <v>668.35</v>
      </c>
      <c r="HJ857" s="15">
        <f>HI857*SQRT(AR857)</f>
        <v>1336.7</v>
      </c>
      <c r="HK857" s="15">
        <f t="shared" si="719"/>
        <v>1.1182031119290614</v>
      </c>
      <c r="HL857" s="15">
        <f t="shared" si="720"/>
        <v>1413</v>
      </c>
      <c r="HM857" s="15">
        <f t="shared" si="721"/>
        <v>0.11172303258727467</v>
      </c>
      <c r="HN857" s="15">
        <f>((HJ857*HJ857)/(AR857*HH857*HH857)+(HG857*HG857)/(AR857*HE857*HE857))</f>
        <v>5.0000000000000001E-3</v>
      </c>
      <c r="HP857" s="15" t="s">
        <v>766</v>
      </c>
      <c r="HV857" s="15">
        <f t="shared" si="722"/>
        <v>179.01411675678068</v>
      </c>
      <c r="HW857" s="15">
        <f t="shared" si="742"/>
        <v>0.11172303258727467</v>
      </c>
      <c r="HX857" s="15">
        <f t="shared" ref="HX857:HX862" si="758">DU857</f>
        <v>2000</v>
      </c>
      <c r="HY857" s="15">
        <f t="shared" ref="HY857:IA862" si="759">DS857</f>
        <v>10000</v>
      </c>
      <c r="HZ857" s="15">
        <f t="shared" si="759"/>
        <v>16.666666666666668</v>
      </c>
      <c r="IA857" s="15">
        <f t="shared" si="759"/>
        <v>2000</v>
      </c>
    </row>
    <row r="858" spans="1:235" s="15" customFormat="1" x14ac:dyDescent="0.25">
      <c r="A858" s="31">
        <v>856</v>
      </c>
      <c r="B858" s="1">
        <v>136</v>
      </c>
      <c r="C858" s="1">
        <v>159</v>
      </c>
      <c r="D858" s="15" t="s">
        <v>1947</v>
      </c>
      <c r="E858" s="1">
        <v>5</v>
      </c>
      <c r="F858" s="15" t="s">
        <v>798</v>
      </c>
      <c r="G858" s="15" t="s">
        <v>2412</v>
      </c>
      <c r="H858" s="15" t="s">
        <v>818</v>
      </c>
      <c r="I858" s="1">
        <v>2020</v>
      </c>
      <c r="J858" s="15" t="s">
        <v>2413</v>
      </c>
      <c r="K858" s="1" t="s">
        <v>1948</v>
      </c>
      <c r="L858" s="15" t="s">
        <v>2414</v>
      </c>
      <c r="M858" s="15" t="s">
        <v>480</v>
      </c>
      <c r="N858" s="15" t="s">
        <v>23</v>
      </c>
      <c r="O858" s="31">
        <v>3</v>
      </c>
      <c r="P858" s="15">
        <v>43.32</v>
      </c>
      <c r="Q858" s="15">
        <v>124.23</v>
      </c>
      <c r="R858" s="15" t="s">
        <v>532</v>
      </c>
      <c r="S858" s="15">
        <v>577</v>
      </c>
      <c r="T858" s="15">
        <v>5.8</v>
      </c>
      <c r="U858" s="15" t="s">
        <v>1893</v>
      </c>
      <c r="V858" s="31">
        <v>1</v>
      </c>
      <c r="W858" s="16" t="s">
        <v>2415</v>
      </c>
      <c r="X858" s="15" t="s">
        <v>731</v>
      </c>
      <c r="Y858" s="1">
        <v>12</v>
      </c>
      <c r="Z858" s="15">
        <v>7.1</v>
      </c>
      <c r="AA858" s="15" t="s">
        <v>573</v>
      </c>
      <c r="AB858" s="15">
        <f t="shared" si="725"/>
        <v>7.1</v>
      </c>
      <c r="AC858" s="1">
        <v>6</v>
      </c>
      <c r="AD858" s="15">
        <f t="shared" si="757"/>
        <v>19.775000000000002</v>
      </c>
      <c r="AJ858" s="15">
        <v>47.65</v>
      </c>
      <c r="AK858" s="15">
        <v>27.54</v>
      </c>
      <c r="AL858" s="15">
        <v>24.81</v>
      </c>
      <c r="AM858" s="1">
        <v>1</v>
      </c>
      <c r="AP858" s="15" t="s">
        <v>2416</v>
      </c>
      <c r="AQ858" s="1">
        <v>4</v>
      </c>
      <c r="AR858" s="1">
        <v>4</v>
      </c>
      <c r="BP858" s="16"/>
      <c r="BQ858" s="16"/>
      <c r="BR858" s="16"/>
      <c r="BU858" s="16"/>
      <c r="DB858" s="15" t="s">
        <v>804</v>
      </c>
      <c r="DD858" s="15">
        <v>10000</v>
      </c>
      <c r="DE858" s="15">
        <f t="shared" si="752"/>
        <v>10000</v>
      </c>
      <c r="DF858" s="15" t="s">
        <v>766</v>
      </c>
      <c r="DS858" s="15">
        <f>DE858</f>
        <v>10000</v>
      </c>
      <c r="DT858" s="15">
        <f t="shared" si="753"/>
        <v>16.666666666666668</v>
      </c>
      <c r="DU858" s="15">
        <f t="shared" si="754"/>
        <v>2000</v>
      </c>
      <c r="EZ858" s="16"/>
      <c r="FA858" s="16"/>
      <c r="FB858" s="16"/>
      <c r="FC858" s="16"/>
      <c r="FD858" s="16"/>
      <c r="FE858" s="16"/>
      <c r="FF858" s="16"/>
      <c r="FG858" s="16"/>
      <c r="FH858" s="16"/>
      <c r="FI858" s="16"/>
      <c r="FJ858" s="16"/>
      <c r="FK858" s="16">
        <f t="shared" si="730"/>
        <v>7.35</v>
      </c>
      <c r="FL858" s="16">
        <f t="shared" si="731"/>
        <v>7.68</v>
      </c>
      <c r="FM858" s="15">
        <v>7.35</v>
      </c>
      <c r="FN858" s="15">
        <v>0.16</v>
      </c>
      <c r="FO858" s="15">
        <f>FN858*SQRT(AR858)</f>
        <v>0.32</v>
      </c>
      <c r="FP858" s="15">
        <v>7.68</v>
      </c>
      <c r="FQ858" s="15">
        <v>0.21</v>
      </c>
      <c r="FR858" s="15">
        <f>FQ858*SQRT(AR858)</f>
        <v>0.42</v>
      </c>
      <c r="FS858" s="15">
        <f t="shared" si="732"/>
        <v>1.0448979591836736</v>
      </c>
      <c r="FT858" s="15">
        <f t="shared" si="733"/>
        <v>0.33000000000000007</v>
      </c>
      <c r="FU858" s="15">
        <f t="shared" si="734"/>
        <v>4.3919233934835766E-2</v>
      </c>
      <c r="FV858" s="15">
        <f>((FR858*FR858)/(AR858*FP858*FP858)+(FO858*FO858)/(AR858*FM858*FM858))</f>
        <v>1.2215572895426241E-3</v>
      </c>
      <c r="FX858" s="15">
        <v>18.652800000000003</v>
      </c>
      <c r="FY858" s="15">
        <f t="shared" si="745"/>
        <v>0.93264000000000014</v>
      </c>
      <c r="FZ858" s="15">
        <f>FY858*SQRT(AR858)</f>
        <v>1.8652800000000003</v>
      </c>
      <c r="GA858" s="15">
        <v>21.175799999999999</v>
      </c>
      <c r="GB858" s="15">
        <f t="shared" si="746"/>
        <v>1.0587899999999999</v>
      </c>
      <c r="GC858" s="15">
        <f>GB858*SQRT(AR858)</f>
        <v>2.1175799999999998</v>
      </c>
      <c r="GD858" s="15">
        <f t="shared" si="751"/>
        <v>1.1352611940298505</v>
      </c>
      <c r="GE858" s="15">
        <f t="shared" si="747"/>
        <v>2.5229999999999961</v>
      </c>
      <c r="GF858" s="15">
        <f t="shared" si="748"/>
        <v>0.12686275135677993</v>
      </c>
      <c r="GG858" s="15">
        <f>((GC858*GC858)/(AR858*GA858*GA858)+(FZ858*FZ858)/(AR858*FX858*FX858))</f>
        <v>4.9999999999999992E-3</v>
      </c>
      <c r="HE858" s="15">
        <v>11715</v>
      </c>
      <c r="HF858" s="15">
        <f t="shared" si="740"/>
        <v>585.75</v>
      </c>
      <c r="HG858" s="15">
        <f>HF858*SQRT(AR858)</f>
        <v>1171.5</v>
      </c>
      <c r="HH858" s="15">
        <v>12984</v>
      </c>
      <c r="HI858" s="15">
        <f t="shared" si="741"/>
        <v>649.20000000000005</v>
      </c>
      <c r="HJ858" s="15">
        <f>HI858*SQRT(AR858)</f>
        <v>1298.4000000000001</v>
      </c>
      <c r="HK858" s="15">
        <f t="shared" si="719"/>
        <v>1.1083226632522407</v>
      </c>
      <c r="HL858" s="15">
        <f t="shared" si="720"/>
        <v>1269</v>
      </c>
      <c r="HM858" s="15">
        <f t="shared" si="721"/>
        <v>0.10284775825253156</v>
      </c>
      <c r="HN858" s="15">
        <f>((HJ858*HJ858)/(AR858*HH858*HH858)+(HG858*HG858)/(AR858*HE858*HE858))</f>
        <v>5.000000000000001E-3</v>
      </c>
      <c r="HP858" s="15" t="s">
        <v>766</v>
      </c>
      <c r="HV858" s="15">
        <f t="shared" si="722"/>
        <v>194.46218702105455</v>
      </c>
      <c r="HW858" s="15">
        <f t="shared" si="742"/>
        <v>0.10284775825253156</v>
      </c>
      <c r="HX858" s="15">
        <f t="shared" si="758"/>
        <v>2000</v>
      </c>
      <c r="HY858" s="15">
        <f t="shared" si="759"/>
        <v>10000</v>
      </c>
      <c r="HZ858" s="15">
        <f t="shared" si="759"/>
        <v>16.666666666666668</v>
      </c>
      <c r="IA858" s="15">
        <f t="shared" si="759"/>
        <v>2000</v>
      </c>
    </row>
    <row r="859" spans="1:235" s="15" customFormat="1" x14ac:dyDescent="0.25">
      <c r="A859" s="31">
        <v>857</v>
      </c>
      <c r="B859" s="1">
        <v>136</v>
      </c>
      <c r="C859" s="1">
        <v>159</v>
      </c>
      <c r="D859" s="15" t="s">
        <v>1949</v>
      </c>
      <c r="E859" s="1">
        <v>5</v>
      </c>
      <c r="F859" s="15" t="s">
        <v>798</v>
      </c>
      <c r="G859" s="15" t="s">
        <v>2412</v>
      </c>
      <c r="H859" s="15" t="s">
        <v>818</v>
      </c>
      <c r="I859" s="1">
        <v>2020</v>
      </c>
      <c r="J859" s="15" t="s">
        <v>2413</v>
      </c>
      <c r="K859" s="1" t="s">
        <v>1948</v>
      </c>
      <c r="L859" s="15" t="s">
        <v>2414</v>
      </c>
      <c r="M859" s="15" t="s">
        <v>480</v>
      </c>
      <c r="N859" s="15" t="s">
        <v>23</v>
      </c>
      <c r="O859" s="31">
        <v>3</v>
      </c>
      <c r="P859" s="15">
        <v>43.32</v>
      </c>
      <c r="Q859" s="15">
        <v>124.23</v>
      </c>
      <c r="R859" s="15" t="s">
        <v>532</v>
      </c>
      <c r="S859" s="15">
        <v>577</v>
      </c>
      <c r="T859" s="15">
        <v>5.8</v>
      </c>
      <c r="U859" s="15" t="s">
        <v>1893</v>
      </c>
      <c r="V859" s="31">
        <v>1</v>
      </c>
      <c r="W859" s="16" t="s">
        <v>2415</v>
      </c>
      <c r="X859" s="15" t="s">
        <v>731</v>
      </c>
      <c r="Y859" s="1">
        <v>12</v>
      </c>
      <c r="Z859" s="15">
        <v>7.1</v>
      </c>
      <c r="AA859" s="15" t="s">
        <v>573</v>
      </c>
      <c r="AB859" s="15">
        <f t="shared" si="725"/>
        <v>7.1</v>
      </c>
      <c r="AC859" s="1">
        <v>6</v>
      </c>
      <c r="AD859" s="15">
        <f t="shared" si="757"/>
        <v>19.775000000000002</v>
      </c>
      <c r="AJ859" s="15">
        <v>47.65</v>
      </c>
      <c r="AK859" s="15">
        <v>27.54</v>
      </c>
      <c r="AL859" s="15">
        <v>24.81</v>
      </c>
      <c r="AM859" s="1">
        <v>1</v>
      </c>
      <c r="AP859" s="15" t="s">
        <v>2416</v>
      </c>
      <c r="AQ859" s="1">
        <v>4</v>
      </c>
      <c r="AR859" s="1">
        <v>4</v>
      </c>
      <c r="BP859" s="16"/>
      <c r="BQ859" s="16"/>
      <c r="BR859" s="16"/>
      <c r="BU859" s="16"/>
      <c r="DB859" s="15" t="s">
        <v>804</v>
      </c>
      <c r="DD859" s="15">
        <v>10000</v>
      </c>
      <c r="DE859" s="15">
        <f t="shared" si="752"/>
        <v>10000</v>
      </c>
      <c r="DF859" s="15" t="s">
        <v>766</v>
      </c>
      <c r="DS859" s="15">
        <f>DE859</f>
        <v>10000</v>
      </c>
      <c r="DT859" s="15">
        <f t="shared" si="753"/>
        <v>16.666666666666668</v>
      </c>
      <c r="DU859" s="15">
        <f t="shared" si="754"/>
        <v>2000</v>
      </c>
      <c r="EZ859" s="16"/>
      <c r="FA859" s="16"/>
      <c r="FB859" s="16"/>
      <c r="FC859" s="16"/>
      <c r="FD859" s="16"/>
      <c r="FE859" s="16"/>
      <c r="FF859" s="16"/>
      <c r="FG859" s="16"/>
      <c r="FH859" s="16"/>
      <c r="FI859" s="16"/>
      <c r="FJ859" s="16"/>
      <c r="FK859" s="16">
        <f t="shared" si="730"/>
        <v>7.34</v>
      </c>
      <c r="FL859" s="16">
        <f t="shared" si="731"/>
        <v>7.68</v>
      </c>
      <c r="FM859" s="15">
        <v>7.34</v>
      </c>
      <c r="FN859" s="15">
        <v>0.2</v>
      </c>
      <c r="FO859" s="15">
        <f>FN859*SQRT(AR859)</f>
        <v>0.4</v>
      </c>
      <c r="FP859" s="15">
        <v>7.68</v>
      </c>
      <c r="FQ859" s="15">
        <v>0.21</v>
      </c>
      <c r="FR859" s="15">
        <f>FQ859*SQRT(AR859)</f>
        <v>0.42</v>
      </c>
      <c r="FS859" s="15">
        <f t="shared" si="732"/>
        <v>1.0463215258855585</v>
      </c>
      <c r="FT859" s="15">
        <f t="shared" si="733"/>
        <v>0.33999999999999986</v>
      </c>
      <c r="FU859" s="15">
        <f t="shared" si="734"/>
        <v>4.528070453315669E-2</v>
      </c>
      <c r="FV859" s="15">
        <f>((FR859*FR859)/(AR859*FP859*FP859)+(FO859*FO859)/(AR859*FM859*FM859))</f>
        <v>1.4901317922169893E-3</v>
      </c>
      <c r="FX859" s="15">
        <v>19.401</v>
      </c>
      <c r="FY859" s="15">
        <f t="shared" si="745"/>
        <v>0.97005000000000008</v>
      </c>
      <c r="FZ859" s="15">
        <f>FY859*SQRT(AR859)</f>
        <v>1.9401000000000002</v>
      </c>
      <c r="GA859" s="15">
        <v>20.288399999999999</v>
      </c>
      <c r="GB859" s="15">
        <f t="shared" si="746"/>
        <v>1.0144200000000001</v>
      </c>
      <c r="GC859" s="15">
        <f>GB859*SQRT(AR859)</f>
        <v>2.0288400000000002</v>
      </c>
      <c r="GD859" s="15">
        <f t="shared" si="751"/>
        <v>1.0457399103139013</v>
      </c>
      <c r="GE859" s="15">
        <f t="shared" si="747"/>
        <v>0.88739999999999952</v>
      </c>
      <c r="GF859" s="15">
        <f t="shared" si="748"/>
        <v>4.472468301621868E-2</v>
      </c>
      <c r="GG859" s="15">
        <f>((GC859*GC859)/(AR859*GA859*GA859)+(FZ859*FZ859)/(AR859*FX859*FX859))</f>
        <v>5.000000000000001E-3</v>
      </c>
      <c r="HE859" s="15">
        <v>11404</v>
      </c>
      <c r="HF859" s="15">
        <f t="shared" si="740"/>
        <v>570.20000000000005</v>
      </c>
      <c r="HG859" s="15">
        <f>HF859*SQRT(AR859)</f>
        <v>1140.4000000000001</v>
      </c>
      <c r="HH859" s="15">
        <v>12263</v>
      </c>
      <c r="HI859" s="15">
        <f t="shared" si="741"/>
        <v>613.15</v>
      </c>
      <c r="HJ859" s="15">
        <f>HI859*SQRT(AR859)</f>
        <v>1226.3</v>
      </c>
      <c r="HK859" s="15">
        <f t="shared" si="719"/>
        <v>1.0753244475622588</v>
      </c>
      <c r="HL859" s="15">
        <f t="shared" si="720"/>
        <v>859</v>
      </c>
      <c r="HM859" s="15">
        <f t="shared" si="721"/>
        <v>7.2622427729465144E-2</v>
      </c>
      <c r="HN859" s="15">
        <f>((HJ859*HJ859)/(AR859*HH859*HH859)+(HG859*HG859)/(AR859*HE859*HE859))</f>
        <v>5.000000000000001E-3</v>
      </c>
      <c r="HP859" s="15" t="s">
        <v>766</v>
      </c>
      <c r="HV859" s="15">
        <f t="shared" si="722"/>
        <v>275.397017495814</v>
      </c>
      <c r="HW859" s="15">
        <f t="shared" si="742"/>
        <v>7.2622427729465144E-2</v>
      </c>
      <c r="HX859" s="15">
        <f t="shared" si="758"/>
        <v>2000</v>
      </c>
      <c r="HY859" s="15">
        <f t="shared" si="759"/>
        <v>10000</v>
      </c>
      <c r="HZ859" s="15">
        <f t="shared" si="759"/>
        <v>16.666666666666668</v>
      </c>
      <c r="IA859" s="15">
        <f t="shared" si="759"/>
        <v>2000</v>
      </c>
    </row>
    <row r="860" spans="1:235" s="15" customFormat="1" x14ac:dyDescent="0.25">
      <c r="A860" s="31">
        <v>858</v>
      </c>
      <c r="B860" s="1">
        <v>136</v>
      </c>
      <c r="C860" s="1">
        <v>159</v>
      </c>
      <c r="D860" s="15" t="s">
        <v>1950</v>
      </c>
      <c r="E860" s="1">
        <v>5</v>
      </c>
      <c r="F860" s="15" t="s">
        <v>798</v>
      </c>
      <c r="G860" s="15" t="s">
        <v>2412</v>
      </c>
      <c r="H860" s="15" t="s">
        <v>818</v>
      </c>
      <c r="I860" s="1">
        <v>2020</v>
      </c>
      <c r="J860" s="15" t="s">
        <v>2413</v>
      </c>
      <c r="K860" s="1" t="s">
        <v>1948</v>
      </c>
      <c r="L860" s="15" t="s">
        <v>2414</v>
      </c>
      <c r="M860" s="15" t="s">
        <v>480</v>
      </c>
      <c r="N860" s="15" t="s">
        <v>23</v>
      </c>
      <c r="O860" s="31">
        <v>3</v>
      </c>
      <c r="P860" s="15">
        <v>43.32</v>
      </c>
      <c r="Q860" s="15">
        <v>124.23</v>
      </c>
      <c r="R860" s="15" t="s">
        <v>532</v>
      </c>
      <c r="S860" s="15">
        <v>577</v>
      </c>
      <c r="T860" s="15">
        <v>5.8</v>
      </c>
      <c r="U860" s="15" t="s">
        <v>1893</v>
      </c>
      <c r="V860" s="31">
        <v>1</v>
      </c>
      <c r="W860" s="16" t="s">
        <v>2415</v>
      </c>
      <c r="X860" s="15" t="s">
        <v>731</v>
      </c>
      <c r="Y860" s="1">
        <v>12</v>
      </c>
      <c r="Z860" s="15">
        <v>7.1</v>
      </c>
      <c r="AA860" s="15" t="s">
        <v>573</v>
      </c>
      <c r="AB860" s="15">
        <f t="shared" si="725"/>
        <v>7.1</v>
      </c>
      <c r="AC860" s="1">
        <v>6</v>
      </c>
      <c r="AD860" s="15">
        <f t="shared" si="757"/>
        <v>19.775000000000002</v>
      </c>
      <c r="AJ860" s="15">
        <v>47.65</v>
      </c>
      <c r="AK860" s="15">
        <v>27.54</v>
      </c>
      <c r="AL860" s="15">
        <v>24.81</v>
      </c>
      <c r="AM860" s="1">
        <v>1</v>
      </c>
      <c r="AP860" s="15" t="s">
        <v>2416</v>
      </c>
      <c r="AQ860" s="1">
        <v>4</v>
      </c>
      <c r="AR860" s="1">
        <v>4</v>
      </c>
      <c r="BP860" s="16"/>
      <c r="BQ860" s="16"/>
      <c r="BR860" s="16"/>
      <c r="BU860" s="16"/>
      <c r="DB860" s="15" t="s">
        <v>804</v>
      </c>
      <c r="DD860" s="15">
        <v>10000</v>
      </c>
      <c r="DE860" s="15">
        <f t="shared" si="752"/>
        <v>10000</v>
      </c>
      <c r="DF860" s="15" t="s">
        <v>766</v>
      </c>
      <c r="DS860" s="15">
        <f>DE860</f>
        <v>10000</v>
      </c>
      <c r="DT860" s="15">
        <f t="shared" si="753"/>
        <v>16.666666666666668</v>
      </c>
      <c r="DU860" s="15">
        <f t="shared" si="754"/>
        <v>2000</v>
      </c>
      <c r="EZ860" s="16"/>
      <c r="FA860" s="16"/>
      <c r="FB860" s="16"/>
      <c r="FC860" s="16"/>
      <c r="FD860" s="16"/>
      <c r="FE860" s="16"/>
      <c r="FF860" s="16"/>
      <c r="FG860" s="16"/>
      <c r="FH860" s="16"/>
      <c r="FI860" s="16"/>
      <c r="FJ860" s="16"/>
      <c r="FK860" s="16">
        <f t="shared" si="730"/>
        <v>7.38</v>
      </c>
      <c r="FL860" s="16">
        <f t="shared" si="731"/>
        <v>7.64</v>
      </c>
      <c r="FM860" s="15">
        <v>7.38</v>
      </c>
      <c r="FN860" s="15">
        <v>0.13</v>
      </c>
      <c r="FO860" s="15">
        <f>FN860*SQRT(AR860)</f>
        <v>0.26</v>
      </c>
      <c r="FP860" s="15">
        <v>7.64</v>
      </c>
      <c r="FQ860" s="15">
        <v>0.21</v>
      </c>
      <c r="FR860" s="15">
        <f>FQ860*SQRT(AR860)</f>
        <v>0.42</v>
      </c>
      <c r="FS860" s="15">
        <f t="shared" si="732"/>
        <v>1.0352303523035231</v>
      </c>
      <c r="FT860" s="15">
        <f t="shared" si="733"/>
        <v>0.25999999999999979</v>
      </c>
      <c r="FU860" s="15">
        <f t="shared" si="734"/>
        <v>3.4623964566047771E-2</v>
      </c>
      <c r="FV860" s="15">
        <f>((FR860*FR860)/(AR860*FP860*FP860)+(FO860*FO860)/(AR860*FM860*FM860))</f>
        <v>1.0658247068916877E-3</v>
      </c>
      <c r="FX860" s="15">
        <v>17.330400000000001</v>
      </c>
      <c r="FY860" s="15">
        <f t="shared" si="745"/>
        <v>0.86652000000000007</v>
      </c>
      <c r="FZ860" s="15">
        <f>FY860*SQRT(AR860)</f>
        <v>1.7330400000000001</v>
      </c>
      <c r="GA860" s="15">
        <v>21.767399999999999</v>
      </c>
      <c r="GB860" s="15">
        <f t="shared" si="746"/>
        <v>1.0883700000000001</v>
      </c>
      <c r="GC860" s="15">
        <f>GB860*SQRT(AR860)</f>
        <v>2.1767400000000001</v>
      </c>
      <c r="GD860" s="15">
        <f t="shared" si="751"/>
        <v>1.256024096385542</v>
      </c>
      <c r="GE860" s="15">
        <f t="shared" si="747"/>
        <v>4.4369999999999976</v>
      </c>
      <c r="GF860" s="15">
        <f t="shared" si="748"/>
        <v>0.22795125288231288</v>
      </c>
      <c r="GG860" s="15">
        <f>((GC860*GC860)/(AR860*GA860*GA860)+(FZ860*FZ860)/(AR860*FX860*FX860))</f>
        <v>5.000000000000001E-3</v>
      </c>
      <c r="HE860" s="15">
        <v>11954</v>
      </c>
      <c r="HF860" s="15">
        <f t="shared" si="740"/>
        <v>597.70000000000005</v>
      </c>
      <c r="HG860" s="15">
        <f>HF860*SQRT(AR860)</f>
        <v>1195.4000000000001</v>
      </c>
      <c r="HH860" s="15">
        <v>12436</v>
      </c>
      <c r="HI860" s="15">
        <f t="shared" si="741"/>
        <v>621.80000000000007</v>
      </c>
      <c r="HJ860" s="15">
        <f>HI860*SQRT(AR860)</f>
        <v>1243.6000000000001</v>
      </c>
      <c r="HK860" s="15">
        <f t="shared" si="719"/>
        <v>1.0403212313869834</v>
      </c>
      <c r="HL860" s="15">
        <f t="shared" si="720"/>
        <v>482</v>
      </c>
      <c r="HM860" s="15">
        <f t="shared" si="721"/>
        <v>3.9529541794445677E-2</v>
      </c>
      <c r="HN860" s="15">
        <f>((HJ860*HJ860)/(AR860*HH860*HH860)+(HG860*HG860)/(AR860*HE860*HE860))</f>
        <v>5.000000000000001E-3</v>
      </c>
      <c r="HP860" s="15" t="s">
        <v>766</v>
      </c>
      <c r="HV860" s="15">
        <f t="shared" si="722"/>
        <v>505.95071665642769</v>
      </c>
      <c r="HW860" s="15">
        <f t="shared" si="742"/>
        <v>3.9529541794445677E-2</v>
      </c>
      <c r="HX860" s="15">
        <f t="shared" si="758"/>
        <v>2000</v>
      </c>
      <c r="HY860" s="15">
        <f t="shared" si="759"/>
        <v>10000</v>
      </c>
      <c r="HZ860" s="15">
        <f t="shared" si="759"/>
        <v>16.666666666666668</v>
      </c>
      <c r="IA860" s="15">
        <f t="shared" si="759"/>
        <v>2000</v>
      </c>
    </row>
    <row r="861" spans="1:235" s="15" customFormat="1" x14ac:dyDescent="0.25">
      <c r="A861" s="31">
        <v>859</v>
      </c>
      <c r="B861" s="1">
        <v>136</v>
      </c>
      <c r="C861" s="1">
        <v>159</v>
      </c>
      <c r="D861" s="15" t="s">
        <v>1951</v>
      </c>
      <c r="E861" s="1">
        <v>5</v>
      </c>
      <c r="F861" s="15" t="s">
        <v>798</v>
      </c>
      <c r="G861" s="15" t="s">
        <v>2412</v>
      </c>
      <c r="H861" s="15" t="s">
        <v>818</v>
      </c>
      <c r="I861" s="1">
        <v>2020</v>
      </c>
      <c r="J861" s="15" t="s">
        <v>2413</v>
      </c>
      <c r="K861" s="1" t="s">
        <v>1948</v>
      </c>
      <c r="L861" s="15" t="s">
        <v>2414</v>
      </c>
      <c r="M861" s="15" t="s">
        <v>480</v>
      </c>
      <c r="N861" s="15" t="s">
        <v>23</v>
      </c>
      <c r="O861" s="31">
        <v>3</v>
      </c>
      <c r="P861" s="15">
        <v>43.32</v>
      </c>
      <c r="Q861" s="15">
        <v>124.23</v>
      </c>
      <c r="R861" s="15" t="s">
        <v>532</v>
      </c>
      <c r="S861" s="15">
        <v>577</v>
      </c>
      <c r="T861" s="15">
        <v>5.8</v>
      </c>
      <c r="U861" s="15" t="s">
        <v>1893</v>
      </c>
      <c r="V861" s="31">
        <v>1</v>
      </c>
      <c r="W861" s="16" t="s">
        <v>2415</v>
      </c>
      <c r="X861" s="15" t="s">
        <v>731</v>
      </c>
      <c r="Y861" s="1">
        <v>12</v>
      </c>
      <c r="Z861" s="15">
        <v>7.1</v>
      </c>
      <c r="AA861" s="15" t="s">
        <v>573</v>
      </c>
      <c r="AB861" s="15">
        <f t="shared" si="725"/>
        <v>7.1</v>
      </c>
      <c r="AC861" s="1">
        <v>6</v>
      </c>
      <c r="AD861" s="15">
        <f t="shared" si="757"/>
        <v>19.775000000000002</v>
      </c>
      <c r="AJ861" s="15">
        <v>47.65</v>
      </c>
      <c r="AK861" s="15">
        <v>27.54</v>
      </c>
      <c r="AL861" s="15">
        <v>24.81</v>
      </c>
      <c r="AM861" s="1">
        <v>1</v>
      </c>
      <c r="AP861" s="15" t="s">
        <v>2416</v>
      </c>
      <c r="AQ861" s="1">
        <v>4</v>
      </c>
      <c r="AR861" s="1">
        <v>4</v>
      </c>
      <c r="BP861" s="16"/>
      <c r="BQ861" s="16"/>
      <c r="BR861" s="16"/>
      <c r="BU861" s="16"/>
      <c r="DB861" s="15" t="s">
        <v>804</v>
      </c>
      <c r="DD861" s="15">
        <v>10000</v>
      </c>
      <c r="DE861" s="15">
        <f t="shared" si="752"/>
        <v>10000</v>
      </c>
      <c r="DF861" s="15" t="s">
        <v>766</v>
      </c>
      <c r="DS861" s="15">
        <f>DE861</f>
        <v>10000</v>
      </c>
      <c r="DT861" s="15">
        <f t="shared" si="753"/>
        <v>16.666666666666668</v>
      </c>
      <c r="DU861" s="15">
        <f t="shared" si="754"/>
        <v>2000</v>
      </c>
      <c r="EZ861" s="16"/>
      <c r="FA861" s="16"/>
      <c r="FB861" s="16"/>
      <c r="FC861" s="16"/>
      <c r="FD861" s="16"/>
      <c r="FE861" s="16"/>
      <c r="FF861" s="16"/>
      <c r="FG861" s="16"/>
      <c r="FH861" s="16"/>
      <c r="FI861" s="16"/>
      <c r="FJ861" s="16"/>
      <c r="FK861" s="16">
        <f t="shared" si="730"/>
        <v>7.35</v>
      </c>
      <c r="FL861" s="16">
        <f t="shared" si="731"/>
        <v>7.62</v>
      </c>
      <c r="FM861" s="15">
        <v>7.35</v>
      </c>
      <c r="FN861" s="15">
        <v>0.16</v>
      </c>
      <c r="FO861" s="15">
        <f>FN861*SQRT(AR861)</f>
        <v>0.32</v>
      </c>
      <c r="FP861" s="15">
        <v>7.62</v>
      </c>
      <c r="FQ861" s="15">
        <v>0.21</v>
      </c>
      <c r="FR861" s="15">
        <f>FQ861*SQRT(AR861)</f>
        <v>0.42</v>
      </c>
      <c r="FS861" s="15">
        <f t="shared" si="732"/>
        <v>1.036734693877551</v>
      </c>
      <c r="FT861" s="15">
        <f t="shared" si="733"/>
        <v>0.27000000000000046</v>
      </c>
      <c r="FU861" s="15">
        <f t="shared" si="734"/>
        <v>3.6076056473809626E-2</v>
      </c>
      <c r="FV861" s="15">
        <f>((FR861*FR861)/(AR861*FP861*FP861)+(FO861*FO861)/(AR861*FM861*FM861))</f>
        <v>1.233378144483162E-3</v>
      </c>
      <c r="FX861" s="15">
        <v>18.652800000000003</v>
      </c>
      <c r="FY861" s="15">
        <f t="shared" si="745"/>
        <v>0.93264000000000014</v>
      </c>
      <c r="FZ861" s="15">
        <f>FY861*SQRT(AR861)</f>
        <v>1.8652800000000003</v>
      </c>
      <c r="GA861" s="15">
        <v>22.654799999999998</v>
      </c>
      <c r="GB861" s="15">
        <f t="shared" si="746"/>
        <v>1.1327399999999999</v>
      </c>
      <c r="GC861" s="15">
        <f>GB861*SQRT(AR861)</f>
        <v>2.2654799999999997</v>
      </c>
      <c r="GD861" s="15">
        <f t="shared" si="751"/>
        <v>1.21455223880597</v>
      </c>
      <c r="GE861" s="15">
        <f t="shared" si="747"/>
        <v>4.0019999999999953</v>
      </c>
      <c r="GF861" s="15">
        <f t="shared" si="748"/>
        <v>0.19437548113776693</v>
      </c>
      <c r="GG861" s="15">
        <f>((GC861*GC861)/(AR861*GA861*GA861)+(FZ861*FZ861)/(AR861*FX861*FX861))</f>
        <v>4.9999999999999992E-3</v>
      </c>
      <c r="HE861" s="15">
        <v>11715</v>
      </c>
      <c r="HF861" s="15">
        <f t="shared" si="740"/>
        <v>585.75</v>
      </c>
      <c r="HG861" s="15">
        <f>HF861*SQRT(AR861)</f>
        <v>1171.5</v>
      </c>
      <c r="HH861" s="15">
        <v>12197</v>
      </c>
      <c r="HI861" s="15">
        <f t="shared" si="741"/>
        <v>609.85</v>
      </c>
      <c r="HJ861" s="15">
        <f>HI861*SQRT(AR861)</f>
        <v>1219.7</v>
      </c>
      <c r="HK861" s="15">
        <f t="shared" si="719"/>
        <v>1.0411438326931284</v>
      </c>
      <c r="HL861" s="15">
        <f t="shared" si="720"/>
        <v>482</v>
      </c>
      <c r="HM861" s="15">
        <f t="shared" si="721"/>
        <v>4.0319947901343411E-2</v>
      </c>
      <c r="HN861" s="15">
        <f>((HJ861*HJ861)/(AR861*HH861*HH861)+(HG861*HG861)/(AR861*HE861*HE861))</f>
        <v>5.0000000000000001E-3</v>
      </c>
      <c r="HP861" s="15" t="s">
        <v>766</v>
      </c>
      <c r="HV861" s="15">
        <f t="shared" si="722"/>
        <v>496.03238696976655</v>
      </c>
      <c r="HW861" s="15">
        <f t="shared" si="742"/>
        <v>4.0319947901343411E-2</v>
      </c>
      <c r="HX861" s="15">
        <f t="shared" si="758"/>
        <v>2000</v>
      </c>
      <c r="HY861" s="15">
        <f t="shared" si="759"/>
        <v>10000</v>
      </c>
      <c r="HZ861" s="15">
        <f t="shared" si="759"/>
        <v>16.666666666666668</v>
      </c>
      <c r="IA861" s="15">
        <f t="shared" si="759"/>
        <v>2000</v>
      </c>
    </row>
    <row r="862" spans="1:235" s="15" customFormat="1" x14ac:dyDescent="0.25">
      <c r="A862" s="31">
        <v>860</v>
      </c>
      <c r="B862" s="1">
        <v>136</v>
      </c>
      <c r="C862" s="1">
        <v>159</v>
      </c>
      <c r="D862" s="15" t="s">
        <v>1952</v>
      </c>
      <c r="E862" s="1">
        <v>5</v>
      </c>
      <c r="F862" s="15" t="s">
        <v>798</v>
      </c>
      <c r="G862" s="15" t="s">
        <v>2412</v>
      </c>
      <c r="H862" s="15" t="s">
        <v>818</v>
      </c>
      <c r="I862" s="1">
        <v>2020</v>
      </c>
      <c r="J862" s="15" t="s">
        <v>2413</v>
      </c>
      <c r="K862" s="1" t="s">
        <v>1948</v>
      </c>
      <c r="L862" s="15" t="s">
        <v>2414</v>
      </c>
      <c r="M862" s="15" t="s">
        <v>480</v>
      </c>
      <c r="N862" s="15" t="s">
        <v>23</v>
      </c>
      <c r="O862" s="31">
        <v>3</v>
      </c>
      <c r="P862" s="15">
        <v>43.32</v>
      </c>
      <c r="Q862" s="15">
        <v>124.23</v>
      </c>
      <c r="R862" s="15" t="s">
        <v>532</v>
      </c>
      <c r="S862" s="15">
        <v>577</v>
      </c>
      <c r="T862" s="15">
        <v>5.8</v>
      </c>
      <c r="U862" s="15" t="s">
        <v>1893</v>
      </c>
      <c r="V862" s="31">
        <v>1</v>
      </c>
      <c r="W862" s="16" t="s">
        <v>2415</v>
      </c>
      <c r="X862" s="15" t="s">
        <v>731</v>
      </c>
      <c r="Y862" s="1">
        <v>12</v>
      </c>
      <c r="Z862" s="15">
        <v>7.1</v>
      </c>
      <c r="AA862" s="15" t="s">
        <v>573</v>
      </c>
      <c r="AB862" s="15">
        <f t="shared" si="725"/>
        <v>7.1</v>
      </c>
      <c r="AC862" s="1">
        <v>6</v>
      </c>
      <c r="AD862" s="15">
        <f t="shared" si="757"/>
        <v>19.775000000000002</v>
      </c>
      <c r="AJ862" s="15">
        <v>47.65</v>
      </c>
      <c r="AK862" s="15">
        <v>27.54</v>
      </c>
      <c r="AL862" s="15">
        <v>24.81</v>
      </c>
      <c r="AM862" s="1">
        <v>1</v>
      </c>
      <c r="AP862" s="15" t="s">
        <v>2416</v>
      </c>
      <c r="AQ862" s="1">
        <v>4</v>
      </c>
      <c r="AR862" s="1">
        <v>4</v>
      </c>
      <c r="BP862" s="16"/>
      <c r="BQ862" s="16"/>
      <c r="BR862" s="16"/>
      <c r="BU862" s="16"/>
      <c r="DB862" s="15" t="s">
        <v>804</v>
      </c>
      <c r="DD862" s="15">
        <v>10000</v>
      </c>
      <c r="DE862" s="15">
        <f t="shared" si="752"/>
        <v>10000</v>
      </c>
      <c r="DF862" s="15" t="s">
        <v>766</v>
      </c>
      <c r="DS862" s="15">
        <f>DE862</f>
        <v>10000</v>
      </c>
      <c r="DT862" s="15">
        <f t="shared" si="753"/>
        <v>16.666666666666668</v>
      </c>
      <c r="DU862" s="15">
        <f t="shared" si="754"/>
        <v>2000</v>
      </c>
      <c r="EZ862" s="16"/>
      <c r="FA862" s="16"/>
      <c r="FB862" s="16"/>
      <c r="FC862" s="16"/>
      <c r="FD862" s="16"/>
      <c r="FE862" s="16"/>
      <c r="FF862" s="16"/>
      <c r="FG862" s="16"/>
      <c r="FH862" s="16"/>
      <c r="FI862" s="16"/>
      <c r="FJ862" s="16"/>
      <c r="FK862" s="16">
        <f t="shared" si="730"/>
        <v>7.34</v>
      </c>
      <c r="FL862" s="16">
        <f t="shared" si="731"/>
        <v>7.64</v>
      </c>
      <c r="FM862" s="15">
        <v>7.34</v>
      </c>
      <c r="FN862" s="15">
        <v>0.2</v>
      </c>
      <c r="FO862" s="15">
        <f>FN862*SQRT(AR862)</f>
        <v>0.4</v>
      </c>
      <c r="FP862" s="15">
        <v>7.64</v>
      </c>
      <c r="FQ862" s="15">
        <v>0.21</v>
      </c>
      <c r="FR862" s="15">
        <f>FQ862*SQRT(AR862)</f>
        <v>0.42</v>
      </c>
      <c r="FS862" s="15">
        <f t="shared" si="732"/>
        <v>1.0408719346049047</v>
      </c>
      <c r="FT862" s="15">
        <f t="shared" si="733"/>
        <v>0.29999999999999982</v>
      </c>
      <c r="FU862" s="15">
        <f t="shared" si="734"/>
        <v>4.0058760552004635E-2</v>
      </c>
      <c r="FV862" s="15">
        <f>((FR862*FR862)/(AR862*FP862*FP862)+(FO862*FO862)/(AR862*FM862*FM862))</f>
        <v>1.4979814041885893E-3</v>
      </c>
      <c r="FX862" s="15">
        <v>19.401</v>
      </c>
      <c r="FY862" s="15">
        <f t="shared" si="745"/>
        <v>0.97005000000000008</v>
      </c>
      <c r="FZ862" s="15">
        <f>FY862*SQRT(AR862)</f>
        <v>1.9401000000000002</v>
      </c>
      <c r="GA862" s="15">
        <v>22.950599999999998</v>
      </c>
      <c r="GB862" s="15">
        <f t="shared" si="746"/>
        <v>1.1475299999999999</v>
      </c>
      <c r="GC862" s="15">
        <f>GB862*SQRT(AR862)</f>
        <v>2.2950599999999999</v>
      </c>
      <c r="GD862" s="15">
        <f t="shared" si="751"/>
        <v>1.1829596412556054</v>
      </c>
      <c r="GE862" s="15">
        <f t="shared" si="747"/>
        <v>3.5495999999999981</v>
      </c>
      <c r="GF862" s="15">
        <f t="shared" si="748"/>
        <v>0.1680194688230956</v>
      </c>
      <c r="GG862" s="15">
        <f>((GC862*GC862)/(AR862*GA862*GA862)+(FZ862*FZ862)/(AR862*FX862*FX862))</f>
        <v>5.000000000000001E-3</v>
      </c>
      <c r="HE862" s="15">
        <v>11404</v>
      </c>
      <c r="HF862" s="15">
        <f t="shared" si="740"/>
        <v>570.20000000000005</v>
      </c>
      <c r="HG862" s="15">
        <f>HF862*SQRT(AR862)</f>
        <v>1140.4000000000001</v>
      </c>
      <c r="HH862" s="15">
        <v>12898</v>
      </c>
      <c r="HI862" s="15">
        <f t="shared" si="741"/>
        <v>644.90000000000009</v>
      </c>
      <c r="HJ862" s="15">
        <f>HI862*SQRT(AR862)</f>
        <v>1289.8000000000002</v>
      </c>
      <c r="HK862" s="15">
        <f t="shared" si="719"/>
        <v>1.1310066643283059</v>
      </c>
      <c r="HL862" s="15">
        <f t="shared" si="720"/>
        <v>1494</v>
      </c>
      <c r="HM862" s="15">
        <f t="shared" si="721"/>
        <v>0.12310808953776053</v>
      </c>
      <c r="HN862" s="15">
        <f>((HJ862*HJ862)/(AR862*HH862*HH862)+(HG862*HG862)/(AR862*HE862*HE862))</f>
        <v>5.000000000000001E-3</v>
      </c>
      <c r="HP862" s="15" t="s">
        <v>766</v>
      </c>
      <c r="HV862" s="15">
        <f t="shared" si="722"/>
        <v>162.45886094971416</v>
      </c>
      <c r="HW862" s="15">
        <f t="shared" si="742"/>
        <v>0.12310808953776053</v>
      </c>
      <c r="HX862" s="15">
        <f t="shared" si="758"/>
        <v>2000</v>
      </c>
      <c r="HY862" s="15">
        <f t="shared" si="759"/>
        <v>10000</v>
      </c>
      <c r="HZ862" s="15">
        <f t="shared" si="759"/>
        <v>16.666666666666668</v>
      </c>
      <c r="IA862" s="15">
        <f t="shared" si="759"/>
        <v>2000</v>
      </c>
    </row>
    <row r="863" spans="1:235" s="15" customFormat="1" x14ac:dyDescent="0.25">
      <c r="A863" s="31">
        <v>861</v>
      </c>
      <c r="B863" s="1">
        <v>136</v>
      </c>
      <c r="C863" s="1">
        <v>159</v>
      </c>
      <c r="D863" s="15" t="s">
        <v>1953</v>
      </c>
      <c r="E863" s="1">
        <v>4</v>
      </c>
      <c r="F863" s="15" t="s">
        <v>879</v>
      </c>
      <c r="G863" s="15" t="s">
        <v>2412</v>
      </c>
      <c r="H863" s="15" t="s">
        <v>818</v>
      </c>
      <c r="I863" s="1">
        <v>2020</v>
      </c>
      <c r="J863" s="15" t="s">
        <v>2413</v>
      </c>
      <c r="K863" s="1" t="s">
        <v>1948</v>
      </c>
      <c r="L863" s="15" t="s">
        <v>2414</v>
      </c>
      <c r="M863" s="15" t="s">
        <v>480</v>
      </c>
      <c r="N863" s="15" t="s">
        <v>23</v>
      </c>
      <c r="O863" s="31">
        <v>3</v>
      </c>
      <c r="P863" s="15">
        <v>43.32</v>
      </c>
      <c r="Q863" s="15">
        <v>124.23</v>
      </c>
      <c r="R863" s="15" t="s">
        <v>532</v>
      </c>
      <c r="S863" s="15">
        <v>577</v>
      </c>
      <c r="T863" s="15">
        <v>5.8</v>
      </c>
      <c r="U863" s="15" t="s">
        <v>1893</v>
      </c>
      <c r="V863" s="31">
        <v>1</v>
      </c>
      <c r="W863" s="16" t="s">
        <v>2415</v>
      </c>
      <c r="X863" s="15" t="s">
        <v>731</v>
      </c>
      <c r="Y863" s="1">
        <v>12</v>
      </c>
      <c r="Z863" s="15">
        <v>7.1</v>
      </c>
      <c r="AA863" s="15" t="s">
        <v>573</v>
      </c>
      <c r="AB863" s="15">
        <f t="shared" si="725"/>
        <v>7.1</v>
      </c>
      <c r="AC863" s="1">
        <v>6</v>
      </c>
      <c r="AD863" s="15">
        <f t="shared" si="757"/>
        <v>19.775000000000002</v>
      </c>
      <c r="AJ863" s="15">
        <v>47.65</v>
      </c>
      <c r="AK863" s="15">
        <v>27.54</v>
      </c>
      <c r="AL863" s="15">
        <v>24.81</v>
      </c>
      <c r="AM863" s="1">
        <v>1</v>
      </c>
      <c r="AP863" s="15" t="s">
        <v>2416</v>
      </c>
      <c r="AQ863" s="1">
        <v>4</v>
      </c>
      <c r="AR863" s="1">
        <v>4</v>
      </c>
      <c r="BG863" s="15" t="s">
        <v>1303</v>
      </c>
      <c r="BP863" s="16"/>
      <c r="BQ863" s="16"/>
      <c r="BR863" s="16"/>
      <c r="BS863" s="15">
        <v>3500</v>
      </c>
      <c r="BT863" s="15">
        <f>BS863</f>
        <v>3500</v>
      </c>
      <c r="BU863" s="16" t="s">
        <v>766</v>
      </c>
      <c r="BY863" s="15">
        <f>BT863</f>
        <v>3500</v>
      </c>
      <c r="BZ863" s="15">
        <f>BY863/1.1/1000</f>
        <v>3.1818181818181817</v>
      </c>
      <c r="CA863" s="15">
        <f>BY863*2</f>
        <v>7000</v>
      </c>
      <c r="EZ863" s="16"/>
      <c r="FA863" s="16"/>
      <c r="FB863" s="16"/>
      <c r="FC863" s="16"/>
      <c r="FD863" s="16"/>
      <c r="FE863" s="16"/>
      <c r="FF863" s="16"/>
      <c r="FG863" s="16"/>
      <c r="FH863" s="16"/>
      <c r="FI863" s="16"/>
      <c r="FJ863" s="16"/>
      <c r="FK863" s="16">
        <f t="shared" si="730"/>
        <v>7.38</v>
      </c>
      <c r="FL863" s="16">
        <f t="shared" si="731"/>
        <v>7.6</v>
      </c>
      <c r="FM863" s="15">
        <v>7.38</v>
      </c>
      <c r="FN863" s="15">
        <v>0.13</v>
      </c>
      <c r="FO863" s="15">
        <f>FN863*SQRT(AR863)</f>
        <v>0.26</v>
      </c>
      <c r="FP863" s="15">
        <v>7.6</v>
      </c>
      <c r="FQ863" s="15">
        <v>0.24</v>
      </c>
      <c r="FR863" s="15">
        <f>FQ863*SQRT(AR863)</f>
        <v>0.48</v>
      </c>
      <c r="FS863" s="15">
        <f t="shared" si="732"/>
        <v>1.0298102981029811</v>
      </c>
      <c r="FT863" s="15">
        <f t="shared" si="733"/>
        <v>0.21999999999999975</v>
      </c>
      <c r="FU863" s="15">
        <f t="shared" si="734"/>
        <v>2.9374608679904046E-2</v>
      </c>
      <c r="FV863" s="15">
        <f>((FR863*FR863)/(AR863*FP863*FP863)+(FO863*FO863)/(AR863*FM863*FM863))</f>
        <v>1.3075243477550947E-3</v>
      </c>
      <c r="FX863" s="15">
        <v>17.330400000000001</v>
      </c>
      <c r="FY863" s="15">
        <f t="shared" si="745"/>
        <v>0.86652000000000007</v>
      </c>
      <c r="FZ863" s="15">
        <f>FY863*SQRT(AR863)</f>
        <v>1.7330400000000001</v>
      </c>
      <c r="GA863" s="15">
        <v>21.923999999999999</v>
      </c>
      <c r="GB863" s="15">
        <f t="shared" si="746"/>
        <v>1.0962000000000001</v>
      </c>
      <c r="GC863" s="15">
        <f>GB863*SQRT(AR863)</f>
        <v>2.1924000000000001</v>
      </c>
      <c r="GD863" s="15">
        <f t="shared" si="751"/>
        <v>1.2650602409638554</v>
      </c>
      <c r="GE863" s="15">
        <f t="shared" si="747"/>
        <v>4.5935999999999986</v>
      </c>
      <c r="GF863" s="15">
        <f t="shared" si="748"/>
        <v>0.23511974236092525</v>
      </c>
      <c r="GG863" s="15">
        <f>((GC863*GC863)/(AR863*GA863*GA863)+(FZ863*FZ863)/(AR863*FX863*FX863))</f>
        <v>5.000000000000001E-3</v>
      </c>
      <c r="HE863" s="15">
        <v>11954</v>
      </c>
      <c r="HF863" s="15">
        <f t="shared" si="740"/>
        <v>597.70000000000005</v>
      </c>
      <c r="HG863" s="15">
        <f>HF863*SQRT(AR863)</f>
        <v>1195.4000000000001</v>
      </c>
      <c r="HH863" s="15">
        <v>12371</v>
      </c>
      <c r="HI863" s="15">
        <f t="shared" si="741"/>
        <v>618.55000000000007</v>
      </c>
      <c r="HJ863" s="15">
        <f>HI863*SQRT(AR863)</f>
        <v>1237.1000000000001</v>
      </c>
      <c r="HK863" s="15">
        <f t="shared" si="719"/>
        <v>1.0348837209302326</v>
      </c>
      <c r="HL863" s="15">
        <f t="shared" si="720"/>
        <v>417</v>
      </c>
      <c r="HM863" s="15">
        <f t="shared" si="721"/>
        <v>3.4289073478632304E-2</v>
      </c>
      <c r="HN863" s="15">
        <f>((HJ863*HJ863)/(AR863*HH863*HH863)+(HG863*HG863)/(AR863*HE863*HE863))</f>
        <v>5.000000000000001E-3</v>
      </c>
      <c r="HP863" s="15" t="s">
        <v>766</v>
      </c>
      <c r="HV863" s="15">
        <f t="shared" si="722"/>
        <v>2041.4666509907722</v>
      </c>
      <c r="HW863" s="15">
        <f t="shared" si="742"/>
        <v>3.4289073478632304E-2</v>
      </c>
      <c r="HX863" s="15">
        <f>CA863</f>
        <v>7000</v>
      </c>
      <c r="HY863" s="15">
        <f>BY863</f>
        <v>3500</v>
      </c>
      <c r="HZ863" s="15">
        <f>BZ863</f>
        <v>3.1818181818181817</v>
      </c>
      <c r="IA863" s="15">
        <f>CA863</f>
        <v>7000</v>
      </c>
    </row>
    <row r="864" spans="1:235" s="15" customFormat="1" x14ac:dyDescent="0.25">
      <c r="A864" s="31">
        <v>862</v>
      </c>
      <c r="B864" s="1">
        <v>136</v>
      </c>
      <c r="C864" s="1">
        <v>159</v>
      </c>
      <c r="D864" s="15" t="s">
        <v>1954</v>
      </c>
      <c r="E864" s="1">
        <v>4</v>
      </c>
      <c r="F864" s="15" t="s">
        <v>879</v>
      </c>
      <c r="G864" s="15" t="s">
        <v>2412</v>
      </c>
      <c r="H864" s="15" t="s">
        <v>818</v>
      </c>
      <c r="I864" s="1">
        <v>2020</v>
      </c>
      <c r="J864" s="15" t="s">
        <v>2413</v>
      </c>
      <c r="K864" s="1" t="s">
        <v>1948</v>
      </c>
      <c r="L864" s="15" t="s">
        <v>2414</v>
      </c>
      <c r="M864" s="15" t="s">
        <v>480</v>
      </c>
      <c r="N864" s="15" t="s">
        <v>23</v>
      </c>
      <c r="O864" s="31">
        <v>3</v>
      </c>
      <c r="P864" s="15">
        <v>43.32</v>
      </c>
      <c r="Q864" s="15">
        <v>124.23</v>
      </c>
      <c r="R864" s="15" t="s">
        <v>532</v>
      </c>
      <c r="S864" s="15">
        <v>577</v>
      </c>
      <c r="T864" s="15">
        <v>5.8</v>
      </c>
      <c r="U864" s="15" t="s">
        <v>1893</v>
      </c>
      <c r="V864" s="31">
        <v>1</v>
      </c>
      <c r="W864" s="16" t="s">
        <v>2415</v>
      </c>
      <c r="X864" s="15" t="s">
        <v>731</v>
      </c>
      <c r="Y864" s="1">
        <v>12</v>
      </c>
      <c r="Z864" s="15">
        <v>7.1</v>
      </c>
      <c r="AA864" s="15" t="s">
        <v>573</v>
      </c>
      <c r="AB864" s="15">
        <f t="shared" si="725"/>
        <v>7.1</v>
      </c>
      <c r="AC864" s="1">
        <v>6</v>
      </c>
      <c r="AD864" s="15">
        <f t="shared" si="757"/>
        <v>19.775000000000002</v>
      </c>
      <c r="AJ864" s="15">
        <v>47.65</v>
      </c>
      <c r="AK864" s="15">
        <v>27.54</v>
      </c>
      <c r="AL864" s="15">
        <v>24.81</v>
      </c>
      <c r="AM864" s="1">
        <v>1</v>
      </c>
      <c r="AP864" s="15" t="s">
        <v>2416</v>
      </c>
      <c r="AQ864" s="1">
        <v>4</v>
      </c>
      <c r="AR864" s="1">
        <v>4</v>
      </c>
      <c r="BG864" s="15" t="s">
        <v>1303</v>
      </c>
      <c r="BP864" s="16"/>
      <c r="BQ864" s="16"/>
      <c r="BR864" s="16"/>
      <c r="BS864" s="15">
        <v>3500</v>
      </c>
      <c r="BT864" s="15">
        <f>BS864</f>
        <v>3500</v>
      </c>
      <c r="BU864" s="16" t="s">
        <v>766</v>
      </c>
      <c r="BY864" s="15">
        <f>BT864</f>
        <v>3500</v>
      </c>
      <c r="BZ864" s="15">
        <f>BY864/1.1/1000</f>
        <v>3.1818181818181817</v>
      </c>
      <c r="CA864" s="15">
        <f>BY864*2</f>
        <v>7000</v>
      </c>
      <c r="EZ864" s="16"/>
      <c r="FA864" s="16"/>
      <c r="FB864" s="16"/>
      <c r="FC864" s="16"/>
      <c r="FD864" s="16"/>
      <c r="FE864" s="16"/>
      <c r="FF864" s="16"/>
      <c r="FG864" s="16"/>
      <c r="FH864" s="16"/>
      <c r="FI864" s="16"/>
      <c r="FJ864" s="16"/>
      <c r="FK864" s="16">
        <f t="shared" si="730"/>
        <v>7.35</v>
      </c>
      <c r="FL864" s="16">
        <f t="shared" si="731"/>
        <v>7.66</v>
      </c>
      <c r="FM864" s="15">
        <v>7.35</v>
      </c>
      <c r="FN864" s="15">
        <v>0.16</v>
      </c>
      <c r="FO864" s="15">
        <f>FN864*SQRT(AR864)</f>
        <v>0.32</v>
      </c>
      <c r="FP864" s="15">
        <v>7.66</v>
      </c>
      <c r="FQ864" s="15">
        <v>0.26</v>
      </c>
      <c r="FR864" s="15">
        <f>FQ864*SQRT(AR864)</f>
        <v>0.52</v>
      </c>
      <c r="FS864" s="15">
        <f t="shared" si="732"/>
        <v>1.0421768707482995</v>
      </c>
      <c r="FT864" s="15">
        <f t="shared" si="733"/>
        <v>0.3100000000000005</v>
      </c>
      <c r="FU864" s="15">
        <f t="shared" si="734"/>
        <v>4.1311670527754973E-2</v>
      </c>
      <c r="FV864" s="15">
        <f>((FR864*FR864)/(AR864*FP864*FP864)+(FO864*FO864)/(AR864*FM864*FM864))</f>
        <v>1.6259739197557685E-3</v>
      </c>
      <c r="FX864" s="15">
        <v>18.652800000000003</v>
      </c>
      <c r="FY864" s="15">
        <f t="shared" si="745"/>
        <v>0.93264000000000014</v>
      </c>
      <c r="FZ864" s="15">
        <f>FY864*SQRT(AR864)</f>
        <v>1.8652800000000003</v>
      </c>
      <c r="GA864" s="15">
        <v>21.175799999999999</v>
      </c>
      <c r="GB864" s="15">
        <f t="shared" si="746"/>
        <v>1.0587899999999999</v>
      </c>
      <c r="GC864" s="15">
        <f>GB864*SQRT(AR864)</f>
        <v>2.1175799999999998</v>
      </c>
      <c r="GD864" s="15">
        <f t="shared" si="751"/>
        <v>1.1352611940298505</v>
      </c>
      <c r="GE864" s="15">
        <f t="shared" si="747"/>
        <v>2.5229999999999961</v>
      </c>
      <c r="GF864" s="15">
        <f t="shared" si="748"/>
        <v>0.12686275135677993</v>
      </c>
      <c r="GG864" s="15">
        <f>((GC864*GC864)/(AR864*GA864*GA864)+(FZ864*FZ864)/(AR864*FX864*FX864))</f>
        <v>4.9999999999999992E-3</v>
      </c>
      <c r="HE864" s="15">
        <v>11715</v>
      </c>
      <c r="HF864" s="15">
        <f t="shared" si="740"/>
        <v>585.75</v>
      </c>
      <c r="HG864" s="15">
        <f>HF864*SQRT(AR864)</f>
        <v>1171.5</v>
      </c>
      <c r="HH864" s="15">
        <v>11916</v>
      </c>
      <c r="HI864" s="15">
        <f t="shared" si="741"/>
        <v>595.80000000000007</v>
      </c>
      <c r="HJ864" s="15">
        <f>HI864*SQRT(AR864)</f>
        <v>1191.6000000000001</v>
      </c>
      <c r="HK864" s="15">
        <f t="shared" si="719"/>
        <v>1.0171574903969269</v>
      </c>
      <c r="HL864" s="15">
        <f t="shared" si="720"/>
        <v>201</v>
      </c>
      <c r="HM864" s="15">
        <f t="shared" si="721"/>
        <v>1.7011962891277932E-2</v>
      </c>
      <c r="HN864" s="15">
        <f>((HJ864*HJ864)/(AR864*HH864*HH864)+(HG864*HG864)/(AR864*HE864*HE864))</f>
        <v>5.000000000000001E-3</v>
      </c>
      <c r="HP864" s="15" t="s">
        <v>766</v>
      </c>
      <c r="HV864" s="15">
        <f t="shared" si="722"/>
        <v>4114.75151029686</v>
      </c>
      <c r="HW864" s="15">
        <f t="shared" si="742"/>
        <v>1.7011962891277932E-2</v>
      </c>
      <c r="HX864" s="15">
        <f>CA864</f>
        <v>7000</v>
      </c>
      <c r="HY864" s="15">
        <f>BY864</f>
        <v>3500</v>
      </c>
      <c r="HZ864" s="15">
        <f>BZ864</f>
        <v>3.1818181818181817</v>
      </c>
      <c r="IA864" s="15">
        <f>CA864</f>
        <v>7000</v>
      </c>
    </row>
    <row r="865" spans="1:235" s="15" customFormat="1" x14ac:dyDescent="0.25">
      <c r="A865" s="31">
        <v>863</v>
      </c>
      <c r="B865" s="1">
        <v>136</v>
      </c>
      <c r="C865" s="1">
        <v>159</v>
      </c>
      <c r="D865" s="15" t="s">
        <v>1955</v>
      </c>
      <c r="E865" s="1">
        <v>4</v>
      </c>
      <c r="F865" s="15" t="s">
        <v>879</v>
      </c>
      <c r="G865" s="15" t="s">
        <v>2412</v>
      </c>
      <c r="H865" s="15" t="s">
        <v>818</v>
      </c>
      <c r="I865" s="1">
        <v>2020</v>
      </c>
      <c r="J865" s="15" t="s">
        <v>2413</v>
      </c>
      <c r="K865" s="1" t="s">
        <v>1948</v>
      </c>
      <c r="L865" s="15" t="s">
        <v>2414</v>
      </c>
      <c r="M865" s="15" t="s">
        <v>480</v>
      </c>
      <c r="N865" s="15" t="s">
        <v>23</v>
      </c>
      <c r="O865" s="31">
        <v>3</v>
      </c>
      <c r="P865" s="15">
        <v>43.32</v>
      </c>
      <c r="Q865" s="15">
        <v>124.23</v>
      </c>
      <c r="R865" s="15" t="s">
        <v>532</v>
      </c>
      <c r="S865" s="15">
        <v>577</v>
      </c>
      <c r="T865" s="15">
        <v>5.8</v>
      </c>
      <c r="U865" s="15" t="s">
        <v>1893</v>
      </c>
      <c r="V865" s="31">
        <v>1</v>
      </c>
      <c r="W865" s="16" t="s">
        <v>2415</v>
      </c>
      <c r="X865" s="15" t="s">
        <v>731</v>
      </c>
      <c r="Y865" s="1">
        <v>12</v>
      </c>
      <c r="Z865" s="15">
        <v>7.1</v>
      </c>
      <c r="AA865" s="15" t="s">
        <v>573</v>
      </c>
      <c r="AB865" s="15">
        <f t="shared" si="725"/>
        <v>7.1</v>
      </c>
      <c r="AC865" s="1">
        <v>6</v>
      </c>
      <c r="AD865" s="15">
        <f t="shared" si="757"/>
        <v>19.775000000000002</v>
      </c>
      <c r="AJ865" s="15">
        <v>47.65</v>
      </c>
      <c r="AK865" s="15">
        <v>27.54</v>
      </c>
      <c r="AL865" s="15">
        <v>24.81</v>
      </c>
      <c r="AM865" s="1">
        <v>1</v>
      </c>
      <c r="AP865" s="15" t="s">
        <v>2416</v>
      </c>
      <c r="AQ865" s="1">
        <v>4</v>
      </c>
      <c r="AR865" s="1">
        <v>4</v>
      </c>
      <c r="BG865" s="15" t="s">
        <v>1303</v>
      </c>
      <c r="BP865" s="16"/>
      <c r="BQ865" s="16"/>
      <c r="BR865" s="16"/>
      <c r="BS865" s="15">
        <v>3500</v>
      </c>
      <c r="BT865" s="15">
        <f>BS865</f>
        <v>3500</v>
      </c>
      <c r="BU865" s="16" t="s">
        <v>766</v>
      </c>
      <c r="BY865" s="15">
        <f>BT865</f>
        <v>3500</v>
      </c>
      <c r="BZ865" s="15">
        <f>BY865/1.1/1000</f>
        <v>3.1818181818181817</v>
      </c>
      <c r="CA865" s="15">
        <f>BY865*2</f>
        <v>7000</v>
      </c>
      <c r="EZ865" s="16"/>
      <c r="FA865" s="16"/>
      <c r="FB865" s="16"/>
      <c r="FC865" s="16"/>
      <c r="FD865" s="16"/>
      <c r="FE865" s="16"/>
      <c r="FF865" s="16"/>
      <c r="FG865" s="16"/>
      <c r="FH865" s="16"/>
      <c r="FI865" s="16"/>
      <c r="FJ865" s="16"/>
      <c r="FK865" s="16">
        <f t="shared" si="730"/>
        <v>7.34</v>
      </c>
      <c r="FL865" s="16">
        <f t="shared" si="731"/>
        <v>7.71</v>
      </c>
      <c r="FM865" s="15">
        <v>7.34</v>
      </c>
      <c r="FN865" s="15">
        <v>0.2</v>
      </c>
      <c r="FO865" s="15">
        <f>FN865*SQRT(AR865)</f>
        <v>0.4</v>
      </c>
      <c r="FP865" s="15">
        <v>7.71</v>
      </c>
      <c r="FQ865" s="15">
        <v>0.21</v>
      </c>
      <c r="FR865" s="15">
        <f>FQ865*SQRT(AR865)</f>
        <v>0.42</v>
      </c>
      <c r="FS865" s="15">
        <f t="shared" si="732"/>
        <v>1.050408719346049</v>
      </c>
      <c r="FT865" s="15">
        <f t="shared" si="733"/>
        <v>0.37000000000000011</v>
      </c>
      <c r="FU865" s="15">
        <f t="shared" si="734"/>
        <v>4.9179344948814041E-2</v>
      </c>
      <c r="FV865" s="15">
        <f>((FR865*FR865)/(AR865*FP865*FP865)+(FO865*FO865)/(AR865*FM865*FM865))</f>
        <v>1.4843245857390098E-3</v>
      </c>
      <c r="FX865" s="15">
        <v>19.401</v>
      </c>
      <c r="FY865" s="15">
        <f t="shared" si="745"/>
        <v>0.97005000000000008</v>
      </c>
      <c r="FZ865" s="15">
        <f>FY865*SQRT(AR865)</f>
        <v>1.9401000000000002</v>
      </c>
      <c r="GA865" s="15">
        <v>19.540200000000002</v>
      </c>
      <c r="GB865" s="15">
        <f t="shared" si="746"/>
        <v>0.97701000000000016</v>
      </c>
      <c r="GC865" s="15">
        <f>GB865*SQRT(AR865)</f>
        <v>1.9540200000000003</v>
      </c>
      <c r="GD865" s="15">
        <f t="shared" si="751"/>
        <v>1.0071748878923767</v>
      </c>
      <c r="GE865" s="15">
        <f t="shared" si="747"/>
        <v>0.13920000000000243</v>
      </c>
      <c r="GF865" s="15">
        <f t="shared" si="748"/>
        <v>7.1492708442244535E-3</v>
      </c>
      <c r="GG865" s="15">
        <f>((GC865*GC865)/(AR865*GA865*GA865)+(FZ865*FZ865)/(AR865*FX865*FX865))</f>
        <v>5.000000000000001E-3</v>
      </c>
      <c r="HE865" s="15">
        <v>11404</v>
      </c>
      <c r="HF865" s="15">
        <f t="shared" si="740"/>
        <v>570.20000000000005</v>
      </c>
      <c r="HG865" s="15">
        <f>HF865*SQRT(AR865)</f>
        <v>1140.4000000000001</v>
      </c>
      <c r="HH865" s="15">
        <v>11051</v>
      </c>
      <c r="HI865" s="15">
        <f t="shared" si="741"/>
        <v>552.55000000000007</v>
      </c>
      <c r="HJ865" s="15">
        <f>HI865*SQRT(AR865)</f>
        <v>1105.1000000000001</v>
      </c>
      <c r="HK865" s="15">
        <f t="shared" si="719"/>
        <v>0.96904594878989825</v>
      </c>
      <c r="HL865" s="15">
        <f t="shared" si="720"/>
        <v>-353</v>
      </c>
      <c r="HM865" s="15">
        <f t="shared" si="721"/>
        <v>-3.1443249443778853E-2</v>
      </c>
      <c r="HN865" s="15">
        <f>((HJ865*HJ865)/(AR865*HH865*HH865)+(HG865*HG865)/(AR865*HE865*HE865))</f>
        <v>5.000000000000001E-3</v>
      </c>
      <c r="HP865" s="15" t="s">
        <v>766</v>
      </c>
      <c r="HV865" s="15">
        <f t="shared" si="722"/>
        <v>-2226.2330146622207</v>
      </c>
      <c r="HW865" s="15">
        <f t="shared" si="742"/>
        <v>-3.1443249443778853E-2</v>
      </c>
      <c r="HX865" s="15">
        <f>CA865</f>
        <v>7000</v>
      </c>
      <c r="HY865" s="15">
        <f>BY865</f>
        <v>3500</v>
      </c>
      <c r="HZ865" s="15">
        <f>BZ865</f>
        <v>3.1818181818181817</v>
      </c>
      <c r="IA865" s="15">
        <f>CA865</f>
        <v>7000</v>
      </c>
    </row>
    <row r="866" spans="1:235" s="15" customFormat="1" x14ac:dyDescent="0.25">
      <c r="A866" s="31">
        <v>864</v>
      </c>
      <c r="B866" s="1">
        <v>136</v>
      </c>
      <c r="C866" s="1">
        <v>159</v>
      </c>
      <c r="D866" s="15" t="s">
        <v>1956</v>
      </c>
      <c r="E866" s="1">
        <v>2</v>
      </c>
      <c r="F866" s="15" t="s">
        <v>777</v>
      </c>
      <c r="G866" s="15" t="s">
        <v>2412</v>
      </c>
      <c r="H866" s="15" t="s">
        <v>818</v>
      </c>
      <c r="I866" s="1">
        <v>2020</v>
      </c>
      <c r="J866" s="15" t="s">
        <v>2413</v>
      </c>
      <c r="K866" s="1" t="s">
        <v>1948</v>
      </c>
      <c r="L866" s="15" t="s">
        <v>2414</v>
      </c>
      <c r="M866" s="15" t="s">
        <v>480</v>
      </c>
      <c r="N866" s="15" t="s">
        <v>23</v>
      </c>
      <c r="O866" s="31">
        <v>3</v>
      </c>
      <c r="P866" s="15">
        <v>43.32</v>
      </c>
      <c r="Q866" s="15">
        <v>124.23</v>
      </c>
      <c r="R866" s="15" t="s">
        <v>532</v>
      </c>
      <c r="S866" s="15">
        <v>577</v>
      </c>
      <c r="T866" s="15">
        <v>5.8</v>
      </c>
      <c r="U866" s="15" t="s">
        <v>1893</v>
      </c>
      <c r="V866" s="31">
        <v>1</v>
      </c>
      <c r="W866" s="16" t="s">
        <v>2415</v>
      </c>
      <c r="X866" s="15" t="s">
        <v>731</v>
      </c>
      <c r="Y866" s="1">
        <v>12</v>
      </c>
      <c r="Z866" s="15">
        <v>7.1</v>
      </c>
      <c r="AA866" s="15" t="s">
        <v>573</v>
      </c>
      <c r="AB866" s="15">
        <f t="shared" si="725"/>
        <v>7.1</v>
      </c>
      <c r="AC866" s="1">
        <v>6</v>
      </c>
      <c r="AD866" s="15">
        <f t="shared" si="757"/>
        <v>19.775000000000002</v>
      </c>
      <c r="AJ866" s="15">
        <v>47.65</v>
      </c>
      <c r="AK866" s="15">
        <v>27.54</v>
      </c>
      <c r="AL866" s="15">
        <v>24.81</v>
      </c>
      <c r="AM866" s="1">
        <v>1</v>
      </c>
      <c r="AP866" s="15" t="s">
        <v>2416</v>
      </c>
      <c r="AQ866" s="1">
        <v>4</v>
      </c>
      <c r="AR866" s="1">
        <v>4</v>
      </c>
      <c r="BP866" s="16"/>
      <c r="BQ866" s="16"/>
      <c r="BR866" s="16"/>
      <c r="BU866" s="16"/>
      <c r="CC866" s="15" t="s">
        <v>1303</v>
      </c>
      <c r="CE866" s="15">
        <v>3000</v>
      </c>
      <c r="CF866" s="15">
        <f>CE866</f>
        <v>3000</v>
      </c>
      <c r="CG866" s="15" t="s">
        <v>766</v>
      </c>
      <c r="CY866" s="25">
        <f>CF866</f>
        <v>3000</v>
      </c>
      <c r="CZ866" s="25">
        <f>CY866/0.78/1000</f>
        <v>3.8461538461538463</v>
      </c>
      <c r="DA866" s="25">
        <f>CY866*3</f>
        <v>9000</v>
      </c>
      <c r="EZ866" s="16"/>
      <c r="FA866" s="16"/>
      <c r="FB866" s="16"/>
      <c r="FC866" s="16"/>
      <c r="FD866" s="16"/>
      <c r="FE866" s="16"/>
      <c r="FF866" s="16"/>
      <c r="FG866" s="16"/>
      <c r="FH866" s="16"/>
      <c r="FI866" s="16"/>
      <c r="FJ866" s="16"/>
      <c r="FK866" s="16">
        <f t="shared" si="730"/>
        <v>7.38</v>
      </c>
      <c r="FL866" s="16">
        <f t="shared" si="731"/>
        <v>7.44</v>
      </c>
      <c r="FM866" s="15">
        <v>7.38</v>
      </c>
      <c r="FN866" s="15">
        <v>0.13</v>
      </c>
      <c r="FO866" s="15">
        <f>FN866*SQRT(AR866)</f>
        <v>0.26</v>
      </c>
      <c r="FP866" s="15">
        <v>7.44</v>
      </c>
      <c r="FQ866" s="15">
        <v>0.11</v>
      </c>
      <c r="FR866" s="15">
        <f>FQ866*SQRT(AR866)</f>
        <v>0.22</v>
      </c>
      <c r="FS866" s="15">
        <f t="shared" si="732"/>
        <v>1.0081300813008132</v>
      </c>
      <c r="FT866" s="15">
        <f t="shared" si="733"/>
        <v>6.0000000000000497E-2</v>
      </c>
      <c r="FU866" s="15">
        <f t="shared" si="734"/>
        <v>8.0972102326195561E-3</v>
      </c>
      <c r="FV866" s="15">
        <f>((FR866*FR866)/(AR866*FP866*FP866)+(FO866*FO866)/(AR866*FM866*FM866))</f>
        <v>5.2888906607553203E-4</v>
      </c>
      <c r="FX866" s="15">
        <v>17.330400000000001</v>
      </c>
      <c r="FY866" s="15">
        <f t="shared" si="745"/>
        <v>0.86652000000000007</v>
      </c>
      <c r="FZ866" s="15">
        <f>FY866*SQRT(AR866)</f>
        <v>1.7330400000000001</v>
      </c>
      <c r="GA866" s="15">
        <v>20.584199999999999</v>
      </c>
      <c r="GB866" s="15">
        <f t="shared" si="746"/>
        <v>1.02921</v>
      </c>
      <c r="GC866" s="15">
        <f>GB866*SQRT(AR866)</f>
        <v>2.0584199999999999</v>
      </c>
      <c r="GD866" s="15">
        <f t="shared" si="751"/>
        <v>1.1877510040160641</v>
      </c>
      <c r="GE866" s="15">
        <f t="shared" si="747"/>
        <v>3.2537999999999982</v>
      </c>
      <c r="GF866" s="15">
        <f t="shared" si="748"/>
        <v>0.17206160639378831</v>
      </c>
      <c r="GG866" s="15">
        <f>((GC866*GC866)/(AR866*GA866*GA866)+(FZ866*FZ866)/(AR866*FX866*FX866))</f>
        <v>5.000000000000001E-3</v>
      </c>
      <c r="HE866" s="15">
        <v>11954</v>
      </c>
      <c r="HF866" s="15">
        <f t="shared" si="740"/>
        <v>597.70000000000005</v>
      </c>
      <c r="HG866" s="15">
        <f>HF866*SQRT(AR866)</f>
        <v>1195.4000000000001</v>
      </c>
      <c r="HH866" s="15">
        <v>11950</v>
      </c>
      <c r="HI866" s="15">
        <f t="shared" si="741"/>
        <v>597.5</v>
      </c>
      <c r="HJ866" s="15">
        <f>HI866*SQRT(AR866)</f>
        <v>1195</v>
      </c>
      <c r="HK866" s="15">
        <f t="shared" si="719"/>
        <v>0.99966538397189231</v>
      </c>
      <c r="HL866" s="15">
        <f t="shared" si="720"/>
        <v>-4</v>
      </c>
      <c r="HM866" s="15">
        <f t="shared" si="721"/>
        <v>-3.3467202454140477E-4</v>
      </c>
      <c r="HN866" s="15">
        <f>((HJ866*HJ866)/(AR866*HH866*HH866)+(HG866*HG866)/(AR866*HE866*HE866))</f>
        <v>5.0000000000000001E-3</v>
      </c>
      <c r="HP866" s="15" t="s">
        <v>766</v>
      </c>
      <c r="HV866" s="15">
        <f t="shared" si="722"/>
        <v>-268919.99749105243</v>
      </c>
      <c r="HW866" s="15">
        <f t="shared" si="742"/>
        <v>-3.3467202454140477E-4</v>
      </c>
      <c r="HX866" s="25">
        <f>DA866</f>
        <v>9000</v>
      </c>
      <c r="HY866" s="25">
        <f>CY866</f>
        <v>3000</v>
      </c>
      <c r="HZ866" s="25">
        <f>CZ866</f>
        <v>3.8461538461538463</v>
      </c>
      <c r="IA866" s="25">
        <f>DA866</f>
        <v>9000</v>
      </c>
    </row>
    <row r="867" spans="1:235" s="15" customFormat="1" x14ac:dyDescent="0.25">
      <c r="A867" s="31">
        <v>865</v>
      </c>
      <c r="B867" s="1">
        <v>136</v>
      </c>
      <c r="C867" s="1">
        <v>159</v>
      </c>
      <c r="D867" s="15" t="s">
        <v>1957</v>
      </c>
      <c r="E867" s="31">
        <v>2</v>
      </c>
      <c r="F867" s="15" t="s">
        <v>777</v>
      </c>
      <c r="G867" s="15" t="s">
        <v>2412</v>
      </c>
      <c r="H867" s="15" t="s">
        <v>818</v>
      </c>
      <c r="I867" s="1">
        <v>2020</v>
      </c>
      <c r="J867" s="15" t="s">
        <v>2413</v>
      </c>
      <c r="K867" s="1" t="s">
        <v>1948</v>
      </c>
      <c r="L867" s="15" t="s">
        <v>2414</v>
      </c>
      <c r="M867" s="15" t="s">
        <v>480</v>
      </c>
      <c r="N867" s="15" t="s">
        <v>23</v>
      </c>
      <c r="O867" s="31">
        <v>3</v>
      </c>
      <c r="P867" s="15">
        <v>43.32</v>
      </c>
      <c r="Q867" s="15">
        <v>124.23</v>
      </c>
      <c r="R867" s="15" t="s">
        <v>532</v>
      </c>
      <c r="S867" s="15">
        <v>577</v>
      </c>
      <c r="T867" s="15">
        <v>5.8</v>
      </c>
      <c r="U867" s="15" t="s">
        <v>1893</v>
      </c>
      <c r="V867" s="31">
        <v>1</v>
      </c>
      <c r="W867" s="16" t="s">
        <v>2415</v>
      </c>
      <c r="X867" s="15" t="s">
        <v>731</v>
      </c>
      <c r="Y867" s="1">
        <v>12</v>
      </c>
      <c r="Z867" s="15">
        <v>7.1</v>
      </c>
      <c r="AA867" s="15" t="s">
        <v>573</v>
      </c>
      <c r="AB867" s="15">
        <f t="shared" si="725"/>
        <v>7.1</v>
      </c>
      <c r="AC867" s="1">
        <v>6</v>
      </c>
      <c r="AD867" s="15">
        <f t="shared" si="757"/>
        <v>19.775000000000002</v>
      </c>
      <c r="AJ867" s="15">
        <v>47.65</v>
      </c>
      <c r="AK867" s="15">
        <v>27.54</v>
      </c>
      <c r="AL867" s="15">
        <v>24.81</v>
      </c>
      <c r="AM867" s="1">
        <v>1</v>
      </c>
      <c r="AP867" s="15" t="s">
        <v>2416</v>
      </c>
      <c r="AQ867" s="1">
        <v>4</v>
      </c>
      <c r="AR867" s="1">
        <v>4</v>
      </c>
      <c r="BP867" s="16"/>
      <c r="BQ867" s="16"/>
      <c r="BR867" s="16"/>
      <c r="BU867" s="16"/>
      <c r="CC867" s="15" t="s">
        <v>1303</v>
      </c>
      <c r="CE867" s="15">
        <v>3000</v>
      </c>
      <c r="CF867" s="15">
        <f>CE867</f>
        <v>3000</v>
      </c>
      <c r="CG867" s="15" t="s">
        <v>766</v>
      </c>
      <c r="CY867" s="25">
        <f>CF867</f>
        <v>3000</v>
      </c>
      <c r="CZ867" s="25">
        <f>CY867/0.78/1000</f>
        <v>3.8461538461538463</v>
      </c>
      <c r="DA867" s="25">
        <f>CY867*3</f>
        <v>9000</v>
      </c>
      <c r="EZ867" s="16"/>
      <c r="FA867" s="16"/>
      <c r="FB867" s="16"/>
      <c r="FC867" s="16"/>
      <c r="FD867" s="16"/>
      <c r="FE867" s="16"/>
      <c r="FF867" s="16"/>
      <c r="FG867" s="16"/>
      <c r="FH867" s="16"/>
      <c r="FI867" s="16"/>
      <c r="FJ867" s="16"/>
      <c r="FK867" s="16">
        <f t="shared" si="730"/>
        <v>7.35</v>
      </c>
      <c r="FL867" s="16">
        <f t="shared" si="731"/>
        <v>7.45</v>
      </c>
      <c r="FM867" s="15">
        <v>7.35</v>
      </c>
      <c r="FN867" s="15">
        <v>0.16</v>
      </c>
      <c r="FO867" s="15">
        <f>FN867*SQRT(AR867)</f>
        <v>0.32</v>
      </c>
      <c r="FP867" s="15">
        <v>7.45</v>
      </c>
      <c r="FQ867" s="15">
        <v>0.14000000000000001</v>
      </c>
      <c r="FR867" s="15">
        <f>FQ867*SQRT(AR867)</f>
        <v>0.28000000000000003</v>
      </c>
      <c r="FS867" s="15">
        <f t="shared" si="732"/>
        <v>1.0136054421768708</v>
      </c>
      <c r="FT867" s="15">
        <f t="shared" si="733"/>
        <v>0.10000000000000053</v>
      </c>
      <c r="FU867" s="15">
        <f t="shared" si="734"/>
        <v>1.351371916672317E-2</v>
      </c>
      <c r="FV867" s="15">
        <f>((FR867*FR867)/(AR867*FP867*FP867)+(FO867*FO867)/(AR867*FM867*FM867))</f>
        <v>8.2701387155012095E-4</v>
      </c>
      <c r="FX867" s="15">
        <v>18.652800000000003</v>
      </c>
      <c r="FY867" s="15">
        <f t="shared" si="745"/>
        <v>0.93264000000000014</v>
      </c>
      <c r="FZ867" s="15">
        <f>FY867*SQRT(AR867)</f>
        <v>1.8652800000000003</v>
      </c>
      <c r="GA867" s="15">
        <v>23.246399999999998</v>
      </c>
      <c r="GB867" s="15">
        <f t="shared" si="746"/>
        <v>1.16232</v>
      </c>
      <c r="GC867" s="15">
        <f>GB867*SQRT(AR867)</f>
        <v>2.32464</v>
      </c>
      <c r="GD867" s="15">
        <f t="shared" si="751"/>
        <v>1.2462686567164176</v>
      </c>
      <c r="GE867" s="15">
        <f t="shared" si="747"/>
        <v>4.593599999999995</v>
      </c>
      <c r="GF867" s="15">
        <f t="shared" si="748"/>
        <v>0.22015401246584343</v>
      </c>
      <c r="GG867" s="15">
        <f>((GC867*GC867)/(AR867*GA867*GA867)+(FZ867*FZ867)/(AR867*FX867*FX867))</f>
        <v>5.000000000000001E-3</v>
      </c>
      <c r="HE867" s="15">
        <v>11715</v>
      </c>
      <c r="HF867" s="15">
        <f t="shared" si="740"/>
        <v>585.75</v>
      </c>
      <c r="HG867" s="15">
        <f>HF867*SQRT(AR867)</f>
        <v>1171.5</v>
      </c>
      <c r="HH867" s="15">
        <v>11844</v>
      </c>
      <c r="HI867" s="15">
        <v>176</v>
      </c>
      <c r="HJ867" s="15">
        <f>HI867*SQRT(AR867)</f>
        <v>352</v>
      </c>
      <c r="HK867" s="15">
        <f t="shared" ref="HK867:HK871" si="760">HH867/HE867</f>
        <v>1.0110115236875801</v>
      </c>
      <c r="HL867" s="15">
        <f t="shared" ref="HL867:HL871" si="761">HH867-HE867</f>
        <v>129</v>
      </c>
      <c r="HM867" s="15">
        <f t="shared" ref="HM867:HM871" si="762">LN(HH867)-LN(HE867)</f>
        <v>1.0951338279586054E-2</v>
      </c>
      <c r="HN867" s="15">
        <f>((HJ867*HJ867)/(AR867*HH867*HH867)+(HG867*HG867)/(AR867*HE867*HE867))</f>
        <v>2.7208149829353132E-3</v>
      </c>
      <c r="HP867" s="15" t="s">
        <v>766</v>
      </c>
      <c r="HV867" s="15">
        <f>HX867/HW867/100</f>
        <v>8218.1736790804243</v>
      </c>
      <c r="HW867" s="15">
        <f t="shared" si="742"/>
        <v>1.0951338279586054E-2</v>
      </c>
      <c r="HX867" s="25">
        <f>DA867</f>
        <v>9000</v>
      </c>
      <c r="HY867" s="25">
        <f>CY867</f>
        <v>3000</v>
      </c>
      <c r="HZ867" s="25">
        <f>CZ867</f>
        <v>3.8461538461538463</v>
      </c>
      <c r="IA867" s="25">
        <f>DA867</f>
        <v>9000</v>
      </c>
    </row>
    <row r="868" spans="1:235" s="15" customFormat="1" x14ac:dyDescent="0.25">
      <c r="A868" s="31">
        <v>866</v>
      </c>
      <c r="B868" s="1">
        <v>136</v>
      </c>
      <c r="C868" s="1">
        <v>159</v>
      </c>
      <c r="D868" s="15" t="s">
        <v>1958</v>
      </c>
      <c r="E868" s="31">
        <v>2</v>
      </c>
      <c r="F868" s="15" t="s">
        <v>777</v>
      </c>
      <c r="G868" s="15" t="s">
        <v>2412</v>
      </c>
      <c r="H868" s="15" t="s">
        <v>818</v>
      </c>
      <c r="I868" s="1">
        <v>2020</v>
      </c>
      <c r="J868" s="15" t="s">
        <v>2413</v>
      </c>
      <c r="K868" s="1" t="s">
        <v>1948</v>
      </c>
      <c r="L868" s="15" t="s">
        <v>2414</v>
      </c>
      <c r="M868" s="15" t="s">
        <v>480</v>
      </c>
      <c r="N868" s="15" t="s">
        <v>23</v>
      </c>
      <c r="O868" s="31">
        <v>3</v>
      </c>
      <c r="P868" s="15">
        <v>43.32</v>
      </c>
      <c r="Q868" s="15">
        <v>124.23</v>
      </c>
      <c r="R868" s="15" t="s">
        <v>532</v>
      </c>
      <c r="S868" s="15">
        <v>577</v>
      </c>
      <c r="T868" s="15">
        <v>5.8</v>
      </c>
      <c r="U868" s="15" t="s">
        <v>1893</v>
      </c>
      <c r="V868" s="31">
        <v>1</v>
      </c>
      <c r="W868" s="16" t="s">
        <v>2415</v>
      </c>
      <c r="X868" s="15" t="s">
        <v>731</v>
      </c>
      <c r="Y868" s="1">
        <v>12</v>
      </c>
      <c r="Z868" s="15">
        <v>7.1</v>
      </c>
      <c r="AA868" s="15" t="s">
        <v>573</v>
      </c>
      <c r="AB868" s="15">
        <f t="shared" si="725"/>
        <v>7.1</v>
      </c>
      <c r="AC868" s="1">
        <v>6</v>
      </c>
      <c r="AD868" s="15">
        <f t="shared" si="757"/>
        <v>19.775000000000002</v>
      </c>
      <c r="AJ868" s="15">
        <v>47.65</v>
      </c>
      <c r="AK868" s="15">
        <v>27.54</v>
      </c>
      <c r="AL868" s="15">
        <v>24.81</v>
      </c>
      <c r="AM868" s="1">
        <v>1</v>
      </c>
      <c r="AP868" s="15" t="s">
        <v>2416</v>
      </c>
      <c r="AQ868" s="1">
        <v>4</v>
      </c>
      <c r="AR868" s="1">
        <v>4</v>
      </c>
      <c r="BP868" s="16"/>
      <c r="BQ868" s="16"/>
      <c r="BR868" s="16"/>
      <c r="BU868" s="16"/>
      <c r="CC868" s="15" t="s">
        <v>1303</v>
      </c>
      <c r="CE868" s="15">
        <v>3000</v>
      </c>
      <c r="CF868" s="15">
        <f>CE868</f>
        <v>3000</v>
      </c>
      <c r="CG868" s="15" t="s">
        <v>766</v>
      </c>
      <c r="CY868" s="25">
        <f>CF868</f>
        <v>3000</v>
      </c>
      <c r="CZ868" s="25">
        <f>CY868/0.78/1000</f>
        <v>3.8461538461538463</v>
      </c>
      <c r="DA868" s="25">
        <f>CY868*3</f>
        <v>9000</v>
      </c>
      <c r="EZ868" s="16"/>
      <c r="FA868" s="16"/>
      <c r="FB868" s="16"/>
      <c r="FC868" s="16"/>
      <c r="FD868" s="16"/>
      <c r="FE868" s="16"/>
      <c r="FF868" s="16"/>
      <c r="FG868" s="16"/>
      <c r="FH868" s="16"/>
      <c r="FI868" s="16"/>
      <c r="FJ868" s="16"/>
      <c r="FK868" s="16">
        <f t="shared" si="730"/>
        <v>7.34</v>
      </c>
      <c r="FL868" s="16">
        <f t="shared" si="731"/>
        <v>7.48</v>
      </c>
      <c r="FM868" s="15">
        <v>7.34</v>
      </c>
      <c r="FN868" s="15">
        <v>0.2</v>
      </c>
      <c r="FO868" s="15">
        <f>FN868*SQRT(AR868)</f>
        <v>0.4</v>
      </c>
      <c r="FP868" s="15">
        <v>7.48</v>
      </c>
      <c r="FQ868" s="15">
        <v>0.12</v>
      </c>
      <c r="FR868" s="15">
        <f>FQ868*SQRT(AR868)</f>
        <v>0.24</v>
      </c>
      <c r="FS868" s="15">
        <f t="shared" si="732"/>
        <v>1.019073569482289</v>
      </c>
      <c r="FT868" s="15">
        <f t="shared" si="733"/>
        <v>0.14000000000000057</v>
      </c>
      <c r="FU868" s="15">
        <f t="shared" si="734"/>
        <v>1.8893949359961582E-2</v>
      </c>
      <c r="FV868" s="15">
        <f>((FR868*FR868)/(AR868*FP868*FP868)+(FO868*FO868)/(AR868*FM868*FM868))</f>
        <v>9.9982194230416473E-4</v>
      </c>
      <c r="FX868" s="15">
        <v>19.401</v>
      </c>
      <c r="FY868" s="15">
        <f t="shared" si="745"/>
        <v>0.97005000000000008</v>
      </c>
      <c r="FZ868" s="15">
        <f>FY868*SQRT(AR868)</f>
        <v>1.9401000000000002</v>
      </c>
      <c r="GA868" s="15">
        <v>20.723400000000002</v>
      </c>
      <c r="GB868" s="15">
        <f t="shared" si="746"/>
        <v>1.03617</v>
      </c>
      <c r="GC868" s="15">
        <f>GB868*SQRT(AR868)</f>
        <v>2.0723400000000001</v>
      </c>
      <c r="GD868" s="15">
        <f t="shared" si="751"/>
        <v>1.0681614349775785</v>
      </c>
      <c r="GE868" s="15">
        <f t="shared" si="747"/>
        <v>1.3224000000000018</v>
      </c>
      <c r="GF868" s="15">
        <f t="shared" si="748"/>
        <v>6.5938885461081398E-2</v>
      </c>
      <c r="GG868" s="15">
        <f>((GC868*GC868)/(AR868*GA868*GA868)+(FZ868*FZ868)/(AR868*FX868*FX868))</f>
        <v>5.0000000000000001E-3</v>
      </c>
      <c r="HE868" s="15">
        <v>11404</v>
      </c>
      <c r="HF868" s="15">
        <f t="shared" si="740"/>
        <v>570.20000000000005</v>
      </c>
      <c r="HG868" s="15">
        <f>HF868*SQRT(AR868)</f>
        <v>1140.4000000000001</v>
      </c>
      <c r="HH868" s="15">
        <v>11460</v>
      </c>
      <c r="HI868" s="15">
        <f>HH868*0.05</f>
        <v>573</v>
      </c>
      <c r="HJ868" s="15">
        <f>HI868*SQRT(AR868)</f>
        <v>1146</v>
      </c>
      <c r="HK868" s="15">
        <f t="shared" si="760"/>
        <v>1.0049105576990529</v>
      </c>
      <c r="HL868" s="15">
        <f t="shared" si="761"/>
        <v>56</v>
      </c>
      <c r="HM868" s="15">
        <f t="shared" si="762"/>
        <v>4.8985402361694241E-3</v>
      </c>
      <c r="HN868" s="15">
        <f>((HJ868*HJ868)/(AR868*HH868*HH868)+(HG868*HG868)/(AR868*HE868*HE868))</f>
        <v>5.000000000000001E-3</v>
      </c>
      <c r="HP868" s="15" t="s">
        <v>766</v>
      </c>
      <c r="HV868" s="15">
        <f>HX868/HW868/100</f>
        <v>18372.82040381452</v>
      </c>
      <c r="HW868" s="15">
        <f t="shared" si="742"/>
        <v>4.8985402361694241E-3</v>
      </c>
      <c r="HX868" s="25">
        <f>DA868</f>
        <v>9000</v>
      </c>
      <c r="HY868" s="25">
        <f>CY868</f>
        <v>3000</v>
      </c>
      <c r="HZ868" s="25">
        <f>CZ868</f>
        <v>3.8461538461538463</v>
      </c>
      <c r="IA868" s="25">
        <f>DA868</f>
        <v>9000</v>
      </c>
    </row>
    <row r="869" spans="1:235" s="15" customFormat="1" x14ac:dyDescent="0.25">
      <c r="A869" s="31">
        <v>867</v>
      </c>
      <c r="B869" s="1">
        <v>136</v>
      </c>
      <c r="C869" s="1">
        <v>159</v>
      </c>
      <c r="D869" s="15" t="s">
        <v>1959</v>
      </c>
      <c r="E869" s="31">
        <v>6</v>
      </c>
      <c r="F869" s="15" t="s">
        <v>1938</v>
      </c>
      <c r="G869" s="15" t="s">
        <v>2412</v>
      </c>
      <c r="H869" s="15" t="s">
        <v>818</v>
      </c>
      <c r="I869" s="1">
        <v>2020</v>
      </c>
      <c r="J869" s="15" t="s">
        <v>2413</v>
      </c>
      <c r="K869" s="1" t="s">
        <v>1948</v>
      </c>
      <c r="L869" s="15" t="s">
        <v>2414</v>
      </c>
      <c r="M869" s="15" t="s">
        <v>480</v>
      </c>
      <c r="N869" s="15" t="s">
        <v>23</v>
      </c>
      <c r="O869" s="31">
        <v>3</v>
      </c>
      <c r="P869" s="15">
        <v>43.32</v>
      </c>
      <c r="Q869" s="15">
        <v>124.23</v>
      </c>
      <c r="R869" s="15" t="s">
        <v>532</v>
      </c>
      <c r="S869" s="15">
        <v>577</v>
      </c>
      <c r="T869" s="15">
        <v>5.8</v>
      </c>
      <c r="U869" s="15" t="s">
        <v>1893</v>
      </c>
      <c r="V869" s="31">
        <v>1</v>
      </c>
      <c r="W869" s="16" t="s">
        <v>2415</v>
      </c>
      <c r="X869" s="15" t="s">
        <v>731</v>
      </c>
      <c r="Y869" s="1">
        <v>12</v>
      </c>
      <c r="Z869" s="15">
        <v>7.1</v>
      </c>
      <c r="AA869" s="15" t="s">
        <v>573</v>
      </c>
      <c r="AB869" s="15">
        <f t="shared" si="725"/>
        <v>7.1</v>
      </c>
      <c r="AC869" s="1">
        <v>6</v>
      </c>
      <c r="AD869" s="15">
        <f t="shared" si="757"/>
        <v>19.775000000000002</v>
      </c>
      <c r="AJ869" s="15">
        <v>47.65</v>
      </c>
      <c r="AK869" s="15">
        <v>27.54</v>
      </c>
      <c r="AL869" s="15">
        <v>24.81</v>
      </c>
      <c r="AM869" s="1">
        <v>1</v>
      </c>
      <c r="AP869" s="15" t="s">
        <v>2416</v>
      </c>
      <c r="AQ869" s="1">
        <v>4</v>
      </c>
      <c r="AR869" s="1">
        <v>4</v>
      </c>
      <c r="BP869" s="16"/>
      <c r="BQ869" s="16"/>
      <c r="BR869" s="16"/>
      <c r="BS869" s="15">
        <v>350</v>
      </c>
      <c r="BT869" s="15">
        <f t="shared" ref="BT869:BT875" si="763">BS869</f>
        <v>350</v>
      </c>
      <c r="BU869" s="16" t="s">
        <v>766</v>
      </c>
      <c r="BY869" s="15">
        <f t="shared" ref="BY869:BY875" si="764">BT869</f>
        <v>350</v>
      </c>
      <c r="BZ869" s="15">
        <f t="shared" ref="BZ869:BZ875" si="765">BY869/1.1/1000</f>
        <v>0.31818181818181812</v>
      </c>
      <c r="CA869" s="15">
        <f t="shared" ref="CA869:CA875" si="766">BY869*2</f>
        <v>700</v>
      </c>
      <c r="DB869" s="15" t="s">
        <v>804</v>
      </c>
      <c r="DD869" s="15">
        <v>9000</v>
      </c>
      <c r="DE869" s="15">
        <f>DD869</f>
        <v>9000</v>
      </c>
      <c r="DF869" s="15" t="s">
        <v>766</v>
      </c>
      <c r="DS869" s="15">
        <f>DE869</f>
        <v>9000</v>
      </c>
      <c r="DT869" s="15">
        <f>DS869/0.6/1000</f>
        <v>15</v>
      </c>
      <c r="DU869" s="15">
        <f>DS869*0.2</f>
        <v>1800</v>
      </c>
      <c r="EW869" s="46">
        <f>AX869+BT869+CF869+DE869+DY869</f>
        <v>9350</v>
      </c>
      <c r="EX869" s="46">
        <f>BA869+BZ869+CZ869+DT869+ET869</f>
        <v>15.318181818181818</v>
      </c>
      <c r="EY869" s="46">
        <f>BB869+CA869+DA869+DU869+EU869</f>
        <v>2500</v>
      </c>
      <c r="EZ869" s="16"/>
      <c r="FA869" s="16"/>
      <c r="FB869" s="16"/>
      <c r="FC869" s="16"/>
      <c r="FD869" s="16"/>
      <c r="FE869" s="16"/>
      <c r="FF869" s="16"/>
      <c r="FG869" s="16"/>
      <c r="FH869" s="16"/>
      <c r="FI869" s="16"/>
      <c r="FJ869" s="16"/>
      <c r="FK869" s="16">
        <f t="shared" si="730"/>
        <v>7.38</v>
      </c>
      <c r="FL869" s="16">
        <f t="shared" si="731"/>
        <v>7.65</v>
      </c>
      <c r="FM869" s="15">
        <v>7.38</v>
      </c>
      <c r="FN869" s="15">
        <v>0.13</v>
      </c>
      <c r="FO869" s="15">
        <f>FN869*SQRT(AR869)</f>
        <v>0.26</v>
      </c>
      <c r="FP869" s="15">
        <v>7.65</v>
      </c>
      <c r="FQ869" s="15">
        <v>0.1</v>
      </c>
      <c r="FR869" s="15">
        <f>FQ869*SQRT(AR869)</f>
        <v>0.2</v>
      </c>
      <c r="FS869" s="15">
        <f t="shared" si="732"/>
        <v>1.0365853658536586</v>
      </c>
      <c r="FT869" s="15">
        <f t="shared" si="733"/>
        <v>0.27000000000000046</v>
      </c>
      <c r="FU869" s="15">
        <f t="shared" si="734"/>
        <v>3.5932009226063322E-2</v>
      </c>
      <c r="FV869" s="15">
        <f>((FR869*FR869)/(AR869*FP869*FP869)+(FO869*FO869)/(AR869*FM869*FM869))</f>
        <v>4.8116888085545186E-4</v>
      </c>
      <c r="FX869" s="15">
        <v>17.330400000000001</v>
      </c>
      <c r="FY869" s="15">
        <f t="shared" si="745"/>
        <v>0.86652000000000007</v>
      </c>
      <c r="FZ869" s="15">
        <f>FY869*SQRT(AR869)</f>
        <v>1.7330400000000001</v>
      </c>
      <c r="GA869" s="15">
        <v>21.0366</v>
      </c>
      <c r="GB869" s="15">
        <f t="shared" si="746"/>
        <v>1.05183</v>
      </c>
      <c r="GC869" s="15">
        <f>GB869*SQRT(AR869)</f>
        <v>2.1036600000000001</v>
      </c>
      <c r="GD869" s="15">
        <f t="shared" si="751"/>
        <v>1.213855421686747</v>
      </c>
      <c r="GE869" s="15">
        <f t="shared" si="747"/>
        <v>3.7061999999999991</v>
      </c>
      <c r="GF869" s="15">
        <f t="shared" si="748"/>
        <v>0.1938015930301944</v>
      </c>
      <c r="GG869" s="15">
        <f>((GC869*GC869)/(AR869*GA869*GA869)+(FZ869*FZ869)/(AR869*FX869*FX869))</f>
        <v>5.0000000000000001E-3</v>
      </c>
      <c r="HE869" s="15">
        <v>11954</v>
      </c>
      <c r="HF869" s="15">
        <f t="shared" si="740"/>
        <v>597.70000000000005</v>
      </c>
      <c r="HG869" s="15">
        <f>HF869*SQRT(AR869)</f>
        <v>1195.4000000000001</v>
      </c>
      <c r="HH869" s="15">
        <v>13151</v>
      </c>
      <c r="HI869" s="15">
        <f>HH869*0.05</f>
        <v>657.55000000000007</v>
      </c>
      <c r="HJ869" s="15">
        <f>HI869*SQRT(AR869)</f>
        <v>1315.1000000000001</v>
      </c>
      <c r="HK869" s="15">
        <f t="shared" si="760"/>
        <v>1.1001338464112431</v>
      </c>
      <c r="HL869" s="15">
        <f t="shared" si="761"/>
        <v>1197</v>
      </c>
      <c r="HM869" s="15">
        <f t="shared" si="762"/>
        <v>9.5431850957766073E-2</v>
      </c>
      <c r="HN869" s="15">
        <f>((HJ869*HJ869)/(AR869*HH869*HH869)+(HG869*HG869)/(AR869*HE869*HE869))</f>
        <v>5.000000000000001E-3</v>
      </c>
      <c r="HP869" s="15" t="s">
        <v>766</v>
      </c>
      <c r="HV869" s="15">
        <f>HX869/HW869/100</f>
        <v>261.967045059871</v>
      </c>
      <c r="HW869" s="15">
        <f t="shared" si="742"/>
        <v>9.5431850957766073E-2</v>
      </c>
      <c r="HX869" s="15">
        <f>EY869</f>
        <v>2500</v>
      </c>
      <c r="HY869" s="15">
        <f t="shared" ref="HY869:IA871" si="767">EW869</f>
        <v>9350</v>
      </c>
      <c r="HZ869" s="15">
        <f t="shared" si="767"/>
        <v>15.318181818181818</v>
      </c>
      <c r="IA869" s="15">
        <f t="shared" si="767"/>
        <v>2500</v>
      </c>
    </row>
    <row r="870" spans="1:235" s="15" customFormat="1" x14ac:dyDescent="0.25">
      <c r="A870" s="31">
        <v>868</v>
      </c>
      <c r="B870" s="1">
        <v>136</v>
      </c>
      <c r="C870" s="1">
        <v>159</v>
      </c>
      <c r="D870" s="15" t="s">
        <v>1960</v>
      </c>
      <c r="E870" s="31">
        <v>6</v>
      </c>
      <c r="F870" s="15" t="s">
        <v>1938</v>
      </c>
      <c r="G870" s="15" t="s">
        <v>2412</v>
      </c>
      <c r="H870" s="15" t="s">
        <v>818</v>
      </c>
      <c r="I870" s="1">
        <v>2020</v>
      </c>
      <c r="J870" s="15" t="s">
        <v>2413</v>
      </c>
      <c r="K870" s="1" t="s">
        <v>1948</v>
      </c>
      <c r="L870" s="15" t="s">
        <v>2414</v>
      </c>
      <c r="M870" s="15" t="s">
        <v>480</v>
      </c>
      <c r="N870" s="15" t="s">
        <v>23</v>
      </c>
      <c r="O870" s="31">
        <v>3</v>
      </c>
      <c r="P870" s="15">
        <v>43.32</v>
      </c>
      <c r="Q870" s="15">
        <v>124.23</v>
      </c>
      <c r="R870" s="15" t="s">
        <v>532</v>
      </c>
      <c r="S870" s="15">
        <v>577</v>
      </c>
      <c r="T870" s="15">
        <v>5.8</v>
      </c>
      <c r="U870" s="15" t="s">
        <v>1893</v>
      </c>
      <c r="V870" s="31">
        <v>1</v>
      </c>
      <c r="W870" s="16" t="s">
        <v>2415</v>
      </c>
      <c r="X870" s="15" t="s">
        <v>731</v>
      </c>
      <c r="Y870" s="1">
        <v>12</v>
      </c>
      <c r="Z870" s="15">
        <v>7.1</v>
      </c>
      <c r="AA870" s="15" t="s">
        <v>573</v>
      </c>
      <c r="AB870" s="15">
        <f t="shared" si="725"/>
        <v>7.1</v>
      </c>
      <c r="AC870" s="1">
        <v>6</v>
      </c>
      <c r="AD870" s="15">
        <f t="shared" si="757"/>
        <v>19.775000000000002</v>
      </c>
      <c r="AJ870" s="15">
        <v>47.65</v>
      </c>
      <c r="AK870" s="15">
        <v>27.54</v>
      </c>
      <c r="AL870" s="15">
        <v>24.81</v>
      </c>
      <c r="AM870" s="1">
        <v>1</v>
      </c>
      <c r="AP870" s="15" t="s">
        <v>2416</v>
      </c>
      <c r="AQ870" s="1">
        <v>4</v>
      </c>
      <c r="AR870" s="1">
        <v>4</v>
      </c>
      <c r="BP870" s="16"/>
      <c r="BQ870" s="16"/>
      <c r="BR870" s="16"/>
      <c r="BS870" s="15">
        <v>350</v>
      </c>
      <c r="BT870" s="15">
        <f t="shared" si="763"/>
        <v>350</v>
      </c>
      <c r="BU870" s="16" t="s">
        <v>766</v>
      </c>
      <c r="BY870" s="15">
        <f t="shared" si="764"/>
        <v>350</v>
      </c>
      <c r="BZ870" s="15">
        <f t="shared" si="765"/>
        <v>0.31818181818181812</v>
      </c>
      <c r="CA870" s="15">
        <f t="shared" si="766"/>
        <v>700</v>
      </c>
      <c r="DB870" s="15" t="s">
        <v>804</v>
      </c>
      <c r="DD870" s="15">
        <v>9000</v>
      </c>
      <c r="DE870" s="15">
        <f>DD870</f>
        <v>9000</v>
      </c>
      <c r="DF870" s="15" t="s">
        <v>766</v>
      </c>
      <c r="DS870" s="15">
        <f>DE870</f>
        <v>9000</v>
      </c>
      <c r="DT870" s="15">
        <f>DS870/0.6/1000</f>
        <v>15</v>
      </c>
      <c r="DU870" s="15">
        <f>DS870*0.2</f>
        <v>1800</v>
      </c>
      <c r="EW870" s="46">
        <f>AX870+BT870+CF870+DE870+DY870</f>
        <v>9350</v>
      </c>
      <c r="EX870" s="46">
        <f>BA870+BZ870+CZ870+DT870+ET870</f>
        <v>15.318181818181818</v>
      </c>
      <c r="EY870" s="46">
        <f>BB870+CA870+DA870+DU870+EU870</f>
        <v>2500</v>
      </c>
      <c r="EZ870" s="16"/>
      <c r="FA870" s="16"/>
      <c r="FB870" s="16"/>
      <c r="FC870" s="16"/>
      <c r="FD870" s="16"/>
      <c r="FE870" s="16"/>
      <c r="FF870" s="16"/>
      <c r="FG870" s="16"/>
      <c r="FH870" s="16"/>
      <c r="FI870" s="16"/>
      <c r="FJ870" s="16"/>
      <c r="FK870" s="16">
        <f t="shared" si="730"/>
        <v>7.35</v>
      </c>
      <c r="FL870" s="16">
        <f t="shared" si="731"/>
        <v>7.68</v>
      </c>
      <c r="FM870" s="15">
        <v>7.35</v>
      </c>
      <c r="FN870" s="15">
        <v>0.16</v>
      </c>
      <c r="FO870" s="15">
        <f>FN870*SQRT(AR870)</f>
        <v>0.32</v>
      </c>
      <c r="FP870" s="15">
        <v>7.68</v>
      </c>
      <c r="FQ870" s="15">
        <v>7.0000000000000007E-2</v>
      </c>
      <c r="FR870" s="15">
        <f>FQ870*SQRT(AR870)</f>
        <v>0.14000000000000001</v>
      </c>
      <c r="FS870" s="15">
        <f t="shared" si="732"/>
        <v>1.0448979591836736</v>
      </c>
      <c r="FT870" s="15">
        <f t="shared" si="733"/>
        <v>0.33000000000000007</v>
      </c>
      <c r="FU870" s="15">
        <f t="shared" si="734"/>
        <v>4.3919233934835766E-2</v>
      </c>
      <c r="FV870" s="15">
        <f>((FR870*FR870)/(AR870*FP870*FP870)+(FO870*FO870)/(AR870*FM870*FM870))</f>
        <v>5.5695225482040186E-4</v>
      </c>
      <c r="FX870" s="15">
        <v>18.652800000000003</v>
      </c>
      <c r="FY870" s="15">
        <f t="shared" si="745"/>
        <v>0.93264000000000014</v>
      </c>
      <c r="FZ870" s="15">
        <f>FY870*SQRT(AR870)</f>
        <v>1.8652800000000003</v>
      </c>
      <c r="GA870" s="15">
        <v>19.992599999999999</v>
      </c>
      <c r="GB870" s="15">
        <f t="shared" si="746"/>
        <v>0.99963000000000002</v>
      </c>
      <c r="GC870" s="15">
        <f>GB870*SQRT(AR870)</f>
        <v>1.99926</v>
      </c>
      <c r="GD870" s="15">
        <f t="shared" si="751"/>
        <v>1.0718283582089549</v>
      </c>
      <c r="GE870" s="15">
        <f t="shared" si="747"/>
        <v>1.3397999999999968</v>
      </c>
      <c r="GF870" s="15">
        <f t="shared" si="748"/>
        <v>6.9365936218008351E-2</v>
      </c>
      <c r="GG870" s="15">
        <f>((GC870*GC870)/(AR870*GA870*GA870)+(FZ870*FZ870)/(AR870*FX870*FX870))</f>
        <v>5.000000000000001E-3</v>
      </c>
      <c r="HE870" s="15">
        <v>11715</v>
      </c>
      <c r="HF870" s="15">
        <f t="shared" si="740"/>
        <v>585.75</v>
      </c>
      <c r="HG870" s="15">
        <f>HF870*SQRT(AR870)</f>
        <v>1171.5</v>
      </c>
      <c r="HH870" s="15">
        <v>13322</v>
      </c>
      <c r="HI870" s="15">
        <v>354</v>
      </c>
      <c r="HJ870" s="15">
        <f>HI870*SQRT(AR870)</f>
        <v>708</v>
      </c>
      <c r="HK870" s="15">
        <f t="shared" si="760"/>
        <v>1.1371745625266751</v>
      </c>
      <c r="HL870" s="15">
        <f t="shared" si="761"/>
        <v>1607</v>
      </c>
      <c r="HM870" s="15">
        <f t="shared" si="762"/>
        <v>0.12854673203122857</v>
      </c>
      <c r="HN870" s="15">
        <f>((HJ870*HJ870)/(AR870*HH870*HH870)+(HG870*HG870)/(AR870*HE870*HE870))</f>
        <v>3.2061023638596036E-3</v>
      </c>
      <c r="HP870" s="15" t="s">
        <v>766</v>
      </c>
      <c r="HV870" s="15">
        <f>HX870/HW870/100</f>
        <v>194.48180132596926</v>
      </c>
      <c r="HW870" s="15">
        <f t="shared" si="742"/>
        <v>0.12854673203122857</v>
      </c>
      <c r="HX870" s="15">
        <f>EY870</f>
        <v>2500</v>
      </c>
      <c r="HY870" s="15">
        <f t="shared" si="767"/>
        <v>9350</v>
      </c>
      <c r="HZ870" s="15">
        <f t="shared" si="767"/>
        <v>15.318181818181818</v>
      </c>
      <c r="IA870" s="15">
        <f t="shared" si="767"/>
        <v>2500</v>
      </c>
    </row>
    <row r="871" spans="1:235" s="15" customFormat="1" x14ac:dyDescent="0.25">
      <c r="A871" s="31">
        <v>869</v>
      </c>
      <c r="B871" s="1">
        <v>136</v>
      </c>
      <c r="C871" s="1">
        <v>159</v>
      </c>
      <c r="D871" s="15" t="s">
        <v>1961</v>
      </c>
      <c r="E871" s="31">
        <v>6</v>
      </c>
      <c r="F871" s="15" t="s">
        <v>1938</v>
      </c>
      <c r="G871" s="15" t="s">
        <v>2412</v>
      </c>
      <c r="H871" s="15" t="s">
        <v>818</v>
      </c>
      <c r="I871" s="1">
        <v>2020</v>
      </c>
      <c r="J871" s="15" t="s">
        <v>2413</v>
      </c>
      <c r="K871" s="1" t="s">
        <v>1948</v>
      </c>
      <c r="L871" s="15" t="s">
        <v>2414</v>
      </c>
      <c r="M871" s="15" t="s">
        <v>480</v>
      </c>
      <c r="N871" s="15" t="s">
        <v>23</v>
      </c>
      <c r="O871" s="31">
        <v>3</v>
      </c>
      <c r="P871" s="15">
        <v>43.32</v>
      </c>
      <c r="Q871" s="15">
        <v>124.23</v>
      </c>
      <c r="R871" s="15" t="s">
        <v>532</v>
      </c>
      <c r="S871" s="15">
        <v>577</v>
      </c>
      <c r="T871" s="15">
        <v>5.8</v>
      </c>
      <c r="U871" s="15" t="s">
        <v>1893</v>
      </c>
      <c r="V871" s="31">
        <v>1</v>
      </c>
      <c r="W871" s="16" t="s">
        <v>2415</v>
      </c>
      <c r="X871" s="15" t="s">
        <v>731</v>
      </c>
      <c r="Y871" s="1">
        <v>12</v>
      </c>
      <c r="Z871" s="15">
        <v>7.1</v>
      </c>
      <c r="AA871" s="15" t="s">
        <v>573</v>
      </c>
      <c r="AB871" s="15">
        <f t="shared" si="725"/>
        <v>7.1</v>
      </c>
      <c r="AC871" s="1">
        <v>6</v>
      </c>
      <c r="AD871" s="15">
        <f t="shared" si="757"/>
        <v>19.775000000000002</v>
      </c>
      <c r="AJ871" s="15">
        <v>47.65</v>
      </c>
      <c r="AK871" s="15">
        <v>27.54</v>
      </c>
      <c r="AL871" s="15">
        <v>24.81</v>
      </c>
      <c r="AM871" s="1">
        <v>1</v>
      </c>
      <c r="AP871" s="15" t="s">
        <v>2416</v>
      </c>
      <c r="AQ871" s="1">
        <v>4</v>
      </c>
      <c r="AR871" s="1">
        <v>4</v>
      </c>
      <c r="BP871" s="16"/>
      <c r="BQ871" s="16"/>
      <c r="BR871" s="16"/>
      <c r="BS871" s="15">
        <v>350</v>
      </c>
      <c r="BT871" s="15">
        <f t="shared" si="763"/>
        <v>350</v>
      </c>
      <c r="BU871" s="16" t="s">
        <v>766</v>
      </c>
      <c r="BY871" s="15">
        <f t="shared" si="764"/>
        <v>350</v>
      </c>
      <c r="BZ871" s="15">
        <f t="shared" si="765"/>
        <v>0.31818181818181812</v>
      </c>
      <c r="CA871" s="15">
        <f t="shared" si="766"/>
        <v>700</v>
      </c>
      <c r="DB871" s="15" t="s">
        <v>804</v>
      </c>
      <c r="DD871" s="15">
        <v>9000</v>
      </c>
      <c r="DE871" s="15">
        <f>DD871</f>
        <v>9000</v>
      </c>
      <c r="DF871" s="15" t="s">
        <v>766</v>
      </c>
      <c r="DS871" s="15">
        <f>DE871</f>
        <v>9000</v>
      </c>
      <c r="DT871" s="15">
        <f>DS871/0.6/1000</f>
        <v>15</v>
      </c>
      <c r="DU871" s="15">
        <f>DS871*0.2</f>
        <v>1800</v>
      </c>
      <c r="EW871" s="46">
        <f>AX871+BT871+CF871+DE871+DY871</f>
        <v>9350</v>
      </c>
      <c r="EX871" s="46">
        <f>BA871+BZ871+CZ871+DT871+ET871</f>
        <v>15.318181818181818</v>
      </c>
      <c r="EY871" s="46">
        <f>BB871+CA871+DA871+DU871+EU871</f>
        <v>2500</v>
      </c>
      <c r="EZ871" s="16"/>
      <c r="FA871" s="16"/>
      <c r="FB871" s="16"/>
      <c r="FC871" s="16"/>
      <c r="FD871" s="16"/>
      <c r="FE871" s="16"/>
      <c r="FF871" s="16"/>
      <c r="FG871" s="16"/>
      <c r="FH871" s="16"/>
      <c r="FI871" s="16"/>
      <c r="FJ871" s="16"/>
      <c r="FK871" s="16">
        <f t="shared" si="730"/>
        <v>7.34</v>
      </c>
      <c r="FL871" s="16">
        <f t="shared" si="731"/>
        <v>7.63</v>
      </c>
      <c r="FM871" s="15">
        <v>7.34</v>
      </c>
      <c r="FN871" s="15">
        <v>0.2</v>
      </c>
      <c r="FO871" s="15">
        <f>FN871*SQRT(AR871)</f>
        <v>0.4</v>
      </c>
      <c r="FP871" s="15">
        <v>7.63</v>
      </c>
      <c r="FQ871" s="15">
        <v>0.14000000000000001</v>
      </c>
      <c r="FR871" s="15">
        <f>FQ871*SQRT(AR871)</f>
        <v>0.28000000000000003</v>
      </c>
      <c r="FS871" s="15">
        <f t="shared" si="732"/>
        <v>1.0395095367847411</v>
      </c>
      <c r="FT871" s="15">
        <f t="shared" si="733"/>
        <v>0.29000000000000004</v>
      </c>
      <c r="FU871" s="15">
        <f t="shared" si="734"/>
        <v>3.8749002669941301E-2</v>
      </c>
      <c r="FV871" s="15">
        <f>((FR871*FR871)/(AR871*FP871*FP871)+(FO871*FO871)/(AR871*FM871*FM871))</f>
        <v>1.0791231254611135E-3</v>
      </c>
      <c r="FX871" s="15">
        <v>19.401</v>
      </c>
      <c r="FY871" s="15">
        <f t="shared" si="745"/>
        <v>0.97005000000000008</v>
      </c>
      <c r="FZ871" s="15">
        <f>FY871*SQRT(AR871)</f>
        <v>1.9401000000000002</v>
      </c>
      <c r="GA871" s="15">
        <v>19.992599999999999</v>
      </c>
      <c r="GB871" s="15">
        <f t="shared" si="746"/>
        <v>0.99963000000000002</v>
      </c>
      <c r="GC871" s="15">
        <f>GB871*SQRT(AR871)</f>
        <v>1.99926</v>
      </c>
      <c r="GD871" s="15">
        <f t="shared" si="751"/>
        <v>1.0304932735426009</v>
      </c>
      <c r="GE871" s="15">
        <f t="shared" si="747"/>
        <v>0.59159999999999968</v>
      </c>
      <c r="GF871" s="15">
        <f t="shared" si="748"/>
        <v>3.0037593954536757E-2</v>
      </c>
      <c r="GG871" s="15">
        <f>((GC871*GC871)/(AR871*GA871*GA871)+(FZ871*FZ871)/(AR871*FX871*FX871))</f>
        <v>5.000000000000001E-3</v>
      </c>
      <c r="HE871" s="15">
        <v>11404</v>
      </c>
      <c r="HF871" s="15">
        <f t="shared" si="740"/>
        <v>570.20000000000005</v>
      </c>
      <c r="HG871" s="15">
        <f>HF871*SQRT(AR871)</f>
        <v>1140.4000000000001</v>
      </c>
      <c r="HH871" s="15">
        <v>13156</v>
      </c>
      <c r="HI871" s="15">
        <v>245</v>
      </c>
      <c r="HJ871" s="15">
        <f>HI871*SQRT(AR871)</f>
        <v>490</v>
      </c>
      <c r="HK871" s="15">
        <f t="shared" si="760"/>
        <v>1.1536303051560857</v>
      </c>
      <c r="HL871" s="15">
        <f t="shared" si="761"/>
        <v>1752</v>
      </c>
      <c r="HM871" s="15">
        <f t="shared" si="762"/>
        <v>0.14291375727638567</v>
      </c>
      <c r="HN871" s="15">
        <f>((HJ871*HJ871)/(AR871*HH871*HH871)+(HG871*HG871)/(AR871*HE871*HE871))</f>
        <v>2.8468042724391295E-3</v>
      </c>
      <c r="HP871" s="15" t="s">
        <v>766</v>
      </c>
      <c r="HV871" s="15">
        <f>HX871/HW871/100</f>
        <v>174.93067481006514</v>
      </c>
      <c r="HW871" s="15">
        <f t="shared" si="742"/>
        <v>0.14291375727638567</v>
      </c>
      <c r="HX871" s="15">
        <f>EY871</f>
        <v>2500</v>
      </c>
      <c r="HY871" s="15">
        <f t="shared" si="767"/>
        <v>9350</v>
      </c>
      <c r="HZ871" s="15">
        <f t="shared" si="767"/>
        <v>15.318181818181818</v>
      </c>
      <c r="IA871" s="15">
        <f t="shared" si="767"/>
        <v>2500</v>
      </c>
    </row>
    <row r="872" spans="1:235" s="15" customFormat="1" x14ac:dyDescent="0.25">
      <c r="A872" s="31">
        <v>870</v>
      </c>
      <c r="B872" s="1">
        <v>137</v>
      </c>
      <c r="C872" s="1">
        <v>160</v>
      </c>
      <c r="D872" s="15" t="s">
        <v>1963</v>
      </c>
      <c r="E872" s="1">
        <v>4</v>
      </c>
      <c r="F872" s="15" t="s">
        <v>879</v>
      </c>
      <c r="G872" s="15" t="s">
        <v>1962</v>
      </c>
      <c r="H872" s="15" t="s">
        <v>1192</v>
      </c>
      <c r="I872" s="1">
        <v>2019</v>
      </c>
      <c r="J872" s="15" t="s">
        <v>801</v>
      </c>
      <c r="K872" s="1" t="s">
        <v>1967</v>
      </c>
      <c r="L872" s="15" t="s">
        <v>1325</v>
      </c>
      <c r="M872" s="15" t="s">
        <v>480</v>
      </c>
      <c r="N872" s="15" t="s">
        <v>23</v>
      </c>
      <c r="O872" s="31">
        <v>2</v>
      </c>
      <c r="P872" s="15">
        <v>27.23</v>
      </c>
      <c r="Q872" s="15">
        <v>119.57</v>
      </c>
      <c r="R872" s="15">
        <v>163</v>
      </c>
      <c r="S872" s="15">
        <v>1646</v>
      </c>
      <c r="T872" s="15">
        <v>19.3</v>
      </c>
      <c r="U872" s="15" t="s">
        <v>1893</v>
      </c>
      <c r="V872" s="31">
        <v>1</v>
      </c>
      <c r="W872" s="16" t="s">
        <v>1179</v>
      </c>
      <c r="X872" s="15" t="s">
        <v>924</v>
      </c>
      <c r="Y872" s="1">
        <v>7</v>
      </c>
      <c r="Z872" s="15">
        <v>4.1500000000000004</v>
      </c>
      <c r="AA872" s="15" t="s">
        <v>573</v>
      </c>
      <c r="AB872" s="15">
        <f t="shared" si="725"/>
        <v>4.1500000000000004</v>
      </c>
      <c r="AC872" s="1">
        <v>1</v>
      </c>
      <c r="AD872" s="15">
        <v>24.25</v>
      </c>
      <c r="AM872" s="1">
        <v>3</v>
      </c>
      <c r="AP872" s="15" t="s">
        <v>1968</v>
      </c>
      <c r="AQ872" s="1">
        <v>1</v>
      </c>
      <c r="AR872" s="1">
        <v>3</v>
      </c>
      <c r="BG872" s="15" t="s">
        <v>635</v>
      </c>
      <c r="BI872" s="15">
        <f>688/1.74</f>
        <v>395.40229885057471</v>
      </c>
      <c r="BJ872" s="15">
        <v>13.3</v>
      </c>
      <c r="BK872" s="15">
        <f>12.1*0.44</f>
        <v>5.3239999999999998</v>
      </c>
      <c r="BL872" s="15">
        <v>9.1</v>
      </c>
      <c r="BP872" s="16"/>
      <c r="BQ872" s="16"/>
      <c r="BR872" s="16"/>
      <c r="BS872" s="15">
        <f>BS875*0.25</f>
        <v>2884.5</v>
      </c>
      <c r="BT872" s="15">
        <f t="shared" si="763"/>
        <v>2884.5</v>
      </c>
      <c r="BU872" s="16" t="s">
        <v>766</v>
      </c>
      <c r="BY872" s="15">
        <f t="shared" si="764"/>
        <v>2884.5</v>
      </c>
      <c r="BZ872" s="15">
        <f t="shared" si="765"/>
        <v>2.6222727272727271</v>
      </c>
      <c r="CA872" s="15">
        <f t="shared" si="766"/>
        <v>5769</v>
      </c>
      <c r="EZ872" s="16"/>
      <c r="FA872" s="16"/>
      <c r="FB872" s="16"/>
      <c r="FC872" s="16"/>
      <c r="FD872" s="16"/>
      <c r="FE872" s="16"/>
      <c r="FF872" s="16"/>
      <c r="FG872" s="16"/>
      <c r="FH872" s="16"/>
      <c r="FI872" s="16"/>
      <c r="FJ872" s="16"/>
      <c r="FK872" s="16">
        <f t="shared" si="730"/>
        <v>4.0199999999999996</v>
      </c>
      <c r="FL872" s="16">
        <f t="shared" si="731"/>
        <v>7.4304979644704829</v>
      </c>
      <c r="FM872" s="15">
        <v>4.0199999999999996</v>
      </c>
      <c r="FN872" s="15">
        <v>0.1</v>
      </c>
      <c r="FO872" s="15">
        <f>FN872*SQRT(AR872)</f>
        <v>0.17320508075688773</v>
      </c>
      <c r="FP872" s="15">
        <v>7.4304979644704829</v>
      </c>
      <c r="FQ872" s="15">
        <v>0.09</v>
      </c>
      <c r="FR872" s="15">
        <f>FQ872*SQRT(AR872)</f>
        <v>0.15588457268119893</v>
      </c>
      <c r="FS872" s="15">
        <f t="shared" si="732"/>
        <v>1.8483825782264884</v>
      </c>
      <c r="FT872" s="15">
        <f t="shared" si="733"/>
        <v>3.4104979644704834</v>
      </c>
      <c r="FU872" s="15">
        <f t="shared" si="734"/>
        <v>0.61431097464305062</v>
      </c>
      <c r="FV872" s="15">
        <f>((FR872*FR872)/(AR872*FP872*FP872)+(FO872*FO872)/(AR872*FM872*FM872))</f>
        <v>7.6550300485420846E-4</v>
      </c>
      <c r="FX872" s="15">
        <v>29.13</v>
      </c>
      <c r="FY872" s="15">
        <v>1.78</v>
      </c>
      <c r="FZ872" s="15">
        <f>FY872*SQRT(AR872)</f>
        <v>3.0830504374726013</v>
      </c>
      <c r="GA872" s="15">
        <v>31.65</v>
      </c>
      <c r="GB872" s="15">
        <f t="shared" si="746"/>
        <v>1.5825</v>
      </c>
      <c r="GC872" s="15">
        <f>GB872*SQRT(AR872)</f>
        <v>2.7409704029777484</v>
      </c>
      <c r="GD872" s="15">
        <f t="shared" si="751"/>
        <v>1.086508753861998</v>
      </c>
      <c r="GE872" s="15">
        <f t="shared" si="747"/>
        <v>2.5199999999999996</v>
      </c>
      <c r="GF872" s="15">
        <f t="shared" si="748"/>
        <v>8.2969577618841939E-2</v>
      </c>
      <c r="GG872" s="15">
        <f>((GC872*GC872)/(AR872*GA872*GA872)+(FZ872*FZ872)/(AR872*FX872*FX872))</f>
        <v>6.2338686421617683E-3</v>
      </c>
      <c r="HY872" s="15">
        <f>BY872</f>
        <v>2884.5</v>
      </c>
      <c r="HZ872" s="15">
        <f>BZ872</f>
        <v>2.6222727272727271</v>
      </c>
      <c r="IA872" s="15">
        <f>CA872</f>
        <v>5769</v>
      </c>
    </row>
    <row r="873" spans="1:235" s="15" customFormat="1" x14ac:dyDescent="0.25">
      <c r="A873" s="31">
        <v>871</v>
      </c>
      <c r="B873" s="1">
        <v>137</v>
      </c>
      <c r="C873" s="1">
        <v>160</v>
      </c>
      <c r="D873" s="15" t="s">
        <v>1964</v>
      </c>
      <c r="E873" s="1">
        <v>4</v>
      </c>
      <c r="F873" s="15" t="s">
        <v>879</v>
      </c>
      <c r="G873" s="15" t="s">
        <v>1962</v>
      </c>
      <c r="H873" s="15" t="s">
        <v>1192</v>
      </c>
      <c r="I873" s="1">
        <v>2019</v>
      </c>
      <c r="J873" s="15" t="s">
        <v>801</v>
      </c>
      <c r="K873" s="1" t="s">
        <v>1967</v>
      </c>
      <c r="L873" s="15" t="s">
        <v>1325</v>
      </c>
      <c r="M873" s="15" t="s">
        <v>480</v>
      </c>
      <c r="N873" s="15" t="s">
        <v>23</v>
      </c>
      <c r="O873" s="31">
        <v>2</v>
      </c>
      <c r="P873" s="15">
        <v>27.23</v>
      </c>
      <c r="Q873" s="15">
        <v>119.57</v>
      </c>
      <c r="R873" s="15">
        <v>163</v>
      </c>
      <c r="S873" s="15">
        <v>1646</v>
      </c>
      <c r="T873" s="15">
        <v>19.3</v>
      </c>
      <c r="U873" s="15" t="s">
        <v>1893</v>
      </c>
      <c r="V873" s="31">
        <v>1</v>
      </c>
      <c r="W873" s="16" t="s">
        <v>1179</v>
      </c>
      <c r="X873" s="15" t="s">
        <v>924</v>
      </c>
      <c r="Y873" s="1">
        <v>7</v>
      </c>
      <c r="Z873" s="15">
        <v>4.1500000000000004</v>
      </c>
      <c r="AA873" s="15" t="s">
        <v>573</v>
      </c>
      <c r="AB873" s="15">
        <f t="shared" si="725"/>
        <v>4.1500000000000004</v>
      </c>
      <c r="AC873" s="1">
        <v>1</v>
      </c>
      <c r="AD873" s="15">
        <v>24.25</v>
      </c>
      <c r="AM873" s="1">
        <v>3</v>
      </c>
      <c r="AP873" s="15" t="s">
        <v>1968</v>
      </c>
      <c r="AQ873" s="1">
        <v>1</v>
      </c>
      <c r="AR873" s="1">
        <v>3</v>
      </c>
      <c r="BG873" s="15" t="s">
        <v>635</v>
      </c>
      <c r="BI873" s="15">
        <f>688/1.74</f>
        <v>395.40229885057471</v>
      </c>
      <c r="BJ873" s="15">
        <v>13.3</v>
      </c>
      <c r="BK873" s="15">
        <f>12.1*0.44</f>
        <v>5.3239999999999998</v>
      </c>
      <c r="BL873" s="15">
        <v>9.1</v>
      </c>
      <c r="BP873" s="16"/>
      <c r="BQ873" s="16"/>
      <c r="BR873" s="16"/>
      <c r="BS873" s="15">
        <f>BS875*0.5</f>
        <v>5769</v>
      </c>
      <c r="BT873" s="15">
        <f t="shared" si="763"/>
        <v>5769</v>
      </c>
      <c r="BU873" s="16" t="s">
        <v>766</v>
      </c>
      <c r="BY873" s="15">
        <f t="shared" si="764"/>
        <v>5769</v>
      </c>
      <c r="BZ873" s="15">
        <f t="shared" si="765"/>
        <v>5.2445454545454542</v>
      </c>
      <c r="CA873" s="15">
        <f t="shared" si="766"/>
        <v>11538</v>
      </c>
      <c r="EZ873" s="16"/>
      <c r="FA873" s="16"/>
      <c r="FB873" s="16"/>
      <c r="FC873" s="16"/>
      <c r="FD873" s="16"/>
      <c r="FE873" s="16"/>
      <c r="FF873" s="16"/>
      <c r="FG873" s="16"/>
      <c r="FH873" s="16"/>
      <c r="FI873" s="16"/>
      <c r="FJ873" s="16"/>
      <c r="FK873" s="16">
        <f t="shared" si="730"/>
        <v>4.0199999999999996</v>
      </c>
      <c r="FL873" s="16">
        <f t="shared" si="731"/>
        <v>7.811549142135636</v>
      </c>
      <c r="FM873" s="15">
        <v>4.0199999999999996</v>
      </c>
      <c r="FN873" s="15">
        <v>0.1</v>
      </c>
      <c r="FO873" s="15">
        <f>FN873*SQRT(AR873)</f>
        <v>0.17320508075688773</v>
      </c>
      <c r="FP873" s="15">
        <v>7.811549142135636</v>
      </c>
      <c r="FQ873" s="15">
        <v>7.0000000000000007E-2</v>
      </c>
      <c r="FR873" s="15">
        <f>FQ873*SQRT(AR873)</f>
        <v>0.12124355652982141</v>
      </c>
      <c r="FS873" s="15">
        <f t="shared" si="732"/>
        <v>1.9431714283919495</v>
      </c>
      <c r="FT873" s="15">
        <f t="shared" si="733"/>
        <v>3.7915491421356364</v>
      </c>
      <c r="FU873" s="15">
        <f t="shared" si="734"/>
        <v>0.66432139521771227</v>
      </c>
      <c r="FV873" s="15">
        <f>((FR873*FR873)/(AR873*FP873*FP873)+(FO873*FO873)/(AR873*FM873*FM873))</f>
        <v>6.9909771012577945E-4</v>
      </c>
      <c r="FX873" s="15">
        <v>29.13</v>
      </c>
      <c r="FY873" s="15">
        <v>1.78</v>
      </c>
      <c r="FZ873" s="15">
        <f>FY873*SQRT(AR873)</f>
        <v>3.0830504374726013</v>
      </c>
      <c r="GA873" s="15">
        <v>31.7</v>
      </c>
      <c r="GB873" s="15">
        <f t="shared" si="746"/>
        <v>1.585</v>
      </c>
      <c r="GC873" s="15">
        <f>GB873*SQRT(AR873)</f>
        <v>2.7453005299966704</v>
      </c>
      <c r="GD873" s="15">
        <f t="shared" si="751"/>
        <v>1.0882251973910058</v>
      </c>
      <c r="GE873" s="15">
        <f t="shared" si="747"/>
        <v>2.5700000000000003</v>
      </c>
      <c r="GF873" s="15">
        <f t="shared" si="748"/>
        <v>8.4548109911891434E-2</v>
      </c>
      <c r="GG873" s="15">
        <f>((GC873*GC873)/(AR873*GA873*GA873)+(FZ873*FZ873)/(AR873*FX873*FX873))</f>
        <v>6.2338686421617683E-3</v>
      </c>
      <c r="HY873" s="15">
        <f>BY873</f>
        <v>5769</v>
      </c>
      <c r="HZ873" s="15">
        <f>BZ873</f>
        <v>5.2445454545454542</v>
      </c>
      <c r="IA873" s="15">
        <f>CA873</f>
        <v>11538</v>
      </c>
    </row>
    <row r="874" spans="1:235" s="15" customFormat="1" x14ac:dyDescent="0.25">
      <c r="A874" s="31">
        <v>872</v>
      </c>
      <c r="B874" s="1">
        <v>137</v>
      </c>
      <c r="C874" s="1">
        <v>160</v>
      </c>
      <c r="D874" s="15" t="s">
        <v>1965</v>
      </c>
      <c r="E874" s="1">
        <v>4</v>
      </c>
      <c r="F874" s="15" t="s">
        <v>879</v>
      </c>
      <c r="G874" s="15" t="s">
        <v>1962</v>
      </c>
      <c r="H874" s="15" t="s">
        <v>1192</v>
      </c>
      <c r="I874" s="1">
        <v>2019</v>
      </c>
      <c r="J874" s="15" t="s">
        <v>801</v>
      </c>
      <c r="K874" s="1" t="s">
        <v>1967</v>
      </c>
      <c r="L874" s="15" t="s">
        <v>1325</v>
      </c>
      <c r="M874" s="15" t="s">
        <v>480</v>
      </c>
      <c r="N874" s="15" t="s">
        <v>23</v>
      </c>
      <c r="O874" s="31">
        <v>2</v>
      </c>
      <c r="P874" s="15">
        <v>27.23</v>
      </c>
      <c r="Q874" s="15">
        <v>119.57</v>
      </c>
      <c r="R874" s="15">
        <v>163</v>
      </c>
      <c r="S874" s="15">
        <v>1646</v>
      </c>
      <c r="T874" s="15">
        <v>19.3</v>
      </c>
      <c r="U874" s="15" t="s">
        <v>1893</v>
      </c>
      <c r="V874" s="31">
        <v>1</v>
      </c>
      <c r="W874" s="16" t="s">
        <v>1179</v>
      </c>
      <c r="X874" s="15" t="s">
        <v>924</v>
      </c>
      <c r="Y874" s="1">
        <v>7</v>
      </c>
      <c r="Z874" s="15">
        <v>4.1500000000000004</v>
      </c>
      <c r="AA874" s="15" t="s">
        <v>573</v>
      </c>
      <c r="AB874" s="15">
        <f t="shared" si="725"/>
        <v>4.1500000000000004</v>
      </c>
      <c r="AC874" s="1">
        <v>1</v>
      </c>
      <c r="AD874" s="15">
        <v>24.25</v>
      </c>
      <c r="AM874" s="1">
        <v>3</v>
      </c>
      <c r="AP874" s="15" t="s">
        <v>1968</v>
      </c>
      <c r="AQ874" s="1">
        <v>1</v>
      </c>
      <c r="AR874" s="1">
        <v>3</v>
      </c>
      <c r="BG874" s="15" t="s">
        <v>635</v>
      </c>
      <c r="BI874" s="15">
        <f>688/1.74</f>
        <v>395.40229885057471</v>
      </c>
      <c r="BJ874" s="15">
        <v>13.3</v>
      </c>
      <c r="BK874" s="15">
        <f>12.1*0.44</f>
        <v>5.3239999999999998</v>
      </c>
      <c r="BL874" s="15">
        <v>9.1</v>
      </c>
      <c r="BP874" s="16"/>
      <c r="BQ874" s="16"/>
      <c r="BR874" s="16"/>
      <c r="BS874" s="15">
        <f>BS875*0.75</f>
        <v>8653.5</v>
      </c>
      <c r="BT874" s="15">
        <f t="shared" si="763"/>
        <v>8653.5</v>
      </c>
      <c r="BU874" s="16" t="s">
        <v>766</v>
      </c>
      <c r="BY874" s="15">
        <f t="shared" si="764"/>
        <v>8653.5</v>
      </c>
      <c r="BZ874" s="15">
        <f t="shared" si="765"/>
        <v>7.8668181818181813</v>
      </c>
      <c r="CA874" s="15">
        <f t="shared" si="766"/>
        <v>17307</v>
      </c>
      <c r="EZ874" s="16"/>
      <c r="FA874" s="16"/>
      <c r="FB874" s="16"/>
      <c r="FC874" s="16"/>
      <c r="FD874" s="16"/>
      <c r="FE874" s="16"/>
      <c r="FF874" s="16"/>
      <c r="FG874" s="16"/>
      <c r="FH874" s="16"/>
      <c r="FI874" s="16"/>
      <c r="FJ874" s="16"/>
      <c r="FK874" s="16">
        <f t="shared" si="730"/>
        <v>4.0199999999999996</v>
      </c>
      <c r="FL874" s="16">
        <f t="shared" si="731"/>
        <v>8.4350874328604313</v>
      </c>
      <c r="FM874" s="15">
        <v>4.0199999999999996</v>
      </c>
      <c r="FN874" s="15">
        <v>0.1</v>
      </c>
      <c r="FO874" s="15">
        <f>FN874*SQRT(AR874)</f>
        <v>0.17320508075688773</v>
      </c>
      <c r="FP874" s="15">
        <v>8.4350874328604313</v>
      </c>
      <c r="FQ874" s="15">
        <v>0.1</v>
      </c>
      <c r="FR874" s="15">
        <f>FQ874*SQRT(AR874)</f>
        <v>0.17320508075688773</v>
      </c>
      <c r="FS874" s="15">
        <f t="shared" si="732"/>
        <v>2.0982804559354311</v>
      </c>
      <c r="FT874" s="15">
        <f t="shared" si="733"/>
        <v>4.4150874328604317</v>
      </c>
      <c r="FU874" s="15">
        <f t="shared" si="734"/>
        <v>0.74111817879762376</v>
      </c>
      <c r="FV874" s="15">
        <f>((FR874*FR874)/(AR874*FP874*FP874)+(FO874*FO874)/(AR874*FM874*FM874))</f>
        <v>7.593433194277219E-4</v>
      </c>
      <c r="FX874" s="15">
        <v>29.13</v>
      </c>
      <c r="FY874" s="15">
        <v>1.78</v>
      </c>
      <c r="FZ874" s="15">
        <f>FY874*SQRT(AR874)</f>
        <v>3.0830504374726013</v>
      </c>
      <c r="GA874" s="15">
        <v>36.36</v>
      </c>
      <c r="GB874" s="15">
        <f t="shared" si="746"/>
        <v>1.8180000000000001</v>
      </c>
      <c r="GC874" s="15">
        <f>GB874*SQRT(AR874)</f>
        <v>3.148868368160219</v>
      </c>
      <c r="GD874" s="15">
        <f t="shared" si="751"/>
        <v>1.2481977342945418</v>
      </c>
      <c r="GE874" s="15">
        <f t="shared" si="747"/>
        <v>7.23</v>
      </c>
      <c r="GF874" s="15">
        <f t="shared" si="748"/>
        <v>0.22170069833793482</v>
      </c>
      <c r="GG874" s="15">
        <f>((GC874*GC874)/(AR874*GA874*GA874)+(FZ874*FZ874)/(AR874*FX874*FX874))</f>
        <v>6.2338686421617683E-3</v>
      </c>
      <c r="HY874" s="15">
        <f>BY874</f>
        <v>8653.5</v>
      </c>
      <c r="HZ874" s="15">
        <f>BZ874</f>
        <v>7.8668181818181813</v>
      </c>
      <c r="IA874" s="15">
        <f>CA874</f>
        <v>17307</v>
      </c>
    </row>
    <row r="875" spans="1:235" s="15" customFormat="1" x14ac:dyDescent="0.25">
      <c r="A875" s="31">
        <v>873</v>
      </c>
      <c r="B875" s="1">
        <v>137</v>
      </c>
      <c r="C875" s="1">
        <v>160</v>
      </c>
      <c r="D875" s="15" t="s">
        <v>1966</v>
      </c>
      <c r="E875" s="1">
        <v>4</v>
      </c>
      <c r="F875" s="15" t="s">
        <v>879</v>
      </c>
      <c r="G875" s="15" t="s">
        <v>1962</v>
      </c>
      <c r="H875" s="15" t="s">
        <v>1192</v>
      </c>
      <c r="I875" s="1">
        <v>2019</v>
      </c>
      <c r="J875" s="15" t="s">
        <v>801</v>
      </c>
      <c r="K875" s="1" t="s">
        <v>1967</v>
      </c>
      <c r="L875" s="15" t="s">
        <v>1325</v>
      </c>
      <c r="M875" s="15" t="s">
        <v>480</v>
      </c>
      <c r="N875" s="15" t="s">
        <v>23</v>
      </c>
      <c r="O875" s="31">
        <v>2</v>
      </c>
      <c r="P875" s="15">
        <v>27.23</v>
      </c>
      <c r="Q875" s="15">
        <v>119.57</v>
      </c>
      <c r="R875" s="15">
        <v>163</v>
      </c>
      <c r="S875" s="15">
        <v>1646</v>
      </c>
      <c r="T875" s="15">
        <v>19.3</v>
      </c>
      <c r="U875" s="15" t="s">
        <v>1893</v>
      </c>
      <c r="V875" s="31">
        <v>1</v>
      </c>
      <c r="W875" s="16" t="s">
        <v>1179</v>
      </c>
      <c r="X875" s="15" t="s">
        <v>924</v>
      </c>
      <c r="Y875" s="1">
        <v>7</v>
      </c>
      <c r="Z875" s="15">
        <v>4.1500000000000004</v>
      </c>
      <c r="AA875" s="15" t="s">
        <v>573</v>
      </c>
      <c r="AB875" s="15">
        <f t="shared" si="725"/>
        <v>4.1500000000000004</v>
      </c>
      <c r="AC875" s="1">
        <v>1</v>
      </c>
      <c r="AD875" s="15">
        <v>24.25</v>
      </c>
      <c r="AM875" s="1">
        <v>3</v>
      </c>
      <c r="AP875" s="15" t="s">
        <v>1968</v>
      </c>
      <c r="AQ875" s="1">
        <v>1</v>
      </c>
      <c r="AR875" s="1">
        <v>3</v>
      </c>
      <c r="BG875" s="15" t="s">
        <v>635</v>
      </c>
      <c r="BI875" s="15">
        <f>688/1.74</f>
        <v>395.40229885057471</v>
      </c>
      <c r="BJ875" s="15">
        <v>13.3</v>
      </c>
      <c r="BK875" s="15">
        <f>12.1*0.44</f>
        <v>5.3239999999999998</v>
      </c>
      <c r="BL875" s="15">
        <v>9.1</v>
      </c>
      <c r="BP875" s="16"/>
      <c r="BQ875" s="16"/>
      <c r="BR875" s="16"/>
      <c r="BS875" s="15">
        <v>11538</v>
      </c>
      <c r="BT875" s="15">
        <f t="shared" si="763"/>
        <v>11538</v>
      </c>
      <c r="BU875" s="16" t="s">
        <v>766</v>
      </c>
      <c r="BY875" s="15">
        <f t="shared" si="764"/>
        <v>11538</v>
      </c>
      <c r="BZ875" s="15">
        <f t="shared" si="765"/>
        <v>10.489090909090908</v>
      </c>
      <c r="CA875" s="15">
        <f t="shared" si="766"/>
        <v>23076</v>
      </c>
      <c r="EZ875" s="16"/>
      <c r="FA875" s="16"/>
      <c r="FB875" s="16"/>
      <c r="FC875" s="16"/>
      <c r="FD875" s="16"/>
      <c r="FE875" s="16"/>
      <c r="FF875" s="16"/>
      <c r="FG875" s="16"/>
      <c r="FH875" s="16"/>
      <c r="FI875" s="16"/>
      <c r="FJ875" s="16"/>
      <c r="FK875" s="16">
        <f t="shared" si="730"/>
        <v>4.0199999999999996</v>
      </c>
      <c r="FL875" s="16">
        <f t="shared" si="731"/>
        <v>8.712215562071453</v>
      </c>
      <c r="FM875" s="15">
        <v>4.0199999999999996</v>
      </c>
      <c r="FN875" s="15">
        <v>0.1</v>
      </c>
      <c r="FO875" s="15">
        <f>FN875*SQRT(AR875)</f>
        <v>0.17320508075688773</v>
      </c>
      <c r="FP875" s="15">
        <v>8.712215562071453</v>
      </c>
      <c r="FQ875" s="15">
        <v>0.1</v>
      </c>
      <c r="FR875" s="15">
        <f>FQ875*SQRT(AR875)</f>
        <v>0.17320508075688773</v>
      </c>
      <c r="FS875" s="15">
        <f t="shared" si="732"/>
        <v>2.1672178015103118</v>
      </c>
      <c r="FT875" s="15">
        <f t="shared" si="733"/>
        <v>4.6922155620714534</v>
      </c>
      <c r="FU875" s="15">
        <f t="shared" si="734"/>
        <v>0.77344422581477335</v>
      </c>
      <c r="FV875" s="15">
        <f>((FR875*FR875)/(AR875*FP875*FP875)+(FO875*FO875)/(AR875*FM875*FM875))</f>
        <v>7.505441834326301E-4</v>
      </c>
      <c r="FX875" s="15">
        <v>29.13</v>
      </c>
      <c r="FY875" s="15">
        <v>1.78</v>
      </c>
      <c r="FZ875" s="15">
        <f>FY875*SQRT(AR875)</f>
        <v>3.0830504374726013</v>
      </c>
      <c r="GA875" s="15">
        <v>37.96</v>
      </c>
      <c r="GB875" s="15">
        <f t="shared" si="746"/>
        <v>1.8980000000000001</v>
      </c>
      <c r="GC875" s="15">
        <f>GB875*SQRT(AR875)</f>
        <v>3.2874324327657289</v>
      </c>
      <c r="GD875" s="15">
        <f t="shared" si="751"/>
        <v>1.3031239272227944</v>
      </c>
      <c r="GE875" s="15">
        <f t="shared" si="747"/>
        <v>8.8300000000000018</v>
      </c>
      <c r="GF875" s="15">
        <f t="shared" si="748"/>
        <v>0.26476440277038371</v>
      </c>
      <c r="GG875" s="15">
        <f>((GC875*GC875)/(AR875*GA875*GA875)+(FZ875*FZ875)/(AR875*FX875*FX875))</f>
        <v>6.2338686421617683E-3</v>
      </c>
      <c r="HY875" s="15">
        <f>BY875</f>
        <v>11538</v>
      </c>
      <c r="HZ875" s="15">
        <f>BZ875</f>
        <v>10.489090909090908</v>
      </c>
      <c r="IA875" s="15">
        <f>CA875</f>
        <v>23076</v>
      </c>
    </row>
    <row r="876" spans="1:235" s="15" customFormat="1" x14ac:dyDescent="0.25">
      <c r="A876" s="31">
        <v>874</v>
      </c>
      <c r="B876" s="1">
        <v>138</v>
      </c>
      <c r="C876" s="1">
        <v>161</v>
      </c>
      <c r="D876" s="15" t="s">
        <v>1969</v>
      </c>
      <c r="E876" s="31">
        <v>2</v>
      </c>
      <c r="F876" s="15" t="s">
        <v>777</v>
      </c>
      <c r="G876" s="15" t="s">
        <v>2417</v>
      </c>
      <c r="H876" s="15" t="s">
        <v>941</v>
      </c>
      <c r="I876" s="1">
        <v>2020</v>
      </c>
      <c r="J876" s="15" t="s">
        <v>2400</v>
      </c>
      <c r="K876" s="1">
        <v>2018</v>
      </c>
      <c r="L876" s="15" t="s">
        <v>1641</v>
      </c>
      <c r="M876" s="15" t="s">
        <v>480</v>
      </c>
      <c r="N876" s="15" t="s">
        <v>23</v>
      </c>
      <c r="O876" s="31">
        <v>2</v>
      </c>
      <c r="P876" s="15">
        <v>22.84</v>
      </c>
      <c r="Q876" s="15">
        <v>108.25</v>
      </c>
      <c r="R876" s="15" t="s">
        <v>532</v>
      </c>
      <c r="S876" s="15">
        <v>1304</v>
      </c>
      <c r="T876" s="15">
        <v>21.6</v>
      </c>
      <c r="U876" s="15" t="s">
        <v>807</v>
      </c>
      <c r="V876" s="31">
        <v>2</v>
      </c>
      <c r="W876" s="16" t="s">
        <v>1169</v>
      </c>
      <c r="X876" s="15" t="s">
        <v>689</v>
      </c>
      <c r="Y876" s="1">
        <v>1</v>
      </c>
      <c r="Z876" s="15">
        <v>6.91</v>
      </c>
      <c r="AA876" s="15" t="s">
        <v>573</v>
      </c>
      <c r="AB876" s="15">
        <f t="shared" si="725"/>
        <v>6.91</v>
      </c>
      <c r="AC876" s="1">
        <v>6</v>
      </c>
      <c r="AD876" s="15">
        <v>16.5</v>
      </c>
      <c r="AM876" s="1"/>
      <c r="AP876" s="15" t="s">
        <v>1978</v>
      </c>
      <c r="AQ876" s="1">
        <v>3</v>
      </c>
      <c r="AR876" s="1">
        <v>3</v>
      </c>
      <c r="BP876" s="16"/>
      <c r="BQ876" s="16"/>
      <c r="BR876" s="16"/>
      <c r="BU876" s="16"/>
      <c r="CC876" s="15" t="s">
        <v>2418</v>
      </c>
      <c r="CE876" s="15">
        <f>15*2250</f>
        <v>33750</v>
      </c>
      <c r="CF876" s="15">
        <f t="shared" ref="CF876:CF884" si="768">CE876</f>
        <v>33750</v>
      </c>
      <c r="CG876" s="15" t="s">
        <v>766</v>
      </c>
      <c r="CH876" s="15">
        <v>9.61</v>
      </c>
      <c r="CL876" s="15">
        <v>0.91</v>
      </c>
      <c r="CM876" s="15">
        <v>2.88</v>
      </c>
      <c r="CO876" s="15">
        <v>23.61</v>
      </c>
      <c r="CY876" s="25">
        <f t="shared" ref="CY876:CY884" si="769">CF876</f>
        <v>33750</v>
      </c>
      <c r="CZ876" s="25">
        <f t="shared" ref="CZ876:CZ884" si="770">CY876/0.78/1000</f>
        <v>43.269230769230766</v>
      </c>
      <c r="DA876" s="25">
        <f t="shared" ref="DA876:DA884" si="771">CY876*3</f>
        <v>101250</v>
      </c>
      <c r="EZ876" s="16"/>
      <c r="FA876" s="16"/>
      <c r="FB876" s="16"/>
      <c r="FC876" s="16"/>
      <c r="FD876" s="16"/>
      <c r="FE876" s="16"/>
      <c r="FF876" s="16"/>
      <c r="FG876" s="16"/>
      <c r="FH876" s="16"/>
      <c r="FI876" s="16"/>
      <c r="FJ876" s="16"/>
      <c r="FK876" s="16">
        <f t="shared" si="730"/>
        <v>6.89</v>
      </c>
      <c r="FL876" s="16">
        <f t="shared" si="731"/>
        <v>7.24</v>
      </c>
      <c r="FM876" s="15">
        <v>6.89</v>
      </c>
      <c r="FN876" s="15">
        <v>0.12</v>
      </c>
      <c r="FO876" s="15">
        <f>FN876*SQRT(AR876)</f>
        <v>0.20784609690826525</v>
      </c>
      <c r="FP876" s="15">
        <v>7.24</v>
      </c>
      <c r="FQ876" s="15">
        <v>0.01</v>
      </c>
      <c r="FR876" s="15">
        <f>FQ876*SQRT(AR876)</f>
        <v>1.7320508075688773E-2</v>
      </c>
      <c r="FS876" s="15">
        <f t="shared" si="732"/>
        <v>1.0507982583454283</v>
      </c>
      <c r="FT876" s="15">
        <f t="shared" si="733"/>
        <v>0.35000000000000053</v>
      </c>
      <c r="FU876" s="15">
        <f t="shared" si="734"/>
        <v>4.9550121372057943E-2</v>
      </c>
      <c r="FV876" s="15">
        <f>((FR876*FR876)/(AR876*FP876*FP876)+(FO876*FO876)/(AR876*FM876*FM876))</f>
        <v>3.0524382093574876E-4</v>
      </c>
      <c r="FX876" s="15">
        <v>16.79</v>
      </c>
      <c r="FY876" s="15">
        <v>0.28999999999999998</v>
      </c>
      <c r="FZ876" s="15">
        <f>FY876*SQRT(AR876)</f>
        <v>0.50229473419497439</v>
      </c>
      <c r="GA876" s="15">
        <v>23.89</v>
      </c>
      <c r="GB876" s="15">
        <v>0.43</v>
      </c>
      <c r="GC876" s="15">
        <f>GB876*SQRT(AR876)</f>
        <v>0.74478184725461716</v>
      </c>
      <c r="GD876" s="15">
        <f t="shared" si="751"/>
        <v>1.4228707564026206</v>
      </c>
      <c r="GE876" s="15">
        <f t="shared" si="747"/>
        <v>7.1000000000000014</v>
      </c>
      <c r="GF876" s="15">
        <f t="shared" si="748"/>
        <v>0.35267649024826886</v>
      </c>
      <c r="GG876" s="15">
        <f>((GC876*GC876)/(AR876*GA876*GA876)+(FZ876*FZ876)/(AR876*FX876*FX876))</f>
        <v>6.2229826573747442E-4</v>
      </c>
      <c r="HE876" s="15">
        <f t="shared" ref="HE876:HE884" si="772">20.5*675</f>
        <v>13837.5</v>
      </c>
      <c r="HF876" s="15">
        <f t="shared" ref="HF876:HF884" si="773">HE876*0.01</f>
        <v>138.375</v>
      </c>
      <c r="HG876" s="15">
        <f>HF876*SQRT(AR876)</f>
        <v>239.67253049734339</v>
      </c>
      <c r="HH876" s="15">
        <v>16875</v>
      </c>
      <c r="HI876" s="15">
        <f t="shared" ref="HI876:HI884" si="774">HH876*0.01</f>
        <v>168.75</v>
      </c>
      <c r="HJ876" s="15">
        <f>HI876*SQRT(AR876)</f>
        <v>292.28357377724802</v>
      </c>
      <c r="HK876" s="15">
        <f t="shared" ref="HK876:HK887" si="775">HH876/HE876</f>
        <v>1.2195121951219512</v>
      </c>
      <c r="HL876" s="15">
        <f t="shared" ref="HL876:HL887" si="776">HH876-HE876</f>
        <v>3037.5</v>
      </c>
      <c r="HM876" s="15">
        <f t="shared" ref="HM876:HM887" si="777">LN(HH876)-LN(HE876)</f>
        <v>0.19845093872383934</v>
      </c>
      <c r="HN876" s="15">
        <f>((HJ876*HJ876)/(AR876*HH876*HH876)+(HG876*HG876)/(AR876*HE876*HE876))</f>
        <v>1.9999999999999998E-4</v>
      </c>
      <c r="HP876" s="15" t="s">
        <v>766</v>
      </c>
      <c r="HV876" s="15">
        <f t="shared" ref="HV876:HV887" si="778">HX876/HW876/100</f>
        <v>5102.0166823648851</v>
      </c>
      <c r="HW876" s="15">
        <f t="shared" ref="HW876:HW887" si="779">HM876</f>
        <v>0.19845093872383934</v>
      </c>
      <c r="HX876" s="25">
        <f>DA876</f>
        <v>101250</v>
      </c>
      <c r="HY876" s="25">
        <f>CY876</f>
        <v>33750</v>
      </c>
      <c r="HZ876" s="25">
        <f>CZ876</f>
        <v>43.269230769230766</v>
      </c>
      <c r="IA876" s="25">
        <f>DA876</f>
        <v>101250</v>
      </c>
    </row>
    <row r="877" spans="1:235" s="15" customFormat="1" x14ac:dyDescent="0.25">
      <c r="A877" s="31">
        <v>875</v>
      </c>
      <c r="B877" s="1">
        <v>138</v>
      </c>
      <c r="C877" s="1">
        <v>161</v>
      </c>
      <c r="D877" s="15" t="s">
        <v>1970</v>
      </c>
      <c r="E877" s="31">
        <v>2</v>
      </c>
      <c r="F877" s="15" t="s">
        <v>777</v>
      </c>
      <c r="G877" s="15" t="s">
        <v>2417</v>
      </c>
      <c r="H877" s="15" t="s">
        <v>941</v>
      </c>
      <c r="I877" s="1">
        <v>2020</v>
      </c>
      <c r="J877" s="15" t="s">
        <v>2400</v>
      </c>
      <c r="K877" s="1">
        <v>2018</v>
      </c>
      <c r="L877" s="15" t="s">
        <v>1641</v>
      </c>
      <c r="M877" s="15" t="s">
        <v>480</v>
      </c>
      <c r="N877" s="15" t="s">
        <v>23</v>
      </c>
      <c r="O877" s="31">
        <v>2</v>
      </c>
      <c r="P877" s="15">
        <v>22.84</v>
      </c>
      <c r="Q877" s="15">
        <v>108.25</v>
      </c>
      <c r="R877" s="15" t="s">
        <v>532</v>
      </c>
      <c r="S877" s="15">
        <v>1304</v>
      </c>
      <c r="T877" s="15">
        <v>21.6</v>
      </c>
      <c r="U877" s="15" t="s">
        <v>807</v>
      </c>
      <c r="V877" s="31">
        <v>2</v>
      </c>
      <c r="W877" s="16" t="s">
        <v>1169</v>
      </c>
      <c r="X877" s="15" t="s">
        <v>689</v>
      </c>
      <c r="Y877" s="1">
        <v>1</v>
      </c>
      <c r="Z877" s="15">
        <v>6.91</v>
      </c>
      <c r="AA877" s="15" t="s">
        <v>573</v>
      </c>
      <c r="AB877" s="15">
        <f t="shared" si="725"/>
        <v>6.91</v>
      </c>
      <c r="AC877" s="1">
        <v>6</v>
      </c>
      <c r="AD877" s="15">
        <v>16.5</v>
      </c>
      <c r="AM877" s="1"/>
      <c r="AP877" s="15" t="s">
        <v>1978</v>
      </c>
      <c r="AQ877" s="1">
        <v>3</v>
      </c>
      <c r="AR877" s="1">
        <v>3</v>
      </c>
      <c r="BP877" s="16"/>
      <c r="BQ877" s="16"/>
      <c r="BR877" s="16"/>
      <c r="BU877" s="16"/>
      <c r="CC877" s="15" t="s">
        <v>2418</v>
      </c>
      <c r="CE877" s="15">
        <f>30*2250</f>
        <v>67500</v>
      </c>
      <c r="CF877" s="15">
        <f t="shared" si="768"/>
        <v>67500</v>
      </c>
      <c r="CG877" s="15" t="s">
        <v>766</v>
      </c>
      <c r="CH877" s="15">
        <v>9.61</v>
      </c>
      <c r="CL877" s="15">
        <v>0.91</v>
      </c>
      <c r="CM877" s="15">
        <v>2.88</v>
      </c>
      <c r="CO877" s="15">
        <v>23.61</v>
      </c>
      <c r="CY877" s="25">
        <f t="shared" si="769"/>
        <v>67500</v>
      </c>
      <c r="CZ877" s="25">
        <f t="shared" si="770"/>
        <v>86.538461538461533</v>
      </c>
      <c r="DA877" s="25">
        <f t="shared" si="771"/>
        <v>202500</v>
      </c>
      <c r="EZ877" s="16"/>
      <c r="FA877" s="16"/>
      <c r="FB877" s="16"/>
      <c r="FC877" s="16"/>
      <c r="FD877" s="16"/>
      <c r="FE877" s="16"/>
      <c r="FF877" s="16"/>
      <c r="FG877" s="16"/>
      <c r="FH877" s="16"/>
      <c r="FI877" s="16"/>
      <c r="FJ877" s="16"/>
      <c r="FK877" s="16">
        <f t="shared" si="730"/>
        <v>6.89</v>
      </c>
      <c r="FL877" s="16">
        <f t="shared" si="731"/>
        <v>7.3</v>
      </c>
      <c r="FM877" s="15">
        <v>6.89</v>
      </c>
      <c r="FN877" s="15">
        <v>0.12</v>
      </c>
      <c r="FO877" s="15">
        <f>FN877*SQRT(AR877)</f>
        <v>0.20784609690826525</v>
      </c>
      <c r="FP877" s="15">
        <v>7.3</v>
      </c>
      <c r="FQ877" s="15">
        <v>0.02</v>
      </c>
      <c r="FR877" s="15">
        <f>FQ877*SQRT(AR877)</f>
        <v>3.4641016151377546E-2</v>
      </c>
      <c r="FS877" s="15">
        <f t="shared" si="732"/>
        <v>1.0595065312046443</v>
      </c>
      <c r="FT877" s="15">
        <f t="shared" si="733"/>
        <v>0.41000000000000014</v>
      </c>
      <c r="FU877" s="15">
        <f t="shared" si="734"/>
        <v>5.780326312877837E-2</v>
      </c>
      <c r="FV877" s="15">
        <f>((FR877*FR877)/(AR877*FP877*FP877)+(FO877*FO877)/(AR877*FM877*FM877))</f>
        <v>3.1084216346744778E-4</v>
      </c>
      <c r="FX877" s="15">
        <v>16.79</v>
      </c>
      <c r="FY877" s="15">
        <v>0.28999999999999998</v>
      </c>
      <c r="FZ877" s="15">
        <f>FY877*SQRT(AR877)</f>
        <v>0.50229473419497439</v>
      </c>
      <c r="GA877" s="15">
        <v>30.03</v>
      </c>
      <c r="GB877" s="15">
        <v>0.46</v>
      </c>
      <c r="GC877" s="15">
        <f>GB877*SQRT(AR877)</f>
        <v>0.7967433714816835</v>
      </c>
      <c r="GD877" s="15">
        <f t="shared" si="751"/>
        <v>1.7885646217986899</v>
      </c>
      <c r="GE877" s="15">
        <f t="shared" si="747"/>
        <v>13.240000000000002</v>
      </c>
      <c r="GF877" s="15">
        <f t="shared" si="748"/>
        <v>0.5814134109057898</v>
      </c>
      <c r="GG877" s="15">
        <f>((GC877*GC877)/(AR877*GA877*GA877)+(FZ877*FZ877)/(AR877*FX877*FX877))</f>
        <v>5.329699964526823E-4</v>
      </c>
      <c r="HE877" s="15">
        <f t="shared" si="772"/>
        <v>13837.5</v>
      </c>
      <c r="HF877" s="15">
        <f t="shared" si="773"/>
        <v>138.375</v>
      </c>
      <c r="HG877" s="15">
        <f>HF877*SQRT(AR877)</f>
        <v>239.67253049734339</v>
      </c>
      <c r="HH877" s="15">
        <v>18900</v>
      </c>
      <c r="HI877" s="15">
        <f t="shared" si="774"/>
        <v>189</v>
      </c>
      <c r="HJ877" s="15">
        <f>HI877*SQRT(AR877)</f>
        <v>327.35760263051782</v>
      </c>
      <c r="HK877" s="15">
        <f t="shared" si="775"/>
        <v>1.3658536585365855</v>
      </c>
      <c r="HL877" s="15">
        <f t="shared" si="776"/>
        <v>5062.5</v>
      </c>
      <c r="HM877" s="15">
        <f t="shared" si="777"/>
        <v>0.31177962403084258</v>
      </c>
      <c r="HN877" s="15">
        <f>((HJ877*HJ877)/(AR877*HH877*HH877)+(HG877*HG877)/(AR877*HE877*HE877))</f>
        <v>1.9999999999999998E-4</v>
      </c>
      <c r="HP877" s="15" t="s">
        <v>766</v>
      </c>
      <c r="HV877" s="15">
        <f t="shared" si="778"/>
        <v>6494.9722301277716</v>
      </c>
      <c r="HW877" s="15">
        <f t="shared" si="779"/>
        <v>0.31177962403084258</v>
      </c>
      <c r="HX877" s="25">
        <f>DA877</f>
        <v>202500</v>
      </c>
      <c r="HY877" s="25">
        <f>CY877</f>
        <v>67500</v>
      </c>
      <c r="HZ877" s="25">
        <f>CZ877</f>
        <v>86.538461538461533</v>
      </c>
      <c r="IA877" s="25">
        <f>DA877</f>
        <v>202500</v>
      </c>
    </row>
    <row r="878" spans="1:235" s="15" customFormat="1" x14ac:dyDescent="0.25">
      <c r="A878" s="31">
        <v>876</v>
      </c>
      <c r="B878" s="1">
        <v>138</v>
      </c>
      <c r="C878" s="1">
        <v>161</v>
      </c>
      <c r="D878" s="15" t="s">
        <v>1971</v>
      </c>
      <c r="E878" s="31">
        <v>2</v>
      </c>
      <c r="F878" s="15" t="s">
        <v>777</v>
      </c>
      <c r="G878" s="15" t="s">
        <v>2417</v>
      </c>
      <c r="H878" s="15" t="s">
        <v>941</v>
      </c>
      <c r="I878" s="1">
        <v>2020</v>
      </c>
      <c r="J878" s="15" t="s">
        <v>2400</v>
      </c>
      <c r="K878" s="1">
        <v>2018</v>
      </c>
      <c r="L878" s="15" t="s">
        <v>1641</v>
      </c>
      <c r="M878" s="15" t="s">
        <v>480</v>
      </c>
      <c r="N878" s="15" t="s">
        <v>23</v>
      </c>
      <c r="O878" s="31">
        <v>2</v>
      </c>
      <c r="P878" s="15">
        <v>22.84</v>
      </c>
      <c r="Q878" s="15">
        <v>108.25</v>
      </c>
      <c r="R878" s="15" t="s">
        <v>532</v>
      </c>
      <c r="S878" s="15">
        <v>1304</v>
      </c>
      <c r="T878" s="15">
        <v>21.6</v>
      </c>
      <c r="U878" s="15" t="s">
        <v>807</v>
      </c>
      <c r="V878" s="31">
        <v>2</v>
      </c>
      <c r="W878" s="16" t="s">
        <v>1169</v>
      </c>
      <c r="X878" s="15" t="s">
        <v>689</v>
      </c>
      <c r="Y878" s="1">
        <v>1</v>
      </c>
      <c r="Z878" s="15">
        <v>6.91</v>
      </c>
      <c r="AA878" s="15" t="s">
        <v>573</v>
      </c>
      <c r="AB878" s="15">
        <f t="shared" si="725"/>
        <v>6.91</v>
      </c>
      <c r="AC878" s="1">
        <v>6</v>
      </c>
      <c r="AD878" s="15">
        <v>16.5</v>
      </c>
      <c r="AM878" s="1"/>
      <c r="AP878" s="15" t="s">
        <v>1978</v>
      </c>
      <c r="AQ878" s="1">
        <v>3</v>
      </c>
      <c r="AR878" s="1">
        <v>3</v>
      </c>
      <c r="BP878" s="16"/>
      <c r="BQ878" s="16"/>
      <c r="BR878" s="16"/>
      <c r="BU878" s="16"/>
      <c r="CC878" s="15" t="s">
        <v>2418</v>
      </c>
      <c r="CE878" s="15">
        <f>45*2250</f>
        <v>101250</v>
      </c>
      <c r="CF878" s="15">
        <f t="shared" si="768"/>
        <v>101250</v>
      </c>
      <c r="CG878" s="15" t="s">
        <v>766</v>
      </c>
      <c r="CH878" s="15">
        <v>9.61</v>
      </c>
      <c r="CL878" s="15">
        <v>0.91</v>
      </c>
      <c r="CM878" s="15">
        <v>2.88</v>
      </c>
      <c r="CO878" s="15">
        <v>23.61</v>
      </c>
      <c r="CY878" s="25">
        <f t="shared" si="769"/>
        <v>101250</v>
      </c>
      <c r="CZ878" s="25">
        <f t="shared" si="770"/>
        <v>129.80769230769229</v>
      </c>
      <c r="DA878" s="25">
        <f t="shared" si="771"/>
        <v>303750</v>
      </c>
      <c r="EZ878" s="16"/>
      <c r="FA878" s="16"/>
      <c r="FB878" s="16"/>
      <c r="FC878" s="16"/>
      <c r="FD878" s="16"/>
      <c r="FE878" s="16"/>
      <c r="FF878" s="16"/>
      <c r="FG878" s="16"/>
      <c r="FH878" s="16"/>
      <c r="FI878" s="16"/>
      <c r="FJ878" s="16"/>
      <c r="FK878" s="16">
        <f t="shared" si="730"/>
        <v>6.89</v>
      </c>
      <c r="FL878" s="16">
        <f t="shared" si="731"/>
        <v>7.31</v>
      </c>
      <c r="FM878" s="15">
        <v>6.89</v>
      </c>
      <c r="FN878" s="15">
        <v>0.12</v>
      </c>
      <c r="FO878" s="15">
        <f>FN878*SQRT(AR878)</f>
        <v>0.20784609690826525</v>
      </c>
      <c r="FP878" s="15">
        <v>7.31</v>
      </c>
      <c r="FQ878" s="15">
        <v>0.02</v>
      </c>
      <c r="FR878" s="15">
        <f>FQ878*SQRT(AR878)</f>
        <v>3.4641016151377546E-2</v>
      </c>
      <c r="FS878" s="15">
        <f t="shared" si="732"/>
        <v>1.0609579100145137</v>
      </c>
      <c r="FT878" s="15">
        <f t="shared" si="733"/>
        <v>0.41999999999999993</v>
      </c>
      <c r="FU878" s="15">
        <f t="shared" si="734"/>
        <v>5.9172188736120068E-2</v>
      </c>
      <c r="FV878" s="15">
        <f>((FR878*FR878)/(AR878*FP878*FP878)+(FO878*FO878)/(AR878*FM878*FM878))</f>
        <v>3.10821640992551E-4</v>
      </c>
      <c r="FX878" s="15">
        <v>16.79</v>
      </c>
      <c r="FY878" s="15">
        <v>0.28999999999999998</v>
      </c>
      <c r="FZ878" s="15">
        <f>FY878*SQRT(AR878)</f>
        <v>0.50229473419497439</v>
      </c>
      <c r="GA878" s="15">
        <v>37.97</v>
      </c>
      <c r="GB878" s="15">
        <v>1.92</v>
      </c>
      <c r="GC878" s="15">
        <f>GB878*SQRT(AR878)</f>
        <v>3.325537550532244</v>
      </c>
      <c r="GD878" s="15">
        <f t="shared" si="751"/>
        <v>2.2614651578320428</v>
      </c>
      <c r="GE878" s="15">
        <f t="shared" si="747"/>
        <v>21.18</v>
      </c>
      <c r="GF878" s="15">
        <f t="shared" si="748"/>
        <v>0.81601290315426178</v>
      </c>
      <c r="GG878" s="15">
        <f>((GC878*GC878)/(AR878*GA878*GA878)+(FZ878*FZ878)/(AR878*FX878*FX878))</f>
        <v>2.8552726771966927E-3</v>
      </c>
      <c r="HE878" s="15">
        <f t="shared" si="772"/>
        <v>13837.5</v>
      </c>
      <c r="HF878" s="15">
        <f t="shared" si="773"/>
        <v>138.375</v>
      </c>
      <c r="HG878" s="15">
        <f>HF878*SQRT(AR878)</f>
        <v>239.67253049734339</v>
      </c>
      <c r="HH878" s="15">
        <v>16875</v>
      </c>
      <c r="HI878" s="15">
        <f t="shared" si="774"/>
        <v>168.75</v>
      </c>
      <c r="HJ878" s="15">
        <f>HI878*SQRT(AR878)</f>
        <v>292.28357377724802</v>
      </c>
      <c r="HK878" s="15">
        <f t="shared" si="775"/>
        <v>1.2195121951219512</v>
      </c>
      <c r="HL878" s="15">
        <f t="shared" si="776"/>
        <v>3037.5</v>
      </c>
      <c r="HM878" s="15">
        <f t="shared" si="777"/>
        <v>0.19845093872383934</v>
      </c>
      <c r="HN878" s="15">
        <f>((HJ878*HJ878)/(AR878*HH878*HH878)+(HG878*HG878)/(AR878*HE878*HE878))</f>
        <v>1.9999999999999998E-4</v>
      </c>
      <c r="HP878" s="15" t="s">
        <v>766</v>
      </c>
      <c r="HV878" s="15">
        <f t="shared" si="778"/>
        <v>15306.050047094657</v>
      </c>
      <c r="HW878" s="15">
        <f t="shared" si="779"/>
        <v>0.19845093872383934</v>
      </c>
      <c r="HX878" s="25">
        <f>DA878</f>
        <v>303750</v>
      </c>
      <c r="HY878" s="25">
        <f>CY878</f>
        <v>101250</v>
      </c>
      <c r="HZ878" s="25">
        <f>CZ878</f>
        <v>129.80769230769229</v>
      </c>
      <c r="IA878" s="25">
        <f>DA878</f>
        <v>303750</v>
      </c>
    </row>
    <row r="879" spans="1:235" s="15" customFormat="1" x14ac:dyDescent="0.25">
      <c r="A879" s="31">
        <v>877</v>
      </c>
      <c r="B879" s="1">
        <v>138</v>
      </c>
      <c r="C879" s="1">
        <v>161</v>
      </c>
      <c r="D879" s="15" t="s">
        <v>1972</v>
      </c>
      <c r="E879" s="31">
        <v>2</v>
      </c>
      <c r="F879" s="15" t="s">
        <v>777</v>
      </c>
      <c r="G879" s="15" t="s">
        <v>2417</v>
      </c>
      <c r="H879" s="15" t="s">
        <v>941</v>
      </c>
      <c r="I879" s="1">
        <v>2020</v>
      </c>
      <c r="J879" s="15" t="s">
        <v>2400</v>
      </c>
      <c r="K879" s="1">
        <v>2018</v>
      </c>
      <c r="L879" s="15" t="s">
        <v>1641</v>
      </c>
      <c r="M879" s="15" t="s">
        <v>480</v>
      </c>
      <c r="N879" s="15" t="s">
        <v>23</v>
      </c>
      <c r="O879" s="31">
        <v>2</v>
      </c>
      <c r="P879" s="15">
        <v>22.84</v>
      </c>
      <c r="Q879" s="15">
        <v>108.25</v>
      </c>
      <c r="R879" s="15" t="s">
        <v>532</v>
      </c>
      <c r="S879" s="15">
        <v>1304</v>
      </c>
      <c r="T879" s="15">
        <v>21.6</v>
      </c>
      <c r="U879" s="15" t="s">
        <v>807</v>
      </c>
      <c r="V879" s="31">
        <v>2</v>
      </c>
      <c r="W879" s="16" t="s">
        <v>1169</v>
      </c>
      <c r="X879" s="15" t="s">
        <v>689</v>
      </c>
      <c r="Y879" s="1">
        <v>1</v>
      </c>
      <c r="Z879" s="15">
        <v>6.91</v>
      </c>
      <c r="AA879" s="15" t="s">
        <v>573</v>
      </c>
      <c r="AB879" s="15">
        <f t="shared" si="725"/>
        <v>6.91</v>
      </c>
      <c r="AC879" s="1">
        <v>6</v>
      </c>
      <c r="AD879" s="15">
        <v>16.5</v>
      </c>
      <c r="AM879" s="1"/>
      <c r="AP879" s="15" t="s">
        <v>1978</v>
      </c>
      <c r="AQ879" s="1">
        <v>3</v>
      </c>
      <c r="AR879" s="1">
        <v>3</v>
      </c>
      <c r="BP879" s="16"/>
      <c r="BQ879" s="16"/>
      <c r="BR879" s="16"/>
      <c r="BU879" s="16"/>
      <c r="CC879" s="15" t="s">
        <v>2402</v>
      </c>
      <c r="CE879" s="15">
        <f>15*2250</f>
        <v>33750</v>
      </c>
      <c r="CF879" s="15">
        <f t="shared" si="768"/>
        <v>33750</v>
      </c>
      <c r="CG879" s="15" t="s">
        <v>766</v>
      </c>
      <c r="CH879" s="15">
        <v>9.4600000000000009</v>
      </c>
      <c r="CL879" s="15">
        <v>1.02</v>
      </c>
      <c r="CM879" s="15">
        <v>3.21</v>
      </c>
      <c r="CO879" s="15">
        <v>24.13</v>
      </c>
      <c r="CY879" s="25">
        <f t="shared" si="769"/>
        <v>33750</v>
      </c>
      <c r="CZ879" s="25">
        <f t="shared" si="770"/>
        <v>43.269230769230766</v>
      </c>
      <c r="DA879" s="25">
        <f t="shared" si="771"/>
        <v>101250</v>
      </c>
      <c r="EZ879" s="16"/>
      <c r="FA879" s="16"/>
      <c r="FB879" s="16"/>
      <c r="FC879" s="16"/>
      <c r="FD879" s="16"/>
      <c r="FE879" s="16"/>
      <c r="FF879" s="16"/>
      <c r="FG879" s="16"/>
      <c r="FH879" s="16"/>
      <c r="FI879" s="16"/>
      <c r="FJ879" s="16"/>
      <c r="FK879" s="16">
        <f t="shared" si="730"/>
        <v>6.89</v>
      </c>
      <c r="FL879" s="16">
        <f t="shared" si="731"/>
        <v>7.13</v>
      </c>
      <c r="FM879" s="15">
        <v>6.89</v>
      </c>
      <c r="FN879" s="15">
        <v>0.12</v>
      </c>
      <c r="FO879" s="15">
        <f>FN879*SQRT(AR879)</f>
        <v>0.20784609690826525</v>
      </c>
      <c r="FP879" s="15">
        <v>7.13</v>
      </c>
      <c r="FQ879" s="15">
        <v>0.01</v>
      </c>
      <c r="FR879" s="15">
        <f>FQ879*SQRT(AR879)</f>
        <v>1.7320508075688773E-2</v>
      </c>
      <c r="FS879" s="15">
        <f t="shared" si="732"/>
        <v>1.0348330914368651</v>
      </c>
      <c r="FT879" s="15">
        <f t="shared" si="733"/>
        <v>0.24000000000000021</v>
      </c>
      <c r="FU879" s="15">
        <f t="shared" si="734"/>
        <v>3.4240149400637465E-2</v>
      </c>
      <c r="FV879" s="15">
        <f>((FR879*FR879)/(AR879*FP879*FP879)+(FO879*FO879)/(AR879*FM879*FM879))</f>
        <v>3.0530313985927579E-4</v>
      </c>
      <c r="FX879" s="15">
        <v>16.79</v>
      </c>
      <c r="FY879" s="15">
        <v>0.28999999999999998</v>
      </c>
      <c r="FZ879" s="15">
        <f>FY879*SQRT(AR879)</f>
        <v>0.50229473419497439</v>
      </c>
      <c r="GA879" s="15">
        <v>24.53</v>
      </c>
      <c r="GB879" s="15">
        <v>0.18</v>
      </c>
      <c r="GC879" s="15">
        <f>GB879*SQRT(AR879)</f>
        <v>0.31176914536239786</v>
      </c>
      <c r="GD879" s="15">
        <f t="shared" si="751"/>
        <v>1.4609886837403219</v>
      </c>
      <c r="GE879" s="15">
        <f t="shared" si="747"/>
        <v>7.740000000000002</v>
      </c>
      <c r="GF879" s="15">
        <f t="shared" si="748"/>
        <v>0.37911338718094889</v>
      </c>
      <c r="GG879" s="15">
        <f>((GC879*GC879)/(AR879*GA879*GA879)+(FZ879*FZ879)/(AR879*FX879*FX879))</f>
        <v>3.521739651237858E-4</v>
      </c>
      <c r="HE879" s="15">
        <f t="shared" si="772"/>
        <v>13837.5</v>
      </c>
      <c r="HF879" s="15">
        <f t="shared" si="773"/>
        <v>138.375</v>
      </c>
      <c r="HG879" s="15">
        <f>HF879*SQRT(AR879)</f>
        <v>239.67253049734339</v>
      </c>
      <c r="HH879" s="15">
        <v>17482.5</v>
      </c>
      <c r="HI879" s="15">
        <f t="shared" si="774"/>
        <v>174.82500000000002</v>
      </c>
      <c r="HJ879" s="15">
        <f>HI879*SQRT(AR879)</f>
        <v>302.80578243322901</v>
      </c>
      <c r="HK879" s="15">
        <f t="shared" si="775"/>
        <v>1.2634146341463415</v>
      </c>
      <c r="HL879" s="15">
        <f t="shared" si="776"/>
        <v>3645</v>
      </c>
      <c r="HM879" s="15">
        <f t="shared" si="777"/>
        <v>0.23381808256113068</v>
      </c>
      <c r="HN879" s="15">
        <f>((HJ879*HJ879)/(AR879*HH879*HH879)+(HG879*HG879)/(AR879*HE879*HE879))</f>
        <v>2.0000000000000004E-4</v>
      </c>
      <c r="HP879" s="15" t="s">
        <v>766</v>
      </c>
      <c r="HV879" s="15">
        <f t="shared" si="778"/>
        <v>4330.2895520721177</v>
      </c>
      <c r="HW879" s="15">
        <f t="shared" si="779"/>
        <v>0.23381808256113068</v>
      </c>
      <c r="HX879" s="25">
        <f>DA879</f>
        <v>101250</v>
      </c>
      <c r="HY879" s="25">
        <f>CY879</f>
        <v>33750</v>
      </c>
      <c r="HZ879" s="25">
        <f>CZ879</f>
        <v>43.269230769230766</v>
      </c>
      <c r="IA879" s="25">
        <f>DA879</f>
        <v>101250</v>
      </c>
    </row>
    <row r="880" spans="1:235" s="15" customFormat="1" x14ac:dyDescent="0.25">
      <c r="A880" s="31">
        <v>878</v>
      </c>
      <c r="B880" s="1">
        <v>138</v>
      </c>
      <c r="C880" s="1">
        <v>161</v>
      </c>
      <c r="D880" s="15" t="s">
        <v>1973</v>
      </c>
      <c r="E880" s="31">
        <v>2</v>
      </c>
      <c r="F880" s="15" t="s">
        <v>777</v>
      </c>
      <c r="G880" s="15" t="s">
        <v>2417</v>
      </c>
      <c r="H880" s="15" t="s">
        <v>941</v>
      </c>
      <c r="I880" s="1">
        <v>2020</v>
      </c>
      <c r="J880" s="15" t="s">
        <v>2400</v>
      </c>
      <c r="K880" s="1">
        <v>2018</v>
      </c>
      <c r="L880" s="15" t="s">
        <v>1641</v>
      </c>
      <c r="M880" s="15" t="s">
        <v>480</v>
      </c>
      <c r="N880" s="15" t="s">
        <v>23</v>
      </c>
      <c r="O880" s="31">
        <v>2</v>
      </c>
      <c r="P880" s="15">
        <v>22.84</v>
      </c>
      <c r="Q880" s="15">
        <v>108.25</v>
      </c>
      <c r="R880" s="15" t="s">
        <v>532</v>
      </c>
      <c r="S880" s="15">
        <v>1304</v>
      </c>
      <c r="T880" s="15">
        <v>21.6</v>
      </c>
      <c r="U880" s="15" t="s">
        <v>807</v>
      </c>
      <c r="V880" s="31">
        <v>2</v>
      </c>
      <c r="W880" s="16" t="s">
        <v>1169</v>
      </c>
      <c r="X880" s="15" t="s">
        <v>689</v>
      </c>
      <c r="Y880" s="1">
        <v>1</v>
      </c>
      <c r="Z880" s="15">
        <v>6.91</v>
      </c>
      <c r="AA880" s="15" t="s">
        <v>573</v>
      </c>
      <c r="AB880" s="15">
        <f t="shared" si="725"/>
        <v>6.91</v>
      </c>
      <c r="AC880" s="1">
        <v>6</v>
      </c>
      <c r="AD880" s="15">
        <v>16.5</v>
      </c>
      <c r="AM880" s="1"/>
      <c r="AP880" s="15" t="s">
        <v>1978</v>
      </c>
      <c r="AQ880" s="1">
        <v>3</v>
      </c>
      <c r="AR880" s="1">
        <v>3</v>
      </c>
      <c r="BP880" s="16"/>
      <c r="BQ880" s="16"/>
      <c r="BR880" s="16"/>
      <c r="BU880" s="16"/>
      <c r="CC880" s="15" t="s">
        <v>2402</v>
      </c>
      <c r="CE880" s="15">
        <f>30*2250</f>
        <v>67500</v>
      </c>
      <c r="CF880" s="15">
        <f t="shared" si="768"/>
        <v>67500</v>
      </c>
      <c r="CG880" s="15" t="s">
        <v>766</v>
      </c>
      <c r="CH880" s="15">
        <v>9.4600000000000009</v>
      </c>
      <c r="CL880" s="15">
        <v>1.02</v>
      </c>
      <c r="CM880" s="15">
        <v>3.21</v>
      </c>
      <c r="CO880" s="15">
        <v>24.13</v>
      </c>
      <c r="CY880" s="25">
        <f t="shared" si="769"/>
        <v>67500</v>
      </c>
      <c r="CZ880" s="25">
        <f t="shared" si="770"/>
        <v>86.538461538461533</v>
      </c>
      <c r="DA880" s="25">
        <f t="shared" si="771"/>
        <v>202500</v>
      </c>
      <c r="EZ880" s="16"/>
      <c r="FA880" s="16"/>
      <c r="FB880" s="16"/>
      <c r="FC880" s="16"/>
      <c r="FD880" s="16"/>
      <c r="FE880" s="16"/>
      <c r="FF880" s="16"/>
      <c r="FG880" s="16"/>
      <c r="FH880" s="16"/>
      <c r="FI880" s="16"/>
      <c r="FJ880" s="16"/>
      <c r="FK880" s="16">
        <f t="shared" si="730"/>
        <v>6.89</v>
      </c>
      <c r="FL880" s="16">
        <f t="shared" si="731"/>
        <v>7.15</v>
      </c>
      <c r="FM880" s="15">
        <v>6.89</v>
      </c>
      <c r="FN880" s="15">
        <v>0.12</v>
      </c>
      <c r="FO880" s="15">
        <f>FN880*SQRT(AR880)</f>
        <v>0.20784609690826525</v>
      </c>
      <c r="FP880" s="15">
        <v>7.15</v>
      </c>
      <c r="FQ880" s="15">
        <v>0.01</v>
      </c>
      <c r="FR880" s="15">
        <f>FQ880*SQRT(AR880)</f>
        <v>1.7320508075688773E-2</v>
      </c>
      <c r="FS880" s="15">
        <f t="shared" si="732"/>
        <v>1.0377358490566038</v>
      </c>
      <c r="FT880" s="15">
        <f t="shared" si="733"/>
        <v>0.26000000000000068</v>
      </c>
      <c r="FU880" s="15">
        <f t="shared" si="734"/>
        <v>3.7041271680349208E-2</v>
      </c>
      <c r="FV880" s="15">
        <f>((FR880*FR880)/(AR880*FP880*FP880)+(FO880*FO880)/(AR880*FM880*FM880))</f>
        <v>3.0529215063441957E-4</v>
      </c>
      <c r="FX880" s="15">
        <v>16.79</v>
      </c>
      <c r="FY880" s="15">
        <v>0.28999999999999998</v>
      </c>
      <c r="FZ880" s="15">
        <f>FY880*SQRT(AR880)</f>
        <v>0.50229473419497439</v>
      </c>
      <c r="GA880" s="15">
        <v>30.08</v>
      </c>
      <c r="GB880" s="15">
        <v>0.39</v>
      </c>
      <c r="GC880" s="15">
        <f>GB880*SQRT(AR880)</f>
        <v>0.67549981495186218</v>
      </c>
      <c r="GD880" s="15">
        <f t="shared" si="751"/>
        <v>1.7915425848719475</v>
      </c>
      <c r="GE880" s="15">
        <f t="shared" si="747"/>
        <v>13.29</v>
      </c>
      <c r="GF880" s="15">
        <f t="shared" si="748"/>
        <v>0.58307702799218974</v>
      </c>
      <c r="GG880" s="15">
        <f>((GC880*GC880)/(AR880*GA880*GA880)+(FZ880*FZ880)/(AR880*FX880*FX880))</f>
        <v>4.6643066239336102E-4</v>
      </c>
      <c r="HE880" s="15">
        <f t="shared" si="772"/>
        <v>13837.5</v>
      </c>
      <c r="HF880" s="15">
        <f t="shared" si="773"/>
        <v>138.375</v>
      </c>
      <c r="HG880" s="15">
        <f>HF880*SQRT(AR880)</f>
        <v>239.67253049734339</v>
      </c>
      <c r="HH880" s="15">
        <v>17752.5</v>
      </c>
      <c r="HI880" s="15">
        <f t="shared" si="774"/>
        <v>177.52500000000001</v>
      </c>
      <c r="HJ880" s="15">
        <f>HI880*SQRT(AR880)</f>
        <v>307.48231961366491</v>
      </c>
      <c r="HK880" s="15">
        <f t="shared" si="775"/>
        <v>1.2829268292682927</v>
      </c>
      <c r="HL880" s="15">
        <f t="shared" si="776"/>
        <v>3915</v>
      </c>
      <c r="HM880" s="15">
        <f t="shared" si="777"/>
        <v>0.24914405303935716</v>
      </c>
      <c r="HN880" s="15">
        <f>((HJ880*HJ880)/(AR880*HH880*HH880)+(HG880*HG880)/(AR880*HE880*HE880))</f>
        <v>1.9999999999999998E-4</v>
      </c>
      <c r="HP880" s="15" t="s">
        <v>766</v>
      </c>
      <c r="HV880" s="15">
        <f t="shared" si="778"/>
        <v>8127.8279585509981</v>
      </c>
      <c r="HW880" s="15">
        <f t="shared" si="779"/>
        <v>0.24914405303935716</v>
      </c>
      <c r="HX880" s="25">
        <f>DA880</f>
        <v>202500</v>
      </c>
      <c r="HY880" s="25">
        <f>CY880</f>
        <v>67500</v>
      </c>
      <c r="HZ880" s="25">
        <f>CZ880</f>
        <v>86.538461538461533</v>
      </c>
      <c r="IA880" s="25">
        <f>DA880</f>
        <v>202500</v>
      </c>
    </row>
    <row r="881" spans="1:235" s="15" customFormat="1" x14ac:dyDescent="0.25">
      <c r="A881" s="31">
        <v>879</v>
      </c>
      <c r="B881" s="1">
        <v>138</v>
      </c>
      <c r="C881" s="1">
        <v>161</v>
      </c>
      <c r="D881" s="15" t="s">
        <v>1974</v>
      </c>
      <c r="E881" s="31">
        <v>2</v>
      </c>
      <c r="F881" s="15" t="s">
        <v>777</v>
      </c>
      <c r="G881" s="15" t="s">
        <v>2417</v>
      </c>
      <c r="H881" s="15" t="s">
        <v>941</v>
      </c>
      <c r="I881" s="1">
        <v>2020</v>
      </c>
      <c r="J881" s="15" t="s">
        <v>2400</v>
      </c>
      <c r="K881" s="1">
        <v>2018</v>
      </c>
      <c r="L881" s="15" t="s">
        <v>1641</v>
      </c>
      <c r="M881" s="15" t="s">
        <v>480</v>
      </c>
      <c r="N881" s="15" t="s">
        <v>23</v>
      </c>
      <c r="O881" s="31">
        <v>2</v>
      </c>
      <c r="P881" s="15">
        <v>22.84</v>
      </c>
      <c r="Q881" s="15">
        <v>108.25</v>
      </c>
      <c r="R881" s="15" t="s">
        <v>532</v>
      </c>
      <c r="S881" s="15">
        <v>1304</v>
      </c>
      <c r="T881" s="15">
        <v>21.6</v>
      </c>
      <c r="U881" s="15" t="s">
        <v>807</v>
      </c>
      <c r="V881" s="31">
        <v>2</v>
      </c>
      <c r="W881" s="16" t="s">
        <v>1169</v>
      </c>
      <c r="X881" s="15" t="s">
        <v>689</v>
      </c>
      <c r="Y881" s="1">
        <v>1</v>
      </c>
      <c r="Z881" s="15">
        <v>6.91</v>
      </c>
      <c r="AA881" s="15" t="s">
        <v>573</v>
      </c>
      <c r="AB881" s="15">
        <f t="shared" si="725"/>
        <v>6.91</v>
      </c>
      <c r="AC881" s="1">
        <v>6</v>
      </c>
      <c r="AD881" s="15">
        <v>16.5</v>
      </c>
      <c r="AM881" s="1"/>
      <c r="AP881" s="15" t="s">
        <v>1978</v>
      </c>
      <c r="AQ881" s="1">
        <v>3</v>
      </c>
      <c r="AR881" s="1">
        <v>3</v>
      </c>
      <c r="BP881" s="16"/>
      <c r="BQ881" s="16"/>
      <c r="BR881" s="16"/>
      <c r="BU881" s="16"/>
      <c r="CC881" s="15" t="s">
        <v>2402</v>
      </c>
      <c r="CE881" s="15">
        <f>45*2250</f>
        <v>101250</v>
      </c>
      <c r="CF881" s="15">
        <f t="shared" si="768"/>
        <v>101250</v>
      </c>
      <c r="CG881" s="15" t="s">
        <v>766</v>
      </c>
      <c r="CH881" s="15">
        <v>9.4600000000000009</v>
      </c>
      <c r="CL881" s="15">
        <v>1.02</v>
      </c>
      <c r="CM881" s="15">
        <v>3.21</v>
      </c>
      <c r="CO881" s="15">
        <v>24.13</v>
      </c>
      <c r="CY881" s="25">
        <f t="shared" si="769"/>
        <v>101250</v>
      </c>
      <c r="CZ881" s="25">
        <f t="shared" si="770"/>
        <v>129.80769230769229</v>
      </c>
      <c r="DA881" s="25">
        <f t="shared" si="771"/>
        <v>303750</v>
      </c>
      <c r="EZ881" s="16"/>
      <c r="FA881" s="16"/>
      <c r="FB881" s="16"/>
      <c r="FC881" s="16"/>
      <c r="FD881" s="16"/>
      <c r="FE881" s="16"/>
      <c r="FF881" s="16"/>
      <c r="FG881" s="16"/>
      <c r="FH881" s="16"/>
      <c r="FI881" s="16"/>
      <c r="FJ881" s="16"/>
      <c r="FK881" s="16">
        <f t="shared" si="730"/>
        <v>6.89</v>
      </c>
      <c r="FL881" s="16">
        <f t="shared" si="731"/>
        <v>7.22</v>
      </c>
      <c r="FM881" s="15">
        <v>6.89</v>
      </c>
      <c r="FN881" s="15">
        <v>0.12</v>
      </c>
      <c r="FO881" s="15">
        <f>FN881*SQRT(AR881)</f>
        <v>0.20784609690826525</v>
      </c>
      <c r="FP881" s="15">
        <v>7.22</v>
      </c>
      <c r="FQ881" s="15">
        <v>0.01</v>
      </c>
      <c r="FR881" s="15">
        <f>FQ881*SQRT(AR881)</f>
        <v>1.7320508075688773E-2</v>
      </c>
      <c r="FS881" s="15">
        <f t="shared" si="732"/>
        <v>1.0478955007256894</v>
      </c>
      <c r="FT881" s="15">
        <f t="shared" si="733"/>
        <v>0.33000000000000007</v>
      </c>
      <c r="FU881" s="15">
        <f t="shared" si="734"/>
        <v>4.6783867879167662E-2</v>
      </c>
      <c r="FV881" s="15">
        <f>((FR881*FR881)/(AR881*FP881*FP881)+(FO881*FO881)/(AR881*FM881*FM881))</f>
        <v>3.0525440486092921E-4</v>
      </c>
      <c r="FX881" s="15">
        <v>16.79</v>
      </c>
      <c r="FY881" s="15">
        <v>0.28999999999999998</v>
      </c>
      <c r="FZ881" s="15">
        <f>FY881*SQRT(AR881)</f>
        <v>0.50229473419497439</v>
      </c>
      <c r="GA881" s="15">
        <v>38.520000000000003</v>
      </c>
      <c r="GB881" s="15">
        <v>0.82</v>
      </c>
      <c r="GC881" s="15">
        <f>GB881*SQRT(AR881)</f>
        <v>1.4202816622064791</v>
      </c>
      <c r="GD881" s="15">
        <f t="shared" si="751"/>
        <v>2.2942227516378799</v>
      </c>
      <c r="GE881" s="15">
        <f t="shared" si="747"/>
        <v>21.730000000000004</v>
      </c>
      <c r="GF881" s="15">
        <f t="shared" si="748"/>
        <v>0.83039411584047551</v>
      </c>
      <c r="GG881" s="15">
        <f>((GC881*GC881)/(AR881*GA881*GA881)+(FZ881*FZ881)/(AR881*FX881*FX881))</f>
        <v>7.5149213842506013E-4</v>
      </c>
      <c r="HE881" s="15">
        <f t="shared" si="772"/>
        <v>13837.5</v>
      </c>
      <c r="HF881" s="15">
        <f t="shared" si="773"/>
        <v>138.375</v>
      </c>
      <c r="HG881" s="15">
        <f>HF881*SQRT(AR881)</f>
        <v>239.67253049734339</v>
      </c>
      <c r="HH881" s="15">
        <v>13947.5</v>
      </c>
      <c r="HI881" s="15">
        <f t="shared" si="774"/>
        <v>139.47499999999999</v>
      </c>
      <c r="HJ881" s="15">
        <f>HI881*SQRT(AR881)</f>
        <v>241.57778638566913</v>
      </c>
      <c r="HK881" s="15">
        <f t="shared" si="775"/>
        <v>1.0079494128274615</v>
      </c>
      <c r="HL881" s="15">
        <f t="shared" si="776"/>
        <v>110</v>
      </c>
      <c r="HM881" s="15">
        <f t="shared" si="777"/>
        <v>7.9179827027910932E-3</v>
      </c>
      <c r="HN881" s="15">
        <f>((HJ881*HJ881)/(AR881*HH881*HH881)+(HG881*HG881)/(AR881*HE881*HE881))</f>
        <v>1.9999999999999998E-4</v>
      </c>
      <c r="HP881" s="15" t="s">
        <v>766</v>
      </c>
      <c r="HV881" s="15">
        <f t="shared" si="778"/>
        <v>383620.43894454069</v>
      </c>
      <c r="HW881" s="15">
        <f t="shared" si="779"/>
        <v>7.9179827027910932E-3</v>
      </c>
      <c r="HX881" s="25">
        <f>DA881</f>
        <v>303750</v>
      </c>
      <c r="HY881" s="25">
        <f>CY881</f>
        <v>101250</v>
      </c>
      <c r="HZ881" s="25">
        <f>CZ881</f>
        <v>129.80769230769229</v>
      </c>
      <c r="IA881" s="25">
        <f>DA881</f>
        <v>303750</v>
      </c>
    </row>
    <row r="882" spans="1:235" s="15" customFormat="1" x14ac:dyDescent="0.25">
      <c r="A882" s="31">
        <v>880</v>
      </c>
      <c r="B882" s="1">
        <v>138</v>
      </c>
      <c r="C882" s="1">
        <v>161</v>
      </c>
      <c r="D882" s="15" t="s">
        <v>1975</v>
      </c>
      <c r="E882" s="31">
        <v>2</v>
      </c>
      <c r="F882" s="15" t="s">
        <v>777</v>
      </c>
      <c r="G882" s="15" t="s">
        <v>2417</v>
      </c>
      <c r="H882" s="15" t="s">
        <v>941</v>
      </c>
      <c r="I882" s="1">
        <v>2020</v>
      </c>
      <c r="J882" s="15" t="s">
        <v>2400</v>
      </c>
      <c r="K882" s="1">
        <v>2018</v>
      </c>
      <c r="L882" s="15" t="s">
        <v>1641</v>
      </c>
      <c r="M882" s="15" t="s">
        <v>480</v>
      </c>
      <c r="N882" s="15" t="s">
        <v>23</v>
      </c>
      <c r="O882" s="31">
        <v>2</v>
      </c>
      <c r="P882" s="15">
        <v>22.84</v>
      </c>
      <c r="Q882" s="15">
        <v>108.25</v>
      </c>
      <c r="R882" s="15" t="s">
        <v>532</v>
      </c>
      <c r="S882" s="15">
        <v>1304</v>
      </c>
      <c r="T882" s="15">
        <v>21.6</v>
      </c>
      <c r="U882" s="15" t="s">
        <v>807</v>
      </c>
      <c r="V882" s="31">
        <v>2</v>
      </c>
      <c r="W882" s="16" t="s">
        <v>1169</v>
      </c>
      <c r="X882" s="15" t="s">
        <v>689</v>
      </c>
      <c r="Y882" s="1">
        <v>1</v>
      </c>
      <c r="Z882" s="15">
        <v>6.91</v>
      </c>
      <c r="AA882" s="15" t="s">
        <v>573</v>
      </c>
      <c r="AB882" s="15">
        <f t="shared" si="725"/>
        <v>6.91</v>
      </c>
      <c r="AC882" s="1">
        <v>6</v>
      </c>
      <c r="AD882" s="15">
        <v>16.5</v>
      </c>
      <c r="AM882" s="1"/>
      <c r="AP882" s="15" t="s">
        <v>1978</v>
      </c>
      <c r="AQ882" s="1">
        <v>3</v>
      </c>
      <c r="AR882" s="1">
        <v>3</v>
      </c>
      <c r="BP882" s="16"/>
      <c r="BQ882" s="16"/>
      <c r="BR882" s="16"/>
      <c r="BU882" s="16"/>
      <c r="CC882" s="15" t="s">
        <v>2403</v>
      </c>
      <c r="CE882" s="15">
        <f>15*2250</f>
        <v>33750</v>
      </c>
      <c r="CF882" s="15">
        <f t="shared" si="768"/>
        <v>33750</v>
      </c>
      <c r="CG882" s="15" t="s">
        <v>766</v>
      </c>
      <c r="CH882" s="15">
        <v>9.18</v>
      </c>
      <c r="CL882" s="15">
        <v>0.93</v>
      </c>
      <c r="CM882" s="15">
        <v>2.91</v>
      </c>
      <c r="CO882" s="15">
        <v>23.42</v>
      </c>
      <c r="CY882" s="25">
        <f t="shared" si="769"/>
        <v>33750</v>
      </c>
      <c r="CZ882" s="25">
        <f t="shared" si="770"/>
        <v>43.269230769230766</v>
      </c>
      <c r="DA882" s="25">
        <f t="shared" si="771"/>
        <v>101250</v>
      </c>
      <c r="EZ882" s="16"/>
      <c r="FA882" s="16"/>
      <c r="FB882" s="16"/>
      <c r="FC882" s="16"/>
      <c r="FD882" s="16"/>
      <c r="FE882" s="16"/>
      <c r="FF882" s="16"/>
      <c r="FG882" s="16"/>
      <c r="FH882" s="16"/>
      <c r="FI882" s="16"/>
      <c r="FJ882" s="16"/>
      <c r="FK882" s="16">
        <f t="shared" si="730"/>
        <v>6.89</v>
      </c>
      <c r="FL882" s="16">
        <f t="shared" si="731"/>
        <v>6.9</v>
      </c>
      <c r="FM882" s="15">
        <v>6.89</v>
      </c>
      <c r="FN882" s="15">
        <v>0.12</v>
      </c>
      <c r="FO882" s="15">
        <f>FN882*SQRT(AR882)</f>
        <v>0.20784609690826525</v>
      </c>
      <c r="FP882" s="15">
        <v>6.9</v>
      </c>
      <c r="FQ882" s="15">
        <v>0.02</v>
      </c>
      <c r="FR882" s="15">
        <f>FQ882*SQRT(AR882)</f>
        <v>3.4641016151377546E-2</v>
      </c>
      <c r="FS882" s="15">
        <f t="shared" si="732"/>
        <v>1.0014513788098696</v>
      </c>
      <c r="FT882" s="15">
        <f t="shared" si="733"/>
        <v>1.0000000000000675E-2</v>
      </c>
      <c r="FU882" s="15">
        <f t="shared" si="734"/>
        <v>1.4503265776466545E-3</v>
      </c>
      <c r="FV882" s="15">
        <f>((FR882*FR882)/(AR882*FP882*FP882)+(FO882*FO882)/(AR882*FM882*FM882))</f>
        <v>3.1173766106554744E-4</v>
      </c>
      <c r="FX882" s="15">
        <v>16.79</v>
      </c>
      <c r="FY882" s="15">
        <v>0.28999999999999998</v>
      </c>
      <c r="FZ882" s="15">
        <f>FY882*SQRT(AR882)</f>
        <v>0.50229473419497439</v>
      </c>
      <c r="GA882" s="15">
        <v>26.12</v>
      </c>
      <c r="GB882" s="15">
        <v>0.98</v>
      </c>
      <c r="GC882" s="15">
        <f>GB882*SQRT(AR882)</f>
        <v>1.6974097914174997</v>
      </c>
      <c r="GD882" s="15">
        <f t="shared" si="751"/>
        <v>1.5556879094699227</v>
      </c>
      <c r="GE882" s="15">
        <f t="shared" si="747"/>
        <v>9.3300000000000018</v>
      </c>
      <c r="GF882" s="15">
        <f t="shared" si="748"/>
        <v>0.44191783331878121</v>
      </c>
      <c r="GG882" s="15">
        <f>((GC882*GC882)/(AR882*GA882*GA882)+(FZ882*FZ882)/(AR882*FX882*FX882))</f>
        <v>1.7060144510720964E-3</v>
      </c>
      <c r="HE882" s="15">
        <f t="shared" si="772"/>
        <v>13837.5</v>
      </c>
      <c r="HF882" s="15">
        <f t="shared" si="773"/>
        <v>138.375</v>
      </c>
      <c r="HG882" s="15">
        <f>HF882*SQRT(AR882)</f>
        <v>239.67253049734339</v>
      </c>
      <c r="HH882" s="15">
        <v>14269.5</v>
      </c>
      <c r="HI882" s="15">
        <f t="shared" si="774"/>
        <v>142.69499999999999</v>
      </c>
      <c r="HJ882" s="15">
        <f>HI882*SQRT(AR882)</f>
        <v>247.15498998604093</v>
      </c>
      <c r="HK882" s="15">
        <f t="shared" si="775"/>
        <v>1.031219512195122</v>
      </c>
      <c r="HL882" s="15">
        <f t="shared" si="776"/>
        <v>432</v>
      </c>
      <c r="HM882" s="15">
        <f t="shared" si="777"/>
        <v>3.0742094297728784E-2</v>
      </c>
      <c r="HN882" s="15">
        <f>((HJ882*HJ882)/(AR882*HH882*HH882)+(HG882*HG882)/(AR882*HE882*HE882))</f>
        <v>1.9999999999999998E-4</v>
      </c>
      <c r="HP882" s="15" t="s">
        <v>766</v>
      </c>
      <c r="HV882" s="15">
        <f t="shared" si="778"/>
        <v>32935.296801649689</v>
      </c>
      <c r="HW882" s="15">
        <f t="shared" si="779"/>
        <v>3.0742094297728784E-2</v>
      </c>
      <c r="HX882" s="25">
        <f>DA882</f>
        <v>101250</v>
      </c>
      <c r="HY882" s="25">
        <f>CY882</f>
        <v>33750</v>
      </c>
      <c r="HZ882" s="25">
        <f>CZ882</f>
        <v>43.269230769230766</v>
      </c>
      <c r="IA882" s="25">
        <f>DA882</f>
        <v>101250</v>
      </c>
    </row>
    <row r="883" spans="1:235" s="15" customFormat="1" x14ac:dyDescent="0.25">
      <c r="A883" s="31">
        <v>881</v>
      </c>
      <c r="B883" s="1">
        <v>138</v>
      </c>
      <c r="C883" s="1">
        <v>161</v>
      </c>
      <c r="D883" s="15" t="s">
        <v>1976</v>
      </c>
      <c r="E883" s="31">
        <v>2</v>
      </c>
      <c r="F883" s="15" t="s">
        <v>777</v>
      </c>
      <c r="G883" s="15" t="s">
        <v>2417</v>
      </c>
      <c r="H883" s="15" t="s">
        <v>941</v>
      </c>
      <c r="I883" s="1">
        <v>2020</v>
      </c>
      <c r="J883" s="15" t="s">
        <v>2400</v>
      </c>
      <c r="K883" s="1">
        <v>2018</v>
      </c>
      <c r="L883" s="15" t="s">
        <v>1641</v>
      </c>
      <c r="M883" s="15" t="s">
        <v>480</v>
      </c>
      <c r="N883" s="15" t="s">
        <v>23</v>
      </c>
      <c r="O883" s="31">
        <v>2</v>
      </c>
      <c r="P883" s="15">
        <v>22.84</v>
      </c>
      <c r="Q883" s="15">
        <v>108.25</v>
      </c>
      <c r="R883" s="15" t="s">
        <v>532</v>
      </c>
      <c r="S883" s="15">
        <v>1304</v>
      </c>
      <c r="T883" s="15">
        <v>21.6</v>
      </c>
      <c r="U883" s="15" t="s">
        <v>807</v>
      </c>
      <c r="V883" s="31">
        <v>2</v>
      </c>
      <c r="W883" s="16" t="s">
        <v>1169</v>
      </c>
      <c r="X883" s="15" t="s">
        <v>689</v>
      </c>
      <c r="Y883" s="1">
        <v>1</v>
      </c>
      <c r="Z883" s="15">
        <v>6.91</v>
      </c>
      <c r="AA883" s="15" t="s">
        <v>573</v>
      </c>
      <c r="AB883" s="15">
        <f t="shared" ref="AB883:AB884" si="780">Z883</f>
        <v>6.91</v>
      </c>
      <c r="AC883" s="1">
        <v>6</v>
      </c>
      <c r="AD883" s="15">
        <v>16.5</v>
      </c>
      <c r="AM883" s="1"/>
      <c r="AP883" s="15" t="s">
        <v>1978</v>
      </c>
      <c r="AQ883" s="1">
        <v>3</v>
      </c>
      <c r="AR883" s="1">
        <v>3</v>
      </c>
      <c r="BP883" s="16"/>
      <c r="BQ883" s="16"/>
      <c r="BR883" s="16"/>
      <c r="BU883" s="16"/>
      <c r="CC883" s="15" t="s">
        <v>2403</v>
      </c>
      <c r="CE883" s="15">
        <f>30*2250</f>
        <v>67500</v>
      </c>
      <c r="CF883" s="15">
        <f t="shared" si="768"/>
        <v>67500</v>
      </c>
      <c r="CG883" s="15" t="s">
        <v>766</v>
      </c>
      <c r="CH883" s="15">
        <v>9.18</v>
      </c>
      <c r="CL883" s="15">
        <v>0.93</v>
      </c>
      <c r="CM883" s="15">
        <v>2.91</v>
      </c>
      <c r="CO883" s="15">
        <v>23.42</v>
      </c>
      <c r="CY883" s="25">
        <f t="shared" si="769"/>
        <v>67500</v>
      </c>
      <c r="CZ883" s="25">
        <f t="shared" si="770"/>
        <v>86.538461538461533</v>
      </c>
      <c r="DA883" s="25">
        <f t="shared" si="771"/>
        <v>202500</v>
      </c>
      <c r="EZ883" s="16"/>
      <c r="FA883" s="16"/>
      <c r="FB883" s="16"/>
      <c r="FC883" s="16"/>
      <c r="FD883" s="16"/>
      <c r="FE883" s="16"/>
      <c r="FF883" s="16"/>
      <c r="FG883" s="16"/>
      <c r="FH883" s="16"/>
      <c r="FI883" s="16"/>
      <c r="FJ883" s="16"/>
      <c r="FK883" s="16">
        <f t="shared" si="730"/>
        <v>6.89</v>
      </c>
      <c r="FL883" s="16">
        <f t="shared" si="731"/>
        <v>6.99</v>
      </c>
      <c r="FM883" s="15">
        <v>6.89</v>
      </c>
      <c r="FN883" s="15">
        <v>0.12</v>
      </c>
      <c r="FO883" s="15">
        <f>FN883*SQRT(AR883)</f>
        <v>0.20784609690826525</v>
      </c>
      <c r="FP883" s="15">
        <v>6.99</v>
      </c>
      <c r="FQ883" s="15">
        <v>0.01</v>
      </c>
      <c r="FR883" s="15">
        <f>FQ883*SQRT(AR883)</f>
        <v>1.7320508075688773E-2</v>
      </c>
      <c r="FS883" s="15">
        <f t="shared" si="732"/>
        <v>1.0145137880986939</v>
      </c>
      <c r="FT883" s="15">
        <f t="shared" si="733"/>
        <v>0.10000000000000053</v>
      </c>
      <c r="FU883" s="15">
        <f t="shared" si="734"/>
        <v>1.4409471220151904E-2</v>
      </c>
      <c r="FV883" s="15">
        <f>((FR883*FR883)/(AR883*FP883*FP883)+(FO883*FO883)/(AR883*FM883*FM883))</f>
        <v>3.0538272451120649E-4</v>
      </c>
      <c r="FX883" s="15">
        <v>16.79</v>
      </c>
      <c r="FY883" s="15">
        <v>0.28999999999999998</v>
      </c>
      <c r="FZ883" s="15">
        <f>FY883*SQRT(AR883)</f>
        <v>0.50229473419497439</v>
      </c>
      <c r="GA883" s="15">
        <v>30.1</v>
      </c>
      <c r="GB883" s="15">
        <v>0.56000000000000005</v>
      </c>
      <c r="GC883" s="15">
        <f>GB883*SQRT(AR883)</f>
        <v>0.96994845223857129</v>
      </c>
      <c r="GD883" s="15">
        <f t="shared" si="751"/>
        <v>1.7927337701012509</v>
      </c>
      <c r="GE883" s="15">
        <f t="shared" si="747"/>
        <v>13.310000000000002</v>
      </c>
      <c r="GF883" s="15">
        <f t="shared" si="748"/>
        <v>0.58374170066538067</v>
      </c>
      <c r="GG883" s="15">
        <f>((GC883*GC883)/(AR883*GA883*GA883)+(FZ883*FZ883)/(AR883*FX883*FX883))</f>
        <v>6.4446144805885958E-4</v>
      </c>
      <c r="HE883" s="15">
        <f t="shared" si="772"/>
        <v>13837.5</v>
      </c>
      <c r="HF883" s="15">
        <f t="shared" si="773"/>
        <v>138.375</v>
      </c>
      <c r="HG883" s="15">
        <f>HF883*SQRT(AR883)</f>
        <v>239.67253049734339</v>
      </c>
      <c r="HH883" s="15">
        <v>18366.75</v>
      </c>
      <c r="HI883" s="15">
        <f t="shared" si="774"/>
        <v>183.66749999999999</v>
      </c>
      <c r="HJ883" s="15">
        <f>HI883*SQRT(AR883)</f>
        <v>318.12144169915672</v>
      </c>
      <c r="HK883" s="15">
        <f t="shared" si="775"/>
        <v>1.3273170731707318</v>
      </c>
      <c r="HL883" s="15">
        <f t="shared" si="776"/>
        <v>4529.25</v>
      </c>
      <c r="HM883" s="15">
        <f t="shared" si="777"/>
        <v>0.28315966665079273</v>
      </c>
      <c r="HN883" s="15">
        <f>((HJ883*HJ883)/(AR883*HH883*HH883)+(HG883*HG883)/(AR883*HE883*HE883))</f>
        <v>1.9999999999999998E-4</v>
      </c>
      <c r="HP883" s="15" t="s">
        <v>766</v>
      </c>
      <c r="HV883" s="15">
        <f t="shared" si="778"/>
        <v>7151.4422373484986</v>
      </c>
      <c r="HW883" s="15">
        <f t="shared" si="779"/>
        <v>0.28315966665079273</v>
      </c>
      <c r="HX883" s="25">
        <f>DA883</f>
        <v>202500</v>
      </c>
      <c r="HY883" s="25">
        <f>CY883</f>
        <v>67500</v>
      </c>
      <c r="HZ883" s="25">
        <f>CZ883</f>
        <v>86.538461538461533</v>
      </c>
      <c r="IA883" s="25">
        <f>DA883</f>
        <v>202500</v>
      </c>
    </row>
    <row r="884" spans="1:235" s="15" customFormat="1" x14ac:dyDescent="0.25">
      <c r="A884" s="31">
        <v>882</v>
      </c>
      <c r="B884" s="1">
        <v>138</v>
      </c>
      <c r="C884" s="1">
        <v>161</v>
      </c>
      <c r="D884" s="15" t="s">
        <v>1977</v>
      </c>
      <c r="E884" s="31">
        <v>2</v>
      </c>
      <c r="F884" s="15" t="s">
        <v>777</v>
      </c>
      <c r="G884" s="15" t="s">
        <v>2417</v>
      </c>
      <c r="H884" s="15" t="s">
        <v>941</v>
      </c>
      <c r="I884" s="1">
        <v>2020</v>
      </c>
      <c r="J884" s="15" t="s">
        <v>2400</v>
      </c>
      <c r="K884" s="1">
        <v>2018</v>
      </c>
      <c r="L884" s="15" t="s">
        <v>1641</v>
      </c>
      <c r="M884" s="15" t="s">
        <v>480</v>
      </c>
      <c r="N884" s="15" t="s">
        <v>23</v>
      </c>
      <c r="O884" s="31">
        <v>2</v>
      </c>
      <c r="P884" s="15">
        <v>22.84</v>
      </c>
      <c r="Q884" s="15">
        <v>108.25</v>
      </c>
      <c r="R884" s="15" t="s">
        <v>532</v>
      </c>
      <c r="S884" s="15">
        <v>1304</v>
      </c>
      <c r="T884" s="15">
        <v>21.6</v>
      </c>
      <c r="U884" s="15" t="s">
        <v>807</v>
      </c>
      <c r="V884" s="31">
        <v>2</v>
      </c>
      <c r="W884" s="16" t="s">
        <v>1169</v>
      </c>
      <c r="X884" s="15" t="s">
        <v>689</v>
      </c>
      <c r="Y884" s="1">
        <v>1</v>
      </c>
      <c r="Z884" s="15">
        <v>6.91</v>
      </c>
      <c r="AA884" s="15" t="s">
        <v>573</v>
      </c>
      <c r="AB884" s="15">
        <f t="shared" si="780"/>
        <v>6.91</v>
      </c>
      <c r="AC884" s="1">
        <v>6</v>
      </c>
      <c r="AD884" s="15">
        <v>16.5</v>
      </c>
      <c r="AM884" s="1"/>
      <c r="AP884" s="15" t="s">
        <v>1978</v>
      </c>
      <c r="AQ884" s="1">
        <v>3</v>
      </c>
      <c r="AR884" s="1">
        <v>3</v>
      </c>
      <c r="BP884" s="16"/>
      <c r="BQ884" s="16"/>
      <c r="BR884" s="16"/>
      <c r="BU884" s="16"/>
      <c r="CC884" s="15" t="s">
        <v>2403</v>
      </c>
      <c r="CE884" s="15">
        <f>45*2250</f>
        <v>101250</v>
      </c>
      <c r="CF884" s="15">
        <f t="shared" si="768"/>
        <v>101250</v>
      </c>
      <c r="CG884" s="15" t="s">
        <v>766</v>
      </c>
      <c r="CH884" s="15">
        <v>9.18</v>
      </c>
      <c r="CL884" s="15">
        <v>0.93</v>
      </c>
      <c r="CM884" s="15">
        <v>2.91</v>
      </c>
      <c r="CO884" s="15">
        <v>23.42</v>
      </c>
      <c r="CY884" s="25">
        <f t="shared" si="769"/>
        <v>101250</v>
      </c>
      <c r="CZ884" s="25">
        <f t="shared" si="770"/>
        <v>129.80769230769229</v>
      </c>
      <c r="DA884" s="25">
        <f t="shared" si="771"/>
        <v>303750</v>
      </c>
      <c r="EZ884" s="16"/>
      <c r="FA884" s="16"/>
      <c r="FB884" s="16"/>
      <c r="FC884" s="16"/>
      <c r="FD884" s="16"/>
      <c r="FE884" s="16"/>
      <c r="FF884" s="16"/>
      <c r="FG884" s="16"/>
      <c r="FH884" s="16"/>
      <c r="FI884" s="16"/>
      <c r="FJ884" s="16"/>
      <c r="FK884" s="16">
        <f t="shared" si="730"/>
        <v>6.89</v>
      </c>
      <c r="FL884" s="16">
        <f t="shared" si="731"/>
        <v>7.09</v>
      </c>
      <c r="FM884" s="15">
        <v>6.89</v>
      </c>
      <c r="FN884" s="15">
        <v>0.12</v>
      </c>
      <c r="FO884" s="15">
        <f>FN884*SQRT(AR884)</f>
        <v>0.20784609690826525</v>
      </c>
      <c r="FP884" s="15">
        <v>7.09</v>
      </c>
      <c r="FQ884" s="15">
        <v>0.01</v>
      </c>
      <c r="FR884" s="15">
        <f>FQ884*SQRT(AR884)</f>
        <v>1.7320508075688773E-2</v>
      </c>
      <c r="FS884" s="15">
        <f t="shared" si="732"/>
        <v>1.0290275761973875</v>
      </c>
      <c r="FT884" s="15">
        <f t="shared" si="733"/>
        <v>0.20000000000000018</v>
      </c>
      <c r="FU884" s="15">
        <f t="shared" si="734"/>
        <v>2.8614255518468967E-2</v>
      </c>
      <c r="FV884" s="15">
        <f>((FR884*FR884)/(AR884*FP884*FP884)+(FO884*FO884)/(AR884*FM884*FM884))</f>
        <v>3.0532539795765604E-4</v>
      </c>
      <c r="FX884" s="15">
        <v>16.79</v>
      </c>
      <c r="FY884" s="15">
        <v>0.28999999999999998</v>
      </c>
      <c r="FZ884" s="15">
        <f>FY884*SQRT(AR884)</f>
        <v>0.50229473419497439</v>
      </c>
      <c r="GA884" s="15">
        <v>40.35</v>
      </c>
      <c r="GB884" s="15">
        <v>1.71</v>
      </c>
      <c r="GC884" s="15">
        <f>GB884*SQRT(AR884)</f>
        <v>2.9618068809427798</v>
      </c>
      <c r="GD884" s="15">
        <f t="shared" si="751"/>
        <v>2.4032162001191186</v>
      </c>
      <c r="GE884" s="15">
        <f t="shared" si="747"/>
        <v>23.560000000000002</v>
      </c>
      <c r="GF884" s="15">
        <f t="shared" si="748"/>
        <v>0.8768079236265085</v>
      </c>
      <c r="GG884" s="15">
        <f>((GC884*GC884)/(AR884*GA884*GA884)+(FZ884*FZ884)/(AR884*FX884*FX884))</f>
        <v>2.0943234833925017E-3</v>
      </c>
      <c r="HE884" s="15">
        <f t="shared" si="772"/>
        <v>13837.5</v>
      </c>
      <c r="HF884" s="15">
        <f t="shared" si="773"/>
        <v>138.375</v>
      </c>
      <c r="HG884" s="15">
        <f>HF884*SQRT(AR884)</f>
        <v>239.67253049734339</v>
      </c>
      <c r="HH884" s="15">
        <v>16044.75</v>
      </c>
      <c r="HI884" s="15">
        <f t="shared" si="774"/>
        <v>160.44749999999999</v>
      </c>
      <c r="HJ884" s="15">
        <f>HI884*SQRT(AR884)</f>
        <v>277.90322194740742</v>
      </c>
      <c r="HK884" s="15">
        <f t="shared" si="775"/>
        <v>1.1595121951219511</v>
      </c>
      <c r="HL884" s="15">
        <f t="shared" si="776"/>
        <v>2207.25</v>
      </c>
      <c r="HM884" s="15">
        <f t="shared" si="777"/>
        <v>0.14799939522774075</v>
      </c>
      <c r="HN884" s="15">
        <f>((HJ884*HJ884)/(AR884*HH884*HH884)+(HG884*HG884)/(AR884*HE884*HE884))</f>
        <v>1.9999999999999998E-4</v>
      </c>
      <c r="HP884" s="15" t="s">
        <v>766</v>
      </c>
      <c r="HV884" s="15">
        <f t="shared" si="778"/>
        <v>20523.732514757303</v>
      </c>
      <c r="HW884" s="15">
        <f t="shared" si="779"/>
        <v>0.14799939522774075</v>
      </c>
      <c r="HX884" s="25">
        <f>DA884</f>
        <v>303750</v>
      </c>
      <c r="HY884" s="25">
        <f>CY884</f>
        <v>101250</v>
      </c>
      <c r="HZ884" s="25">
        <f>CZ884</f>
        <v>129.80769230769229</v>
      </c>
      <c r="IA884" s="25">
        <f>DA884</f>
        <v>303750</v>
      </c>
    </row>
    <row r="885" spans="1:235" s="15" customFormat="1" ht="14.4" x14ac:dyDescent="0.25">
      <c r="A885" s="31">
        <v>883</v>
      </c>
      <c r="B885" s="1">
        <v>139</v>
      </c>
      <c r="C885" s="1">
        <v>162</v>
      </c>
      <c r="D885" s="15" t="s">
        <v>1979</v>
      </c>
      <c r="E885" s="31">
        <v>1</v>
      </c>
      <c r="F885" s="15" t="s">
        <v>761</v>
      </c>
      <c r="G885" s="15" t="s">
        <v>2419</v>
      </c>
      <c r="H885" s="15" t="s">
        <v>1074</v>
      </c>
      <c r="I885" s="1">
        <v>2021</v>
      </c>
      <c r="J885" s="15" t="s">
        <v>2420</v>
      </c>
      <c r="K885" s="1">
        <v>2019</v>
      </c>
      <c r="L885" s="15" t="s">
        <v>2421</v>
      </c>
      <c r="M885" s="15" t="s">
        <v>480</v>
      </c>
      <c r="N885" s="15" t="s">
        <v>23</v>
      </c>
      <c r="O885" s="31">
        <v>2</v>
      </c>
      <c r="P885" s="15">
        <v>25.23</v>
      </c>
      <c r="Q885" s="15">
        <v>98.6</v>
      </c>
      <c r="R885" s="15" t="s">
        <v>532</v>
      </c>
      <c r="S885" s="15">
        <v>1500</v>
      </c>
      <c r="T885" s="15">
        <v>15</v>
      </c>
      <c r="U885" s="15" t="s">
        <v>1893</v>
      </c>
      <c r="V885" s="31">
        <v>1</v>
      </c>
      <c r="W885" s="16" t="s">
        <v>1158</v>
      </c>
      <c r="X885" s="15" t="s">
        <v>521</v>
      </c>
      <c r="Y885" s="1">
        <v>6</v>
      </c>
      <c r="AC885" s="1"/>
      <c r="AM885" s="1"/>
      <c r="AQ885" s="1"/>
      <c r="AR885" s="1">
        <v>4</v>
      </c>
      <c r="AT885" s="15" t="s">
        <v>546</v>
      </c>
      <c r="AW885" s="15">
        <v>1170</v>
      </c>
      <c r="AX885" s="15">
        <f>1170*1.35</f>
        <v>1579.5</v>
      </c>
      <c r="AY885" s="15" t="s">
        <v>766</v>
      </c>
      <c r="AZ885" s="15">
        <f>AX885</f>
        <v>1579.5</v>
      </c>
      <c r="BA885" s="15">
        <f>AZ885/2.93/1000</f>
        <v>0.53907849829351528</v>
      </c>
      <c r="BB885" s="15">
        <f>AZ885*0.6</f>
        <v>947.69999999999993</v>
      </c>
      <c r="BP885" s="16"/>
      <c r="BQ885" s="16"/>
      <c r="BR885" s="16"/>
      <c r="BU885" s="16"/>
      <c r="EZ885" s="16"/>
      <c r="FA885" s="16"/>
      <c r="FB885" s="16"/>
      <c r="FC885" s="16"/>
      <c r="FD885" s="16"/>
      <c r="FE885" s="16"/>
      <c r="FF885" s="16"/>
      <c r="FG885" s="16"/>
      <c r="FH885" s="16"/>
      <c r="FI885" s="16"/>
      <c r="FJ885" s="16"/>
      <c r="FK885" s="16"/>
      <c r="FL885" s="16"/>
      <c r="HE885" s="15">
        <v>2253</v>
      </c>
      <c r="HF885" s="15">
        <f>HE885*0.1</f>
        <v>225.3</v>
      </c>
      <c r="HG885" s="15">
        <f>HF885*SQRT(AR885)</f>
        <v>450.6</v>
      </c>
      <c r="HH885" s="15">
        <v>2543</v>
      </c>
      <c r="HI885" s="15">
        <f>HH885*0.1</f>
        <v>254.3</v>
      </c>
      <c r="HJ885" s="15">
        <f>HI885*SQRT(AR885)</f>
        <v>508.6</v>
      </c>
      <c r="HK885" s="15">
        <f t="shared" si="775"/>
        <v>1.128717265867732</v>
      </c>
      <c r="HL885" s="15">
        <f t="shared" si="776"/>
        <v>290</v>
      </c>
      <c r="HM885" s="15">
        <f t="shared" si="777"/>
        <v>0.12108182498987485</v>
      </c>
      <c r="HN885" s="15">
        <f>((HJ885*HJ885)/(AR885*HH885*HH885)+(HG885*HG885)/(AR885*HE885*HE885))</f>
        <v>0.02</v>
      </c>
      <c r="HP885" s="15" t="s">
        <v>766</v>
      </c>
      <c r="HV885" s="15">
        <f t="shared" si="778"/>
        <v>78.269385192967547</v>
      </c>
      <c r="HW885" s="15">
        <f t="shared" si="779"/>
        <v>0.12108182498987485</v>
      </c>
      <c r="HX885" s="15">
        <f>BB885</f>
        <v>947.69999999999993</v>
      </c>
      <c r="HY885" s="15">
        <f>AZ885</f>
        <v>1579.5</v>
      </c>
      <c r="HZ885" s="15">
        <f>BA885</f>
        <v>0.53907849829351528</v>
      </c>
      <c r="IA885" s="15">
        <f>BB885</f>
        <v>947.69999999999993</v>
      </c>
    </row>
    <row r="886" spans="1:235" s="15" customFormat="1" ht="14.4" x14ac:dyDescent="0.25">
      <c r="A886" s="31">
        <v>884</v>
      </c>
      <c r="B886" s="1">
        <v>139</v>
      </c>
      <c r="C886" s="1">
        <v>162</v>
      </c>
      <c r="D886" s="15" t="s">
        <v>1980</v>
      </c>
      <c r="E886" s="31">
        <v>4</v>
      </c>
      <c r="F886" s="15" t="s">
        <v>879</v>
      </c>
      <c r="G886" s="15" t="s">
        <v>2419</v>
      </c>
      <c r="H886" s="15" t="s">
        <v>1074</v>
      </c>
      <c r="I886" s="1">
        <v>2021</v>
      </c>
      <c r="J886" s="15" t="s">
        <v>2420</v>
      </c>
      <c r="K886" s="1">
        <v>2019</v>
      </c>
      <c r="L886" s="15" t="s">
        <v>2421</v>
      </c>
      <c r="M886" s="15" t="s">
        <v>480</v>
      </c>
      <c r="N886" s="15" t="s">
        <v>23</v>
      </c>
      <c r="O886" s="31">
        <v>2</v>
      </c>
      <c r="P886" s="15">
        <v>25.23</v>
      </c>
      <c r="Q886" s="15">
        <v>98.6</v>
      </c>
      <c r="R886" s="15" t="s">
        <v>532</v>
      </c>
      <c r="S886" s="15">
        <v>1500</v>
      </c>
      <c r="T886" s="15">
        <v>15</v>
      </c>
      <c r="U886" s="15" t="s">
        <v>1893</v>
      </c>
      <c r="V886" s="31">
        <v>1</v>
      </c>
      <c r="W886" s="16" t="s">
        <v>1158</v>
      </c>
      <c r="X886" s="15" t="s">
        <v>521</v>
      </c>
      <c r="Y886" s="1">
        <v>6</v>
      </c>
      <c r="AC886" s="1"/>
      <c r="AM886" s="1"/>
      <c r="AQ886" s="1"/>
      <c r="AR886" s="1">
        <v>4</v>
      </c>
      <c r="AT886" s="15" t="s">
        <v>546</v>
      </c>
      <c r="BG886" s="15" t="s">
        <v>2422</v>
      </c>
      <c r="BP886" s="16"/>
      <c r="BQ886" s="16"/>
      <c r="BR886" s="16"/>
      <c r="BS886" s="15">
        <v>9750</v>
      </c>
      <c r="BT886" s="15">
        <f>BS886</f>
        <v>9750</v>
      </c>
      <c r="BU886" s="16" t="s">
        <v>766</v>
      </c>
      <c r="BY886" s="15">
        <f>BT886</f>
        <v>9750</v>
      </c>
      <c r="BZ886" s="15">
        <f>BY886/1.1/1000</f>
        <v>8.8636363636363615</v>
      </c>
      <c r="CA886" s="15">
        <f>BY886*2</f>
        <v>19500</v>
      </c>
      <c r="EZ886" s="16"/>
      <c r="FA886" s="16"/>
      <c r="FB886" s="16"/>
      <c r="FC886" s="16"/>
      <c r="FD886" s="16"/>
      <c r="FE886" s="16"/>
      <c r="FF886" s="16"/>
      <c r="FG886" s="16"/>
      <c r="FH886" s="16"/>
      <c r="FI886" s="16"/>
      <c r="FJ886" s="16"/>
      <c r="FK886" s="16"/>
      <c r="FL886" s="16"/>
      <c r="HE886" s="15">
        <v>2253</v>
      </c>
      <c r="HF886" s="15">
        <f>HE886*0.1</f>
        <v>225.3</v>
      </c>
      <c r="HG886" s="15">
        <f>HF886*SQRT(AR886)</f>
        <v>450.6</v>
      </c>
      <c r="HH886" s="15">
        <v>2525</v>
      </c>
      <c r="HI886" s="15">
        <f>HH886*0.1</f>
        <v>252.5</v>
      </c>
      <c r="HJ886" s="15">
        <f>HI886*SQRT(AR886)</f>
        <v>505</v>
      </c>
      <c r="HK886" s="15">
        <f t="shared" si="775"/>
        <v>1.1207279183311141</v>
      </c>
      <c r="HL886" s="15">
        <f t="shared" si="776"/>
        <v>272</v>
      </c>
      <c r="HM886" s="15">
        <f t="shared" si="777"/>
        <v>0.11397840127721537</v>
      </c>
      <c r="HN886" s="15">
        <f>((HJ886*HJ886)/(AR886*HH886*HH886)+(HG886*HG886)/(AR886*HE886*HE886))</f>
        <v>0.02</v>
      </c>
      <c r="HP886" s="15" t="s">
        <v>766</v>
      </c>
      <c r="HV886" s="15">
        <f t="shared" si="778"/>
        <v>1710.8504577610802</v>
      </c>
      <c r="HW886" s="15">
        <f t="shared" si="779"/>
        <v>0.11397840127721537</v>
      </c>
      <c r="HX886" s="15">
        <f>CA886</f>
        <v>19500</v>
      </c>
      <c r="HY886" s="15">
        <f>BY886</f>
        <v>9750</v>
      </c>
      <c r="HZ886" s="15">
        <f>BZ886</f>
        <v>8.8636363636363615</v>
      </c>
      <c r="IA886" s="15">
        <f>CA886</f>
        <v>19500</v>
      </c>
    </row>
    <row r="887" spans="1:235" s="15" customFormat="1" ht="14.4" x14ac:dyDescent="0.25">
      <c r="A887" s="31">
        <v>885</v>
      </c>
      <c r="B887" s="1">
        <v>139</v>
      </c>
      <c r="C887" s="1">
        <v>162</v>
      </c>
      <c r="D887" s="15" t="s">
        <v>1981</v>
      </c>
      <c r="E887" s="31">
        <v>5</v>
      </c>
      <c r="F887" s="15" t="s">
        <v>798</v>
      </c>
      <c r="G887" s="15" t="s">
        <v>2419</v>
      </c>
      <c r="H887" s="15" t="s">
        <v>1074</v>
      </c>
      <c r="I887" s="1">
        <v>2021</v>
      </c>
      <c r="J887" s="15" t="s">
        <v>2420</v>
      </c>
      <c r="K887" s="1">
        <v>2019</v>
      </c>
      <c r="L887" s="15" t="s">
        <v>2421</v>
      </c>
      <c r="M887" s="15" t="s">
        <v>480</v>
      </c>
      <c r="N887" s="15" t="s">
        <v>23</v>
      </c>
      <c r="O887" s="31">
        <v>2</v>
      </c>
      <c r="P887" s="15">
        <v>25.23</v>
      </c>
      <c r="Q887" s="15">
        <v>98.6</v>
      </c>
      <c r="R887" s="15" t="s">
        <v>532</v>
      </c>
      <c r="S887" s="15">
        <v>1500</v>
      </c>
      <c r="T887" s="15">
        <v>15</v>
      </c>
      <c r="U887" s="15" t="s">
        <v>1893</v>
      </c>
      <c r="V887" s="31">
        <v>1</v>
      </c>
      <c r="W887" s="16" t="s">
        <v>1158</v>
      </c>
      <c r="X887" s="15" t="s">
        <v>521</v>
      </c>
      <c r="Y887" s="1">
        <v>6</v>
      </c>
      <c r="AC887" s="1"/>
      <c r="AM887" s="1"/>
      <c r="AQ887" s="1"/>
      <c r="AR887" s="1">
        <v>4</v>
      </c>
      <c r="AT887" s="15" t="s">
        <v>546</v>
      </c>
      <c r="BP887" s="16"/>
      <c r="BQ887" s="16"/>
      <c r="BR887" s="16"/>
      <c r="BU887" s="16"/>
      <c r="DB887" s="15" t="s">
        <v>2423</v>
      </c>
      <c r="DD887" s="15">
        <v>5850</v>
      </c>
      <c r="DE887" s="15">
        <f>DD887</f>
        <v>5850</v>
      </c>
      <c r="DF887" s="15" t="s">
        <v>766</v>
      </c>
      <c r="DS887" s="15">
        <f>DE887</f>
        <v>5850</v>
      </c>
      <c r="DT887" s="15">
        <f>DS887/0.6/1000</f>
        <v>9.75</v>
      </c>
      <c r="DU887" s="15">
        <f>DS887*0.2</f>
        <v>1170</v>
      </c>
      <c r="EZ887" s="16"/>
      <c r="FA887" s="16"/>
      <c r="FB887" s="16"/>
      <c r="FC887" s="16"/>
      <c r="FD887" s="16"/>
      <c r="FE887" s="16"/>
      <c r="FF887" s="16"/>
      <c r="FG887" s="16"/>
      <c r="FH887" s="16"/>
      <c r="FI887" s="16"/>
      <c r="FJ887" s="16"/>
      <c r="FK887" s="16"/>
      <c r="FL887" s="16"/>
      <c r="HE887" s="15">
        <v>2253</v>
      </c>
      <c r="HF887" s="15">
        <f>HE887*0.1</f>
        <v>225.3</v>
      </c>
      <c r="HG887" s="15">
        <f>HF887*SQRT(AR887)</f>
        <v>450.6</v>
      </c>
      <c r="HH887" s="15">
        <v>2598</v>
      </c>
      <c r="HI887" s="15">
        <f>HH887*0.1</f>
        <v>259.8</v>
      </c>
      <c r="HJ887" s="15">
        <f>HI887*SQRT(AR887)</f>
        <v>519.6</v>
      </c>
      <c r="HK887" s="15">
        <f t="shared" si="775"/>
        <v>1.1531291611185086</v>
      </c>
      <c r="HL887" s="15">
        <f t="shared" si="776"/>
        <v>345</v>
      </c>
      <c r="HM887" s="15">
        <f t="shared" si="777"/>
        <v>0.14247925679830065</v>
      </c>
      <c r="HN887" s="15">
        <f>((HJ887*HJ887)/(AR887*HH887*HH887)+(HG887*HG887)/(AR887*HE887*HE887))</f>
        <v>2.0000000000000004E-2</v>
      </c>
      <c r="HP887" s="15" t="s">
        <v>766</v>
      </c>
      <c r="HV887" s="15">
        <f t="shared" si="778"/>
        <v>82.117216659566026</v>
      </c>
      <c r="HW887" s="15">
        <f t="shared" si="779"/>
        <v>0.14247925679830065</v>
      </c>
      <c r="HX887" s="15">
        <f>DU887</f>
        <v>1170</v>
      </c>
      <c r="HY887" s="15">
        <f>DS887</f>
        <v>5850</v>
      </c>
      <c r="HZ887" s="15">
        <f>DT887</f>
        <v>9.75</v>
      </c>
      <c r="IA887" s="15">
        <f>DU887</f>
        <v>1170</v>
      </c>
    </row>
    <row r="888" spans="1:235" s="15" customFormat="1" x14ac:dyDescent="0.25">
      <c r="A888" s="31">
        <v>886</v>
      </c>
      <c r="B888" s="1">
        <v>140</v>
      </c>
      <c r="C888" s="1">
        <v>163</v>
      </c>
      <c r="D888" s="15" t="s">
        <v>1982</v>
      </c>
      <c r="E888" s="1">
        <v>3</v>
      </c>
      <c r="F888" s="15" t="s">
        <v>955</v>
      </c>
      <c r="G888" s="15" t="s">
        <v>1990</v>
      </c>
      <c r="H888" s="15" t="s">
        <v>941</v>
      </c>
      <c r="I888" s="1">
        <v>2014</v>
      </c>
      <c r="J888" s="15" t="s">
        <v>1993</v>
      </c>
      <c r="K888" s="1">
        <v>2013</v>
      </c>
      <c r="L888" s="15" t="s">
        <v>820</v>
      </c>
      <c r="M888" s="15" t="s">
        <v>480</v>
      </c>
      <c r="N888" s="15" t="s">
        <v>23</v>
      </c>
      <c r="O888" s="31">
        <v>2</v>
      </c>
      <c r="P888" s="15">
        <v>28.24</v>
      </c>
      <c r="Q888" s="15">
        <v>117.04</v>
      </c>
      <c r="R888" s="15" t="s">
        <v>532</v>
      </c>
      <c r="S888" s="15">
        <v>1700</v>
      </c>
      <c r="T888" s="15">
        <v>18</v>
      </c>
      <c r="U888" s="15" t="s">
        <v>807</v>
      </c>
      <c r="V888" s="31">
        <v>2</v>
      </c>
      <c r="W888" s="16" t="s">
        <v>1149</v>
      </c>
      <c r="X888" s="15" t="s">
        <v>532</v>
      </c>
      <c r="Y888" s="1"/>
      <c r="Z888" s="15">
        <v>4.45</v>
      </c>
      <c r="AA888" s="15" t="s">
        <v>573</v>
      </c>
      <c r="AB888" s="15">
        <f t="shared" ref="AB888:AB913" si="781">Z888</f>
        <v>4.45</v>
      </c>
      <c r="AC888" s="1">
        <v>1</v>
      </c>
      <c r="AD888" s="15">
        <v>16.100000000000001</v>
      </c>
      <c r="AF888" s="15">
        <v>9.36</v>
      </c>
      <c r="AM888" s="1">
        <v>1</v>
      </c>
      <c r="AP888" s="15" t="s">
        <v>1968</v>
      </c>
      <c r="AQ888" s="1">
        <v>1</v>
      </c>
      <c r="AR888" s="1">
        <v>3</v>
      </c>
      <c r="BP888" s="16"/>
      <c r="BQ888" s="16"/>
      <c r="BR888" s="16"/>
      <c r="BU888" s="16"/>
      <c r="DV888" s="15">
        <v>8.48</v>
      </c>
      <c r="DW888" s="15" t="s">
        <v>938</v>
      </c>
      <c r="DX888" s="15">
        <f>2*2250*10</f>
        <v>45000</v>
      </c>
      <c r="DY888" s="15">
        <f>DX888</f>
        <v>45000</v>
      </c>
      <c r="DZ888" s="15" t="s">
        <v>766</v>
      </c>
      <c r="EP888" s="15">
        <v>8.2200000000000006</v>
      </c>
      <c r="ES888" s="15">
        <f t="shared" ref="ES888:ES895" si="782">DY888</f>
        <v>45000</v>
      </c>
      <c r="ET888" s="15">
        <f t="shared" ref="ET888:ET895" si="783">ES888/2.25/1000</f>
        <v>20</v>
      </c>
      <c r="EU888" s="15">
        <f t="shared" ref="EU888:EU895" si="784">ES888*0.55</f>
        <v>24750.000000000004</v>
      </c>
      <c r="EZ888" s="16"/>
      <c r="FA888" s="16"/>
      <c r="FB888" s="16"/>
      <c r="FC888" s="16"/>
      <c r="FD888" s="16"/>
      <c r="FE888" s="16"/>
      <c r="FF888" s="16"/>
      <c r="FG888" s="16"/>
      <c r="FH888" s="16"/>
      <c r="FI888" s="16"/>
      <c r="FJ888" s="16"/>
      <c r="FK888" s="16">
        <f t="shared" ref="FK888:FK895" si="785">FM888</f>
        <v>4.46</v>
      </c>
      <c r="FL888" s="16">
        <f t="shared" ref="FL888:FL895" si="786">FP888</f>
        <v>4.63</v>
      </c>
      <c r="FM888" s="16">
        <v>4.46</v>
      </c>
      <c r="FN888" s="16">
        <v>0.01</v>
      </c>
      <c r="FO888" s="15">
        <f>FN888*SQRT(AR888)</f>
        <v>1.7320508075688773E-2</v>
      </c>
      <c r="FP888" s="15">
        <v>4.63</v>
      </c>
      <c r="FQ888" s="15">
        <v>0.02</v>
      </c>
      <c r="FR888" s="15">
        <f>FQ888*SQRT(AR888)</f>
        <v>3.4641016151377546E-2</v>
      </c>
      <c r="FS888" s="15">
        <f t="shared" ref="FS888:FS895" si="787">FP888/FM888</f>
        <v>1.0381165919282511</v>
      </c>
      <c r="FT888" s="15">
        <f t="shared" ref="FT888:FT895" si="788">FP888-FM888</f>
        <v>0.16999999999999993</v>
      </c>
      <c r="FU888" s="15">
        <f t="shared" ref="FU888:FU895" si="789">LN(FP888)-LN(FM888)</f>
        <v>3.7408102066170068E-2</v>
      </c>
      <c r="FV888" s="15">
        <f>((FR888*FR888)/(AR888*FP888*FP888)+(FO888*FO888)/(AR888*FM888*FM888))</f>
        <v>2.3686662056718686E-5</v>
      </c>
      <c r="GT888" s="15">
        <v>38.5</v>
      </c>
      <c r="GU888" s="15">
        <f t="shared" ref="GU888:GU895" si="790">GT888*0.01</f>
        <v>0.38500000000000001</v>
      </c>
      <c r="GV888" s="15">
        <f>GU888*SQRT(AR888)</f>
        <v>0.66683956091401775</v>
      </c>
      <c r="GW888" s="15">
        <v>66.8</v>
      </c>
      <c r="GX888" s="15">
        <f t="shared" ref="GX888:GX895" si="791">GW888*0.01</f>
        <v>0.66800000000000004</v>
      </c>
      <c r="GY888" s="15">
        <f>GX888*SQRT(AR888)</f>
        <v>1.1570099394560101</v>
      </c>
      <c r="GZ888" s="15">
        <f t="shared" ref="GZ888:GZ895" si="792">GW888/GT888</f>
        <v>1.735064935064935</v>
      </c>
      <c r="HA888" s="15">
        <f t="shared" ref="HA888:HA895" si="793">GW888-GT888</f>
        <v>28.299999999999997</v>
      </c>
      <c r="HB888" s="15">
        <f t="shared" ref="HB888:HB895" si="794">LN(GW888)-LN(GT888)</f>
        <v>0.55104483924886161</v>
      </c>
      <c r="HC888" s="15">
        <f>((GY888*GY888)/(AR888*GW888*GW888)+(GV888*GV888)/(AR888*GT888*GT888))</f>
        <v>2.0000000000000001E-4</v>
      </c>
      <c r="HY888" s="15">
        <f t="shared" ref="HY888:IA891" si="795">ES888</f>
        <v>45000</v>
      </c>
      <c r="HZ888" s="15">
        <f t="shared" si="795"/>
        <v>20</v>
      </c>
      <c r="IA888" s="15">
        <f t="shared" si="795"/>
        <v>24750.000000000004</v>
      </c>
    </row>
    <row r="889" spans="1:235" s="15" customFormat="1" x14ac:dyDescent="0.25">
      <c r="A889" s="31">
        <v>887</v>
      </c>
      <c r="B889" s="1">
        <v>140</v>
      </c>
      <c r="C889" s="1">
        <v>163</v>
      </c>
      <c r="D889" s="15" t="s">
        <v>1983</v>
      </c>
      <c r="E889" s="1">
        <v>3</v>
      </c>
      <c r="F889" s="15" t="s">
        <v>955</v>
      </c>
      <c r="G889" s="15" t="s">
        <v>1990</v>
      </c>
      <c r="H889" s="15" t="s">
        <v>941</v>
      </c>
      <c r="I889" s="1">
        <v>2014</v>
      </c>
      <c r="J889" s="15" t="s">
        <v>1993</v>
      </c>
      <c r="K889" s="1">
        <v>2013</v>
      </c>
      <c r="L889" s="15" t="s">
        <v>820</v>
      </c>
      <c r="M889" s="15" t="s">
        <v>480</v>
      </c>
      <c r="N889" s="15" t="s">
        <v>23</v>
      </c>
      <c r="O889" s="31">
        <v>2</v>
      </c>
      <c r="P889" s="15">
        <v>28.24</v>
      </c>
      <c r="Q889" s="15">
        <v>117.04</v>
      </c>
      <c r="R889" s="15" t="s">
        <v>532</v>
      </c>
      <c r="S889" s="15">
        <v>1700</v>
      </c>
      <c r="T889" s="15">
        <v>18</v>
      </c>
      <c r="U889" s="15" t="s">
        <v>807</v>
      </c>
      <c r="V889" s="31">
        <v>2</v>
      </c>
      <c r="W889" s="16" t="s">
        <v>1149</v>
      </c>
      <c r="X889" s="15" t="s">
        <v>532</v>
      </c>
      <c r="Y889" s="1"/>
      <c r="Z889" s="15">
        <v>4.45</v>
      </c>
      <c r="AA889" s="15" t="s">
        <v>573</v>
      </c>
      <c r="AB889" s="15">
        <f t="shared" si="781"/>
        <v>4.45</v>
      </c>
      <c r="AC889" s="1">
        <v>1</v>
      </c>
      <c r="AD889" s="15">
        <v>16.100000000000001</v>
      </c>
      <c r="AF889" s="15">
        <v>9.36</v>
      </c>
      <c r="AM889" s="1">
        <v>1</v>
      </c>
      <c r="AP889" s="15" t="s">
        <v>1968</v>
      </c>
      <c r="AQ889" s="1">
        <v>1</v>
      </c>
      <c r="AR889" s="1">
        <v>3</v>
      </c>
      <c r="BP889" s="16"/>
      <c r="BQ889" s="16"/>
      <c r="BR889" s="16"/>
      <c r="BU889" s="16"/>
      <c r="DV889" s="15">
        <v>8.48</v>
      </c>
      <c r="DW889" s="15" t="s">
        <v>938</v>
      </c>
      <c r="DX889" s="15">
        <v>90000</v>
      </c>
      <c r="DY889" s="15">
        <f>DX889</f>
        <v>90000</v>
      </c>
      <c r="DZ889" s="15" t="s">
        <v>766</v>
      </c>
      <c r="EP889" s="15">
        <v>8.2200000000000006</v>
      </c>
      <c r="ES889" s="15">
        <f t="shared" si="782"/>
        <v>90000</v>
      </c>
      <c r="ET889" s="15">
        <f t="shared" si="783"/>
        <v>40</v>
      </c>
      <c r="EU889" s="15">
        <f t="shared" si="784"/>
        <v>49500.000000000007</v>
      </c>
      <c r="EZ889" s="16"/>
      <c r="FA889" s="16"/>
      <c r="FB889" s="16"/>
      <c r="FC889" s="16"/>
      <c r="FD889" s="16"/>
      <c r="FE889" s="16"/>
      <c r="FF889" s="16"/>
      <c r="FG889" s="16"/>
      <c r="FH889" s="16"/>
      <c r="FI889" s="16"/>
      <c r="FJ889" s="16"/>
      <c r="FK889" s="16">
        <f t="shared" si="785"/>
        <v>4.46</v>
      </c>
      <c r="FL889" s="16">
        <f t="shared" si="786"/>
        <v>5.0199999999999996</v>
      </c>
      <c r="FM889" s="16">
        <v>4.46</v>
      </c>
      <c r="FN889" s="16">
        <v>0.01</v>
      </c>
      <c r="FO889" s="15">
        <f>FN889*SQRT(AR889)</f>
        <v>1.7320508075688773E-2</v>
      </c>
      <c r="FP889" s="15">
        <v>5.0199999999999996</v>
      </c>
      <c r="FQ889" s="15">
        <v>0.02</v>
      </c>
      <c r="FR889" s="15">
        <f>FQ889*SQRT(AR889)</f>
        <v>3.4641016151377546E-2</v>
      </c>
      <c r="FS889" s="15">
        <f t="shared" si="787"/>
        <v>1.1255605381165918</v>
      </c>
      <c r="FT889" s="15">
        <f t="shared" si="788"/>
        <v>0.55999999999999961</v>
      </c>
      <c r="FU889" s="15">
        <f t="shared" si="789"/>
        <v>0.11828116767166508</v>
      </c>
      <c r="FV889" s="15">
        <f>((FR889*FR889)/(AR889*FP889*FP889)+(FO889*FO889)/(AR889*FM889*FM889))</f>
        <v>2.0900011606820976E-5</v>
      </c>
      <c r="GT889" s="15">
        <v>38.5</v>
      </c>
      <c r="GU889" s="15">
        <f t="shared" si="790"/>
        <v>0.38500000000000001</v>
      </c>
      <c r="GV889" s="15">
        <f>GU889*SQRT(AR889)</f>
        <v>0.66683956091401775</v>
      </c>
      <c r="GW889" s="15">
        <v>87.3</v>
      </c>
      <c r="GX889" s="15">
        <f t="shared" si="791"/>
        <v>0.873</v>
      </c>
      <c r="GY889" s="15">
        <f>GX889*SQRT(AR889)</f>
        <v>1.5120803550076298</v>
      </c>
      <c r="GZ889" s="15">
        <f t="shared" si="792"/>
        <v>2.2675324675324675</v>
      </c>
      <c r="HA889" s="15">
        <f t="shared" si="793"/>
        <v>48.8</v>
      </c>
      <c r="HB889" s="15">
        <f t="shared" si="794"/>
        <v>0.8186922215518182</v>
      </c>
      <c r="HC889" s="15">
        <f>((GY889*GY889)/(AR889*GW889*GW889)+(GV889*GV889)/(AR889*GT889*GT889))</f>
        <v>1.9999999999999998E-4</v>
      </c>
      <c r="HY889" s="15">
        <f t="shared" si="795"/>
        <v>90000</v>
      </c>
      <c r="HZ889" s="15">
        <f t="shared" si="795"/>
        <v>40</v>
      </c>
      <c r="IA889" s="15">
        <f t="shared" si="795"/>
        <v>49500.000000000007</v>
      </c>
    </row>
    <row r="890" spans="1:235" s="15" customFormat="1" x14ac:dyDescent="0.25">
      <c r="A890" s="31">
        <v>888</v>
      </c>
      <c r="B890" s="1">
        <v>140</v>
      </c>
      <c r="C890" s="1">
        <v>163</v>
      </c>
      <c r="D890" s="15" t="s">
        <v>1984</v>
      </c>
      <c r="E890" s="1">
        <v>3</v>
      </c>
      <c r="F890" s="15" t="s">
        <v>1991</v>
      </c>
      <c r="G890" s="15" t="s">
        <v>1990</v>
      </c>
      <c r="H890" s="15" t="s">
        <v>941</v>
      </c>
      <c r="I890" s="1">
        <v>2014</v>
      </c>
      <c r="J890" s="15" t="s">
        <v>1993</v>
      </c>
      <c r="K890" s="1">
        <v>2013</v>
      </c>
      <c r="L890" s="15" t="s">
        <v>820</v>
      </c>
      <c r="M890" s="15" t="s">
        <v>480</v>
      </c>
      <c r="N890" s="15" t="s">
        <v>23</v>
      </c>
      <c r="O890" s="31">
        <v>2</v>
      </c>
      <c r="P890" s="15">
        <v>28.24</v>
      </c>
      <c r="Q890" s="15">
        <v>117.04</v>
      </c>
      <c r="R890" s="15" t="s">
        <v>532</v>
      </c>
      <c r="S890" s="15">
        <v>1700</v>
      </c>
      <c r="T890" s="15">
        <v>18</v>
      </c>
      <c r="U890" s="15" t="s">
        <v>807</v>
      </c>
      <c r="V890" s="31">
        <v>2</v>
      </c>
      <c r="W890" s="16" t="s">
        <v>1149</v>
      </c>
      <c r="X890" s="15" t="s">
        <v>532</v>
      </c>
      <c r="Y890" s="1"/>
      <c r="Z890" s="15">
        <v>4.45</v>
      </c>
      <c r="AA890" s="15" t="s">
        <v>573</v>
      </c>
      <c r="AB890" s="15">
        <f t="shared" si="781"/>
        <v>4.45</v>
      </c>
      <c r="AC890" s="1">
        <v>1</v>
      </c>
      <c r="AD890" s="15">
        <v>16.100000000000001</v>
      </c>
      <c r="AF890" s="15">
        <v>9.36</v>
      </c>
      <c r="AM890" s="1">
        <v>1</v>
      </c>
      <c r="AP890" s="15" t="s">
        <v>1968</v>
      </c>
      <c r="AQ890" s="1">
        <v>1</v>
      </c>
      <c r="AR890" s="1">
        <v>3</v>
      </c>
      <c r="BP890" s="16"/>
      <c r="BQ890" s="16"/>
      <c r="BR890" s="16"/>
      <c r="BU890" s="16"/>
      <c r="DV890" s="15">
        <v>12.26</v>
      </c>
      <c r="DW890" s="15" t="s">
        <v>1996</v>
      </c>
      <c r="DX890" s="15">
        <v>90000</v>
      </c>
      <c r="DY890" s="15">
        <f>DX889</f>
        <v>90000</v>
      </c>
      <c r="DZ890" s="15" t="s">
        <v>766</v>
      </c>
      <c r="EP890" s="15">
        <v>4.46</v>
      </c>
      <c r="ES890" s="15">
        <f t="shared" si="782"/>
        <v>90000</v>
      </c>
      <c r="ET890" s="15">
        <f t="shared" si="783"/>
        <v>40</v>
      </c>
      <c r="EU890" s="15">
        <f t="shared" si="784"/>
        <v>49500.000000000007</v>
      </c>
      <c r="EZ890" s="16"/>
      <c r="FA890" s="16"/>
      <c r="FB890" s="16"/>
      <c r="FC890" s="16"/>
      <c r="FD890" s="16"/>
      <c r="FE890" s="16"/>
      <c r="FF890" s="16"/>
      <c r="FG890" s="16"/>
      <c r="FH890" s="16"/>
      <c r="FI890" s="16"/>
      <c r="FJ890" s="16"/>
      <c r="FK890" s="16">
        <f t="shared" si="785"/>
        <v>4.46</v>
      </c>
      <c r="FL890" s="16">
        <f t="shared" si="786"/>
        <v>4.68</v>
      </c>
      <c r="FM890" s="16">
        <v>4.46</v>
      </c>
      <c r="FN890" s="16">
        <v>0.01</v>
      </c>
      <c r="FO890" s="15">
        <f>FN890*SQRT(AR890)</f>
        <v>1.7320508075688773E-2</v>
      </c>
      <c r="FP890" s="15">
        <v>4.68</v>
      </c>
      <c r="FQ890" s="15">
        <v>0.02</v>
      </c>
      <c r="FR890" s="15">
        <f>FQ890*SQRT(AR890)</f>
        <v>3.4641016151377546E-2</v>
      </c>
      <c r="FS890" s="15">
        <f t="shared" si="787"/>
        <v>1.0493273542600896</v>
      </c>
      <c r="FT890" s="15">
        <f t="shared" si="788"/>
        <v>0.21999999999999975</v>
      </c>
      <c r="FU890" s="15">
        <f t="shared" si="789"/>
        <v>4.814934389758263E-2</v>
      </c>
      <c r="FV890" s="15">
        <f>((FR890*FR890)/(AR890*FP890*FP890)+(FO890*FO890)/(AR890*FM890*FM890))</f>
        <v>2.3290086458098112E-5</v>
      </c>
      <c r="GT890" s="15">
        <v>38.5</v>
      </c>
      <c r="GU890" s="15">
        <f t="shared" si="790"/>
        <v>0.38500000000000001</v>
      </c>
      <c r="GV890" s="15">
        <f>GU890*SQRT(AR890)</f>
        <v>0.66683956091401775</v>
      </c>
      <c r="GW890" s="15">
        <v>59.5</v>
      </c>
      <c r="GX890" s="15">
        <f t="shared" si="791"/>
        <v>0.59499999999999997</v>
      </c>
      <c r="GY890" s="15">
        <f>GX890*SQRT(AR890)</f>
        <v>1.0305702305034818</v>
      </c>
      <c r="GZ890" s="15">
        <f t="shared" si="792"/>
        <v>1.5454545454545454</v>
      </c>
      <c r="HA890" s="15">
        <f t="shared" si="793"/>
        <v>21</v>
      </c>
      <c r="HB890" s="15">
        <f t="shared" si="794"/>
        <v>0.4353180712578455</v>
      </c>
      <c r="HC890" s="15">
        <f>((GY890*GY890)/(AR890*GW890*GW890)+(GV890*GV890)/(AR890*GT890*GT890))</f>
        <v>1.9999999999999996E-4</v>
      </c>
      <c r="HY890" s="15">
        <f t="shared" si="795"/>
        <v>90000</v>
      </c>
      <c r="HZ890" s="15">
        <f t="shared" si="795"/>
        <v>40</v>
      </c>
      <c r="IA890" s="15">
        <f t="shared" si="795"/>
        <v>49500.000000000007</v>
      </c>
    </row>
    <row r="891" spans="1:235" s="15" customFormat="1" x14ac:dyDescent="0.25">
      <c r="A891" s="31">
        <v>889</v>
      </c>
      <c r="B891" s="1">
        <v>140</v>
      </c>
      <c r="C891" s="1">
        <v>163</v>
      </c>
      <c r="D891" s="15" t="s">
        <v>1985</v>
      </c>
      <c r="E891" s="1">
        <v>3</v>
      </c>
      <c r="F891" s="15" t="s">
        <v>1991</v>
      </c>
      <c r="G891" s="15" t="s">
        <v>1990</v>
      </c>
      <c r="H891" s="15" t="s">
        <v>941</v>
      </c>
      <c r="I891" s="1">
        <v>2014</v>
      </c>
      <c r="J891" s="15" t="s">
        <v>1993</v>
      </c>
      <c r="K891" s="1">
        <v>2013</v>
      </c>
      <c r="L891" s="15" t="s">
        <v>820</v>
      </c>
      <c r="M891" s="15" t="s">
        <v>480</v>
      </c>
      <c r="N891" s="15" t="s">
        <v>23</v>
      </c>
      <c r="O891" s="31">
        <v>2</v>
      </c>
      <c r="P891" s="15">
        <v>28.24</v>
      </c>
      <c r="Q891" s="15">
        <v>117.04</v>
      </c>
      <c r="R891" s="15" t="s">
        <v>532</v>
      </c>
      <c r="S891" s="15">
        <v>1700</v>
      </c>
      <c r="T891" s="15">
        <v>18</v>
      </c>
      <c r="U891" s="15" t="s">
        <v>807</v>
      </c>
      <c r="V891" s="31">
        <v>2</v>
      </c>
      <c r="W891" s="16" t="s">
        <v>1149</v>
      </c>
      <c r="X891" s="15" t="s">
        <v>532</v>
      </c>
      <c r="Y891" s="1"/>
      <c r="Z891" s="15">
        <v>4.45</v>
      </c>
      <c r="AA891" s="15" t="s">
        <v>573</v>
      </c>
      <c r="AB891" s="15">
        <f t="shared" si="781"/>
        <v>4.45</v>
      </c>
      <c r="AC891" s="1">
        <v>1</v>
      </c>
      <c r="AD891" s="15">
        <v>16.100000000000001</v>
      </c>
      <c r="AF891" s="15">
        <v>9.36</v>
      </c>
      <c r="AM891" s="1">
        <v>1</v>
      </c>
      <c r="AP891" s="15" t="s">
        <v>1968</v>
      </c>
      <c r="AQ891" s="1">
        <v>1</v>
      </c>
      <c r="AR891" s="1">
        <v>3</v>
      </c>
      <c r="BP891" s="16"/>
      <c r="BQ891" s="16"/>
      <c r="BR891" s="16"/>
      <c r="BU891" s="16"/>
      <c r="DV891" s="15">
        <v>12.26</v>
      </c>
      <c r="DW891" s="15" t="s">
        <v>1996</v>
      </c>
      <c r="DX891" s="15">
        <v>180000</v>
      </c>
      <c r="DY891" s="15">
        <f>DX891</f>
        <v>180000</v>
      </c>
      <c r="DZ891" s="15" t="s">
        <v>766</v>
      </c>
      <c r="EP891" s="15">
        <v>4.46</v>
      </c>
      <c r="ES891" s="15">
        <f t="shared" si="782"/>
        <v>180000</v>
      </c>
      <c r="ET891" s="15">
        <f t="shared" si="783"/>
        <v>80</v>
      </c>
      <c r="EU891" s="15">
        <f t="shared" si="784"/>
        <v>99000.000000000015</v>
      </c>
      <c r="EZ891" s="16"/>
      <c r="FA891" s="16"/>
      <c r="FB891" s="16"/>
      <c r="FC891" s="16"/>
      <c r="FD891" s="16"/>
      <c r="FE891" s="16"/>
      <c r="FF891" s="16"/>
      <c r="FG891" s="16"/>
      <c r="FH891" s="16"/>
      <c r="FI891" s="16"/>
      <c r="FJ891" s="16"/>
      <c r="FK891" s="16">
        <f t="shared" si="785"/>
        <v>4.46</v>
      </c>
      <c r="FL891" s="16">
        <f t="shared" si="786"/>
        <v>5.14</v>
      </c>
      <c r="FM891" s="16">
        <v>4.46</v>
      </c>
      <c r="FN891" s="16">
        <v>0.01</v>
      </c>
      <c r="FO891" s="15">
        <f>FN891*SQRT(AR891)</f>
        <v>1.7320508075688773E-2</v>
      </c>
      <c r="FP891" s="15">
        <v>5.14</v>
      </c>
      <c r="FQ891" s="15">
        <v>0.02</v>
      </c>
      <c r="FR891" s="15">
        <f>FQ891*SQRT(AR891)</f>
        <v>3.4641016151377546E-2</v>
      </c>
      <c r="FS891" s="15">
        <f t="shared" si="787"/>
        <v>1.1524663677130045</v>
      </c>
      <c r="FT891" s="15">
        <f t="shared" si="788"/>
        <v>0.67999999999999972</v>
      </c>
      <c r="FU891" s="15">
        <f t="shared" si="789"/>
        <v>0.14190431343510101</v>
      </c>
      <c r="FV891" s="15">
        <f>((FR891*FR891)/(AR891*FP891*FP891)+(FO891*FO891)/(AR891*FM891*FM891))</f>
        <v>2.0167522327020877E-5</v>
      </c>
      <c r="GT891" s="15">
        <v>38.5</v>
      </c>
      <c r="GU891" s="15">
        <f t="shared" si="790"/>
        <v>0.38500000000000001</v>
      </c>
      <c r="GV891" s="15">
        <f>GU891*SQRT(AR891)</f>
        <v>0.66683956091401775</v>
      </c>
      <c r="GW891" s="15">
        <v>86.8</v>
      </c>
      <c r="GX891" s="15">
        <f t="shared" si="791"/>
        <v>0.86799999999999999</v>
      </c>
      <c r="GY891" s="15">
        <f>GX891*SQRT(AR891)</f>
        <v>1.5034201009697854</v>
      </c>
      <c r="GZ891" s="15">
        <f t="shared" si="792"/>
        <v>2.2545454545454544</v>
      </c>
      <c r="HA891" s="15">
        <f t="shared" si="793"/>
        <v>48.3</v>
      </c>
      <c r="HB891" s="15">
        <f t="shared" si="794"/>
        <v>0.81294838037256589</v>
      </c>
      <c r="HC891" s="15">
        <f>((GY891*GY891)/(AR891*GW891*GW891)+(GV891*GV891)/(AR891*GT891*GT891))</f>
        <v>1.9999999999999998E-4</v>
      </c>
      <c r="HY891" s="15">
        <f t="shared" si="795"/>
        <v>180000</v>
      </c>
      <c r="HZ891" s="15">
        <f t="shared" si="795"/>
        <v>80</v>
      </c>
      <c r="IA891" s="15">
        <f t="shared" si="795"/>
        <v>99000.000000000015</v>
      </c>
    </row>
    <row r="892" spans="1:235" s="15" customFormat="1" x14ac:dyDescent="0.25">
      <c r="A892" s="31">
        <v>890</v>
      </c>
      <c r="B892" s="1">
        <v>140</v>
      </c>
      <c r="C892" s="1">
        <v>163</v>
      </c>
      <c r="D892" s="15" t="s">
        <v>1986</v>
      </c>
      <c r="E892" s="1">
        <v>6</v>
      </c>
      <c r="F892" s="15" t="s">
        <v>1992</v>
      </c>
      <c r="G892" s="15" t="s">
        <v>1990</v>
      </c>
      <c r="H892" s="15" t="s">
        <v>941</v>
      </c>
      <c r="I892" s="1">
        <v>2014</v>
      </c>
      <c r="J892" s="15" t="s">
        <v>1993</v>
      </c>
      <c r="K892" s="1">
        <v>2013</v>
      </c>
      <c r="L892" s="15" t="s">
        <v>820</v>
      </c>
      <c r="M892" s="15" t="s">
        <v>480</v>
      </c>
      <c r="N892" s="15" t="s">
        <v>23</v>
      </c>
      <c r="O892" s="31">
        <v>2</v>
      </c>
      <c r="P892" s="15">
        <v>28.24</v>
      </c>
      <c r="Q892" s="15">
        <v>117.04</v>
      </c>
      <c r="R892" s="15" t="s">
        <v>532</v>
      </c>
      <c r="S892" s="15">
        <v>1700</v>
      </c>
      <c r="T892" s="15">
        <v>18</v>
      </c>
      <c r="U892" s="15" t="s">
        <v>807</v>
      </c>
      <c r="V892" s="31">
        <v>2</v>
      </c>
      <c r="W892" s="16" t="s">
        <v>1149</v>
      </c>
      <c r="X892" s="15" t="s">
        <v>532</v>
      </c>
      <c r="Y892" s="1"/>
      <c r="Z892" s="15">
        <v>4.45</v>
      </c>
      <c r="AA892" s="15" t="s">
        <v>573</v>
      </c>
      <c r="AB892" s="15">
        <f t="shared" si="781"/>
        <v>4.45</v>
      </c>
      <c r="AC892" s="1">
        <v>1</v>
      </c>
      <c r="AD892" s="15">
        <v>16.100000000000001</v>
      </c>
      <c r="AF892" s="15">
        <v>9.36</v>
      </c>
      <c r="AM892" s="1">
        <v>1</v>
      </c>
      <c r="AP892" s="15" t="s">
        <v>1968</v>
      </c>
      <c r="AQ892" s="1">
        <v>1</v>
      </c>
      <c r="AR892" s="1">
        <v>3</v>
      </c>
      <c r="BP892" s="16"/>
      <c r="BQ892" s="16"/>
      <c r="BR892" s="16"/>
      <c r="BU892" s="16"/>
      <c r="DW892" s="15" t="s">
        <v>1995</v>
      </c>
      <c r="DX892" s="15">
        <f>DX888+DX890</f>
        <v>135000</v>
      </c>
      <c r="DY892" s="15">
        <f>DX892</f>
        <v>135000</v>
      </c>
      <c r="DZ892" s="15" t="s">
        <v>766</v>
      </c>
      <c r="ES892" s="15">
        <f t="shared" si="782"/>
        <v>135000</v>
      </c>
      <c r="ET892" s="15">
        <f t="shared" si="783"/>
        <v>60</v>
      </c>
      <c r="EU892" s="15">
        <f t="shared" si="784"/>
        <v>74250</v>
      </c>
      <c r="EW892" s="46">
        <f>AX892+BT892+CF892+DE892+DY892</f>
        <v>135000</v>
      </c>
      <c r="EX892" s="46">
        <f>BA892+BZ892+CZ892+DT892+ET892</f>
        <v>60</v>
      </c>
      <c r="EY892" s="46">
        <f>BB892+CA892+DA892+DU892+EU892</f>
        <v>74250</v>
      </c>
      <c r="EZ892" s="16"/>
      <c r="FA892" s="16"/>
      <c r="FB892" s="16"/>
      <c r="FC892" s="16"/>
      <c r="FD892" s="16"/>
      <c r="FE892" s="16"/>
      <c r="FF892" s="16"/>
      <c r="FG892" s="16"/>
      <c r="FH892" s="16"/>
      <c r="FI892" s="16"/>
      <c r="FJ892" s="16"/>
      <c r="FK892" s="16">
        <f t="shared" si="785"/>
        <v>4.46</v>
      </c>
      <c r="FL892" s="16">
        <f t="shared" si="786"/>
        <v>4.92</v>
      </c>
      <c r="FM892" s="16">
        <v>4.46</v>
      </c>
      <c r="FN892" s="16">
        <v>0.01</v>
      </c>
      <c r="FO892" s="15">
        <f>FN892*SQRT(AR892)</f>
        <v>1.7320508075688773E-2</v>
      </c>
      <c r="FP892" s="15">
        <v>4.92</v>
      </c>
      <c r="FQ892" s="15">
        <v>0.01</v>
      </c>
      <c r="FR892" s="15">
        <f>FQ892*SQRT(AR892)</f>
        <v>1.7320508075688773E-2</v>
      </c>
      <c r="FS892" s="15">
        <f t="shared" si="787"/>
        <v>1.1031390134529149</v>
      </c>
      <c r="FT892" s="15">
        <f t="shared" si="788"/>
        <v>0.45999999999999996</v>
      </c>
      <c r="FU892" s="15">
        <f t="shared" si="789"/>
        <v>9.815976447224406E-2</v>
      </c>
      <c r="FV892" s="15">
        <f>((FR892*FR892)/(AR892*FP892*FP892)+(FO892*FO892)/(AR892*FM892*FM892))</f>
        <v>9.1583865548031537E-6</v>
      </c>
      <c r="GT892" s="15">
        <v>38.5</v>
      </c>
      <c r="GU892" s="15">
        <f t="shared" si="790"/>
        <v>0.38500000000000001</v>
      </c>
      <c r="GV892" s="15">
        <f>GU892*SQRT(AR892)</f>
        <v>0.66683956091401775</v>
      </c>
      <c r="GW892" s="15">
        <v>86.8</v>
      </c>
      <c r="GX892" s="15">
        <f t="shared" si="791"/>
        <v>0.86799999999999999</v>
      </c>
      <c r="GY892" s="15">
        <f>GX892*SQRT(AR892)</f>
        <v>1.5034201009697854</v>
      </c>
      <c r="GZ892" s="15">
        <f t="shared" si="792"/>
        <v>2.2545454545454544</v>
      </c>
      <c r="HA892" s="15">
        <f t="shared" si="793"/>
        <v>48.3</v>
      </c>
      <c r="HB892" s="15">
        <f t="shared" si="794"/>
        <v>0.81294838037256589</v>
      </c>
      <c r="HC892" s="15">
        <f>((GY892*GY892)/(AR892*GW892*GW892)+(GV892*GV892)/(AR892*GT892*GT892))</f>
        <v>1.9999999999999998E-4</v>
      </c>
      <c r="HY892" s="15">
        <f t="shared" ref="HY892:IA895" si="796">EW892</f>
        <v>135000</v>
      </c>
      <c r="HZ892" s="15">
        <f t="shared" si="796"/>
        <v>60</v>
      </c>
      <c r="IA892" s="15">
        <f t="shared" si="796"/>
        <v>74250</v>
      </c>
    </row>
    <row r="893" spans="1:235" s="15" customFormat="1" x14ac:dyDescent="0.25">
      <c r="A893" s="31">
        <v>891</v>
      </c>
      <c r="B893" s="1">
        <v>140</v>
      </c>
      <c r="C893" s="1">
        <v>163</v>
      </c>
      <c r="D893" s="15" t="s">
        <v>1987</v>
      </c>
      <c r="E893" s="1">
        <v>6</v>
      </c>
      <c r="F893" s="15" t="s">
        <v>1992</v>
      </c>
      <c r="G893" s="15" t="s">
        <v>1990</v>
      </c>
      <c r="H893" s="15" t="s">
        <v>941</v>
      </c>
      <c r="I893" s="1">
        <v>2014</v>
      </c>
      <c r="J893" s="15" t="s">
        <v>1993</v>
      </c>
      <c r="K893" s="1">
        <v>2013</v>
      </c>
      <c r="L893" s="15" t="s">
        <v>820</v>
      </c>
      <c r="M893" s="15" t="s">
        <v>480</v>
      </c>
      <c r="N893" s="15" t="s">
        <v>23</v>
      </c>
      <c r="O893" s="31">
        <v>2</v>
      </c>
      <c r="P893" s="15">
        <v>28.24</v>
      </c>
      <c r="Q893" s="15">
        <v>117.04</v>
      </c>
      <c r="R893" s="15" t="s">
        <v>532</v>
      </c>
      <c r="S893" s="15">
        <v>1700</v>
      </c>
      <c r="T893" s="15">
        <v>18</v>
      </c>
      <c r="U893" s="15" t="s">
        <v>807</v>
      </c>
      <c r="V893" s="31">
        <v>2</v>
      </c>
      <c r="W893" s="16" t="s">
        <v>1149</v>
      </c>
      <c r="X893" s="15" t="s">
        <v>532</v>
      </c>
      <c r="Y893" s="1"/>
      <c r="Z893" s="15">
        <v>4.45</v>
      </c>
      <c r="AA893" s="15" t="s">
        <v>573</v>
      </c>
      <c r="AB893" s="15">
        <f t="shared" si="781"/>
        <v>4.45</v>
      </c>
      <c r="AC893" s="1">
        <v>1</v>
      </c>
      <c r="AD893" s="15">
        <v>16.100000000000001</v>
      </c>
      <c r="AF893" s="15">
        <v>9.36</v>
      </c>
      <c r="AM893" s="1">
        <v>1</v>
      </c>
      <c r="AP893" s="15" t="s">
        <v>1968</v>
      </c>
      <c r="AQ893" s="1">
        <v>1</v>
      </c>
      <c r="AR893" s="1">
        <v>3</v>
      </c>
      <c r="BP893" s="16"/>
      <c r="BQ893" s="16"/>
      <c r="BR893" s="16"/>
      <c r="BU893" s="16"/>
      <c r="DW893" s="15" t="s">
        <v>1995</v>
      </c>
      <c r="DX893" s="15">
        <f>DX889+DX890</f>
        <v>180000</v>
      </c>
      <c r="DY893" s="15">
        <f>DX893</f>
        <v>180000</v>
      </c>
      <c r="DZ893" s="15" t="s">
        <v>766</v>
      </c>
      <c r="ES893" s="15">
        <f t="shared" si="782"/>
        <v>180000</v>
      </c>
      <c r="ET893" s="15">
        <f t="shared" si="783"/>
        <v>80</v>
      </c>
      <c r="EU893" s="15">
        <f t="shared" si="784"/>
        <v>99000.000000000015</v>
      </c>
      <c r="EW893" s="46">
        <f>AX893+BT893+CF893+DE893+DY893</f>
        <v>180000</v>
      </c>
      <c r="EX893" s="46">
        <f>BA893+BZ893+CZ893+DT893+ET893</f>
        <v>80</v>
      </c>
      <c r="EY893" s="46">
        <f>BB893+CA893+DA893+DU893+EU893</f>
        <v>99000.000000000015</v>
      </c>
      <c r="EZ893" s="16"/>
      <c r="FA893" s="16"/>
      <c r="FB893" s="16"/>
      <c r="FC893" s="16"/>
      <c r="FD893" s="16"/>
      <c r="FE893" s="16"/>
      <c r="FF893" s="16"/>
      <c r="FG893" s="16"/>
      <c r="FH893" s="16"/>
      <c r="FI893" s="16"/>
      <c r="FJ893" s="16"/>
      <c r="FK893" s="16">
        <f t="shared" si="785"/>
        <v>4.46</v>
      </c>
      <c r="FL893" s="16">
        <f t="shared" si="786"/>
        <v>5.48</v>
      </c>
      <c r="FM893" s="16">
        <v>4.46</v>
      </c>
      <c r="FN893" s="16">
        <v>0.01</v>
      </c>
      <c r="FO893" s="15">
        <f>FN893*SQRT(AR893)</f>
        <v>1.7320508075688773E-2</v>
      </c>
      <c r="FP893" s="15">
        <v>5.48</v>
      </c>
      <c r="FQ893" s="15">
        <v>0.01</v>
      </c>
      <c r="FR893" s="15">
        <f>FQ893*SQRT(AR893)</f>
        <v>1.7320508075688773E-2</v>
      </c>
      <c r="FS893" s="15">
        <f t="shared" si="787"/>
        <v>1.2286995515695069</v>
      </c>
      <c r="FT893" s="15">
        <f t="shared" si="788"/>
        <v>1.0200000000000005</v>
      </c>
      <c r="FU893" s="15">
        <f t="shared" si="789"/>
        <v>0.20595633492795162</v>
      </c>
      <c r="FV893" s="15">
        <f>((FR893*FR893)/(AR893*FP893*FP893)+(FO893*FO893)/(AR893*FM893*FM893))</f>
        <v>8.357206657344247E-6</v>
      </c>
      <c r="GT893" s="15">
        <v>38.5</v>
      </c>
      <c r="GU893" s="15">
        <f t="shared" si="790"/>
        <v>0.38500000000000001</v>
      </c>
      <c r="GV893" s="15">
        <f>GU893*SQRT(AR893)</f>
        <v>0.66683956091401775</v>
      </c>
      <c r="GW893" s="15">
        <v>96.8</v>
      </c>
      <c r="GX893" s="15">
        <f t="shared" si="791"/>
        <v>0.96799999999999997</v>
      </c>
      <c r="GY893" s="15">
        <f>GX893*SQRT(AR893)</f>
        <v>1.6766251817266731</v>
      </c>
      <c r="GZ893" s="15">
        <f t="shared" si="792"/>
        <v>2.5142857142857142</v>
      </c>
      <c r="HA893" s="15">
        <f t="shared" si="793"/>
        <v>58.3</v>
      </c>
      <c r="HB893" s="15">
        <f t="shared" si="794"/>
        <v>0.9219887529887929</v>
      </c>
      <c r="HC893" s="15">
        <f>((GY893*GY893)/(AR893*GW893*GW893)+(GV893*GV893)/(AR893*GT893*GT893))</f>
        <v>1.9999999999999998E-4</v>
      </c>
      <c r="HY893" s="15">
        <f t="shared" si="796"/>
        <v>180000</v>
      </c>
      <c r="HZ893" s="15">
        <f t="shared" si="796"/>
        <v>80</v>
      </c>
      <c r="IA893" s="15">
        <f t="shared" si="796"/>
        <v>99000.000000000015</v>
      </c>
    </row>
    <row r="894" spans="1:235" s="15" customFormat="1" x14ac:dyDescent="0.25">
      <c r="A894" s="31">
        <v>892</v>
      </c>
      <c r="B894" s="1">
        <v>140</v>
      </c>
      <c r="C894" s="1">
        <v>163</v>
      </c>
      <c r="D894" s="15" t="s">
        <v>1988</v>
      </c>
      <c r="E894" s="1">
        <v>6</v>
      </c>
      <c r="F894" s="15" t="s">
        <v>1992</v>
      </c>
      <c r="G894" s="15" t="s">
        <v>1990</v>
      </c>
      <c r="H894" s="15" t="s">
        <v>941</v>
      </c>
      <c r="I894" s="1">
        <v>2014</v>
      </c>
      <c r="J894" s="15" t="s">
        <v>1993</v>
      </c>
      <c r="K894" s="1">
        <v>2013</v>
      </c>
      <c r="L894" s="15" t="s">
        <v>820</v>
      </c>
      <c r="M894" s="15" t="s">
        <v>480</v>
      </c>
      <c r="N894" s="15" t="s">
        <v>23</v>
      </c>
      <c r="O894" s="31">
        <v>2</v>
      </c>
      <c r="P894" s="15">
        <v>28.24</v>
      </c>
      <c r="Q894" s="15">
        <v>117.04</v>
      </c>
      <c r="R894" s="15" t="s">
        <v>532</v>
      </c>
      <c r="S894" s="15">
        <v>1700</v>
      </c>
      <c r="T894" s="15">
        <v>18</v>
      </c>
      <c r="U894" s="15" t="s">
        <v>807</v>
      </c>
      <c r="V894" s="31">
        <v>2</v>
      </c>
      <c r="W894" s="16" t="s">
        <v>1149</v>
      </c>
      <c r="X894" s="15" t="s">
        <v>532</v>
      </c>
      <c r="Y894" s="1"/>
      <c r="Z894" s="15">
        <v>4.45</v>
      </c>
      <c r="AA894" s="15" t="s">
        <v>573</v>
      </c>
      <c r="AB894" s="15">
        <f t="shared" si="781"/>
        <v>4.45</v>
      </c>
      <c r="AC894" s="1">
        <v>1</v>
      </c>
      <c r="AD894" s="15">
        <v>16.100000000000001</v>
      </c>
      <c r="AF894" s="15">
        <v>9.36</v>
      </c>
      <c r="AM894" s="1">
        <v>1</v>
      </c>
      <c r="AP894" s="15" t="s">
        <v>1968</v>
      </c>
      <c r="AQ894" s="1">
        <v>1</v>
      </c>
      <c r="AR894" s="1">
        <v>3</v>
      </c>
      <c r="BP894" s="16"/>
      <c r="BQ894" s="16"/>
      <c r="BR894" s="16"/>
      <c r="BU894" s="16"/>
      <c r="DW894" s="15" t="s">
        <v>1995</v>
      </c>
      <c r="DX894" s="15">
        <f>DX889+DX890</f>
        <v>180000</v>
      </c>
      <c r="DY894" s="15">
        <f>DX894</f>
        <v>180000</v>
      </c>
      <c r="DZ894" s="15" t="s">
        <v>766</v>
      </c>
      <c r="ES894" s="15">
        <f t="shared" si="782"/>
        <v>180000</v>
      </c>
      <c r="ET894" s="15">
        <f t="shared" si="783"/>
        <v>80</v>
      </c>
      <c r="EU894" s="15">
        <f t="shared" si="784"/>
        <v>99000.000000000015</v>
      </c>
      <c r="EW894" s="46">
        <f>AX894+BT894+CF894+DE894+DY894</f>
        <v>180000</v>
      </c>
      <c r="EX894" s="46">
        <f>BA894+BZ894+CZ894+DT894+ET894</f>
        <v>80</v>
      </c>
      <c r="EY894" s="46">
        <f>BB894+CA894+DA894+DU894+EU894</f>
        <v>99000.000000000015</v>
      </c>
      <c r="EZ894" s="16"/>
      <c r="FA894" s="16"/>
      <c r="FB894" s="16"/>
      <c r="FC894" s="16"/>
      <c r="FD894" s="16"/>
      <c r="FE894" s="16"/>
      <c r="FF894" s="16"/>
      <c r="FG894" s="16"/>
      <c r="FH894" s="16"/>
      <c r="FI894" s="16"/>
      <c r="FJ894" s="16"/>
      <c r="FK894" s="16">
        <f t="shared" si="785"/>
        <v>4.46</v>
      </c>
      <c r="FL894" s="16">
        <f t="shared" si="786"/>
        <v>5.5</v>
      </c>
      <c r="FM894" s="16">
        <v>4.46</v>
      </c>
      <c r="FN894" s="16">
        <v>0.01</v>
      </c>
      <c r="FO894" s="15">
        <f>FN894*SQRT(AR894)</f>
        <v>1.7320508075688773E-2</v>
      </c>
      <c r="FP894" s="15">
        <v>5.5</v>
      </c>
      <c r="FQ894" s="15">
        <v>0.02</v>
      </c>
      <c r="FR894" s="15">
        <f>FQ894*SQRT(AR894)</f>
        <v>3.4641016151377546E-2</v>
      </c>
      <c r="FS894" s="15">
        <f t="shared" si="787"/>
        <v>1.2331838565022422</v>
      </c>
      <c r="FT894" s="15">
        <f t="shared" si="788"/>
        <v>1.04</v>
      </c>
      <c r="FU894" s="15">
        <f t="shared" si="789"/>
        <v>0.20959932620645261</v>
      </c>
      <c r="FV894" s="15">
        <f>((FR894*FR894)/(AR894*FP894*FP894)+(FO894*FO894)/(AR894*FM894*FM894))</f>
        <v>1.8250388178306589E-5</v>
      </c>
      <c r="GT894" s="15">
        <v>38.5</v>
      </c>
      <c r="GU894" s="15">
        <f t="shared" si="790"/>
        <v>0.38500000000000001</v>
      </c>
      <c r="GV894" s="15">
        <f>GU894*SQRT(AR894)</f>
        <v>0.66683956091401775</v>
      </c>
      <c r="GW894" s="15">
        <v>96.9</v>
      </c>
      <c r="GX894" s="15">
        <f t="shared" si="791"/>
        <v>0.96900000000000008</v>
      </c>
      <c r="GY894" s="15">
        <f>GX894*SQRT(AR894)</f>
        <v>1.6783572325342422</v>
      </c>
      <c r="GZ894" s="15">
        <f t="shared" si="792"/>
        <v>2.5168831168831169</v>
      </c>
      <c r="HA894" s="15">
        <f t="shared" si="793"/>
        <v>58.400000000000006</v>
      </c>
      <c r="HB894" s="15">
        <f t="shared" si="794"/>
        <v>0.9230212776029818</v>
      </c>
      <c r="HC894" s="15">
        <f>((GY894*GY894)/(AR894*GW894*GW894)+(GV894*GV894)/(AR894*GT894*GT894))</f>
        <v>1.9999999999999998E-4</v>
      </c>
      <c r="HY894" s="15">
        <f t="shared" si="796"/>
        <v>180000</v>
      </c>
      <c r="HZ894" s="15">
        <f t="shared" si="796"/>
        <v>80</v>
      </c>
      <c r="IA894" s="15">
        <f t="shared" si="796"/>
        <v>99000.000000000015</v>
      </c>
    </row>
    <row r="895" spans="1:235" s="15" customFormat="1" x14ac:dyDescent="0.25">
      <c r="A895" s="31">
        <v>893</v>
      </c>
      <c r="B895" s="1">
        <v>140</v>
      </c>
      <c r="C895" s="1">
        <v>163</v>
      </c>
      <c r="D895" s="15" t="s">
        <v>1989</v>
      </c>
      <c r="E895" s="1">
        <v>6</v>
      </c>
      <c r="F895" s="15" t="s">
        <v>1992</v>
      </c>
      <c r="G895" s="15" t="s">
        <v>1990</v>
      </c>
      <c r="H895" s="15" t="s">
        <v>941</v>
      </c>
      <c r="I895" s="1">
        <v>2014</v>
      </c>
      <c r="J895" s="15" t="s">
        <v>1993</v>
      </c>
      <c r="K895" s="1">
        <v>2013</v>
      </c>
      <c r="L895" s="15" t="s">
        <v>820</v>
      </c>
      <c r="M895" s="15" t="s">
        <v>480</v>
      </c>
      <c r="N895" s="15" t="s">
        <v>23</v>
      </c>
      <c r="O895" s="31">
        <v>2</v>
      </c>
      <c r="P895" s="15">
        <v>28.24</v>
      </c>
      <c r="Q895" s="15">
        <v>117.04</v>
      </c>
      <c r="R895" s="15" t="s">
        <v>532</v>
      </c>
      <c r="S895" s="15">
        <v>1700</v>
      </c>
      <c r="T895" s="15">
        <v>18</v>
      </c>
      <c r="U895" s="15" t="s">
        <v>807</v>
      </c>
      <c r="V895" s="31">
        <v>2</v>
      </c>
      <c r="W895" s="16" t="s">
        <v>1149</v>
      </c>
      <c r="X895" s="15" t="s">
        <v>532</v>
      </c>
      <c r="Y895" s="1"/>
      <c r="Z895" s="15">
        <v>4.45</v>
      </c>
      <c r="AA895" s="15" t="s">
        <v>573</v>
      </c>
      <c r="AB895" s="15">
        <f t="shared" si="781"/>
        <v>4.45</v>
      </c>
      <c r="AC895" s="1">
        <v>1</v>
      </c>
      <c r="AD895" s="15">
        <v>16.100000000000001</v>
      </c>
      <c r="AF895" s="15">
        <v>9.36</v>
      </c>
      <c r="AM895" s="1">
        <v>1</v>
      </c>
      <c r="AP895" s="15" t="s">
        <v>1968</v>
      </c>
      <c r="AQ895" s="1">
        <v>1</v>
      </c>
      <c r="AR895" s="1">
        <v>3</v>
      </c>
      <c r="BP895" s="16"/>
      <c r="BQ895" s="16"/>
      <c r="BR895" s="16"/>
      <c r="BU895" s="16"/>
      <c r="DW895" s="15" t="s">
        <v>1995</v>
      </c>
      <c r="DX895" s="15">
        <f>DX889+DX891</f>
        <v>270000</v>
      </c>
      <c r="DY895" s="15">
        <f>DX895</f>
        <v>270000</v>
      </c>
      <c r="DZ895" s="15" t="s">
        <v>766</v>
      </c>
      <c r="ES895" s="15">
        <f t="shared" si="782"/>
        <v>270000</v>
      </c>
      <c r="ET895" s="15">
        <f t="shared" si="783"/>
        <v>120</v>
      </c>
      <c r="EU895" s="15">
        <f t="shared" si="784"/>
        <v>148500</v>
      </c>
      <c r="EW895" s="46">
        <f>AX895+BT895+CF895+DE895+DY895</f>
        <v>270000</v>
      </c>
      <c r="EX895" s="46">
        <f>BA895+BZ895+CZ895+DT895+ET895</f>
        <v>120</v>
      </c>
      <c r="EY895" s="46">
        <f>BB895+CA895+DA895+DU895+EU895</f>
        <v>148500</v>
      </c>
      <c r="EZ895" s="16"/>
      <c r="FA895" s="16"/>
      <c r="FB895" s="16"/>
      <c r="FC895" s="16"/>
      <c r="FD895" s="16"/>
      <c r="FE895" s="16"/>
      <c r="FF895" s="16"/>
      <c r="FG895" s="16"/>
      <c r="FH895" s="16"/>
      <c r="FI895" s="16"/>
      <c r="FJ895" s="16"/>
      <c r="FK895" s="16">
        <f t="shared" si="785"/>
        <v>4.46</v>
      </c>
      <c r="FL895" s="16">
        <f t="shared" si="786"/>
        <v>6.01</v>
      </c>
      <c r="FM895" s="16">
        <v>4.46</v>
      </c>
      <c r="FN895" s="16">
        <v>0.01</v>
      </c>
      <c r="FO895" s="15">
        <f>FN895*SQRT(AR895)</f>
        <v>1.7320508075688773E-2</v>
      </c>
      <c r="FP895" s="15">
        <v>6.01</v>
      </c>
      <c r="FQ895" s="15">
        <v>0.01</v>
      </c>
      <c r="FR895" s="15">
        <f>FQ895*SQRT(AR895)</f>
        <v>1.7320508075688773E-2</v>
      </c>
      <c r="FS895" s="15">
        <f t="shared" si="787"/>
        <v>1.3475336322869955</v>
      </c>
      <c r="FT895" s="15">
        <f t="shared" si="788"/>
        <v>1.5499999999999998</v>
      </c>
      <c r="FU895" s="15">
        <f t="shared" si="789"/>
        <v>0.29827598251514353</v>
      </c>
      <c r="FV895" s="15">
        <f>((FR895*FR895)/(AR895*FP895*FP895)+(FO895*FO895)/(AR895*FM895*FM895))</f>
        <v>7.7957892977721091E-6</v>
      </c>
      <c r="GT895" s="15">
        <v>38.5</v>
      </c>
      <c r="GU895" s="15">
        <f t="shared" si="790"/>
        <v>0.38500000000000001</v>
      </c>
      <c r="GV895" s="15">
        <f>GU895*SQRT(AR895)</f>
        <v>0.66683956091401775</v>
      </c>
      <c r="GW895" s="15">
        <v>98.4</v>
      </c>
      <c r="GX895" s="15">
        <f t="shared" si="791"/>
        <v>0.9840000000000001</v>
      </c>
      <c r="GY895" s="15">
        <f>GX895*SQRT(AR895)</f>
        <v>1.7043379946477752</v>
      </c>
      <c r="GZ895" s="15">
        <f t="shared" si="792"/>
        <v>2.5558441558441558</v>
      </c>
      <c r="HA895" s="15">
        <f t="shared" si="793"/>
        <v>59.900000000000006</v>
      </c>
      <c r="HB895" s="15">
        <f t="shared" si="794"/>
        <v>0.93838256276446863</v>
      </c>
      <c r="HC895" s="15">
        <f>((GY895*GY895)/(AR895*GW895*GW895)+(GV895*GV895)/(AR895*GT895*GT895))</f>
        <v>1.9999999999999996E-4</v>
      </c>
      <c r="HY895" s="15">
        <f t="shared" si="796"/>
        <v>270000</v>
      </c>
      <c r="HZ895" s="15">
        <f t="shared" si="796"/>
        <v>120</v>
      </c>
      <c r="IA895" s="15">
        <f t="shared" si="796"/>
        <v>148500</v>
      </c>
    </row>
    <row r="896" spans="1:235" s="15" customFormat="1" x14ac:dyDescent="0.25">
      <c r="A896" s="31">
        <v>894</v>
      </c>
      <c r="B896" s="1">
        <v>141</v>
      </c>
      <c r="C896" s="1">
        <v>164</v>
      </c>
      <c r="D896" s="15" t="s">
        <v>1997</v>
      </c>
      <c r="E896" s="31">
        <v>4</v>
      </c>
      <c r="F896" s="15" t="s">
        <v>879</v>
      </c>
      <c r="G896" s="15" t="s">
        <v>2001</v>
      </c>
      <c r="H896" s="15" t="s">
        <v>2007</v>
      </c>
      <c r="I896" s="1">
        <v>2017</v>
      </c>
      <c r="J896" s="15" t="s">
        <v>2006</v>
      </c>
      <c r="K896" s="1">
        <v>2015</v>
      </c>
      <c r="L896" s="15" t="s">
        <v>923</v>
      </c>
      <c r="M896" s="15" t="s">
        <v>480</v>
      </c>
      <c r="N896" s="15" t="s">
        <v>23</v>
      </c>
      <c r="O896" s="31">
        <v>2</v>
      </c>
      <c r="P896" s="15">
        <v>32.07</v>
      </c>
      <c r="Q896" s="15">
        <v>118.82</v>
      </c>
      <c r="R896" s="15" t="s">
        <v>532</v>
      </c>
      <c r="S896" s="15">
        <v>1020</v>
      </c>
      <c r="T896" s="15">
        <v>15.5</v>
      </c>
      <c r="U896" s="15" t="s">
        <v>1893</v>
      </c>
      <c r="V896" s="31">
        <v>1</v>
      </c>
      <c r="W896" s="16" t="s">
        <v>1149</v>
      </c>
      <c r="X896" s="15" t="s">
        <v>2005</v>
      </c>
      <c r="Y896" s="1">
        <v>3</v>
      </c>
      <c r="Z896" s="15">
        <v>5.44</v>
      </c>
      <c r="AA896" s="15" t="s">
        <v>573</v>
      </c>
      <c r="AB896" s="15">
        <f t="shared" si="781"/>
        <v>5.44</v>
      </c>
      <c r="AC896" s="1">
        <v>4</v>
      </c>
      <c r="AD896" s="15">
        <v>50.26</v>
      </c>
      <c r="AM896" s="1">
        <v>1</v>
      </c>
      <c r="AP896" s="15" t="s">
        <v>1978</v>
      </c>
      <c r="AQ896" s="1">
        <v>3</v>
      </c>
      <c r="AR896" s="1">
        <v>3</v>
      </c>
      <c r="BG896" s="15" t="s">
        <v>2008</v>
      </c>
      <c r="BI896" s="15">
        <f>452.4/1.74</f>
        <v>260</v>
      </c>
      <c r="BJ896" s="15">
        <v>28.42</v>
      </c>
      <c r="BK896" s="15">
        <v>10.210000000000001</v>
      </c>
      <c r="BL896" s="15">
        <v>20.350000000000001</v>
      </c>
      <c r="BP896" s="16"/>
      <c r="BQ896" s="16"/>
      <c r="BR896" s="16"/>
      <c r="BS896" s="15">
        <v>300</v>
      </c>
      <c r="BT896" s="15">
        <f>BS896*15</f>
        <v>4500</v>
      </c>
      <c r="BU896" s="16" t="s">
        <v>766</v>
      </c>
      <c r="BY896" s="15">
        <f>BT896</f>
        <v>4500</v>
      </c>
      <c r="BZ896" s="15">
        <f>BY896/1.1/1000</f>
        <v>4.0909090909090908</v>
      </c>
      <c r="CA896" s="15">
        <f>BY896*2</f>
        <v>9000</v>
      </c>
      <c r="EZ896" s="16"/>
      <c r="FA896" s="16"/>
      <c r="FB896" s="16"/>
      <c r="FC896" s="16"/>
      <c r="FD896" s="16"/>
      <c r="FE896" s="16"/>
      <c r="FF896" s="16"/>
      <c r="FG896" s="16"/>
      <c r="FH896" s="16"/>
      <c r="FI896" s="16"/>
      <c r="FJ896" s="16"/>
      <c r="FK896" s="16"/>
      <c r="FL896" s="16"/>
      <c r="HE896" s="15">
        <v>36060</v>
      </c>
      <c r="HF896" s="15">
        <f>HE896*0.01</f>
        <v>360.6</v>
      </c>
      <c r="HG896" s="15">
        <f>HF896*SQRT(AR896)</f>
        <v>624.57752120933719</v>
      </c>
      <c r="HH896" s="15">
        <v>40360</v>
      </c>
      <c r="HI896" s="15">
        <f>HH896*0.01</f>
        <v>403.6</v>
      </c>
      <c r="HJ896" s="15">
        <f>HI896*SQRT(AR896)</f>
        <v>699.05570593479888</v>
      </c>
      <c r="HK896" s="15">
        <f t="shared" ref="HK896:HK920" si="797">HH896/HE896</f>
        <v>1.1192457016084303</v>
      </c>
      <c r="HL896" s="15">
        <f t="shared" ref="HL896:HL920" si="798">HH896-HE896</f>
        <v>4300</v>
      </c>
      <c r="HM896" s="15">
        <f t="shared" ref="HM896:HM920" si="799">LN(HH896)-LN(HE896)</f>
        <v>0.11265497771023725</v>
      </c>
      <c r="HN896" s="15">
        <f>((HJ896*HJ896)/(AR896*HH896*HH896)+(HG896*HG896)/(AR896*HE896*HE896))</f>
        <v>2.0000000000000004E-4</v>
      </c>
      <c r="HP896" s="15" t="s">
        <v>766</v>
      </c>
      <c r="HV896" s="15">
        <f t="shared" ref="HV896:HV904" si="800">HX896/HW896/100</f>
        <v>798.89945237476593</v>
      </c>
      <c r="HW896" s="15">
        <f t="shared" ref="HW896:HW904" si="801">HM896</f>
        <v>0.11265497771023725</v>
      </c>
      <c r="HX896" s="15">
        <f>CA896</f>
        <v>9000</v>
      </c>
      <c r="HY896" s="15">
        <f>BY896</f>
        <v>4500</v>
      </c>
      <c r="HZ896" s="15">
        <f>BZ896</f>
        <v>4.0909090909090908</v>
      </c>
      <c r="IA896" s="15">
        <f>CA896</f>
        <v>9000</v>
      </c>
    </row>
    <row r="897" spans="1:235" s="15" customFormat="1" x14ac:dyDescent="0.25">
      <c r="A897" s="31">
        <v>895</v>
      </c>
      <c r="B897" s="1">
        <v>141</v>
      </c>
      <c r="C897" s="1">
        <v>164</v>
      </c>
      <c r="D897" s="15" t="s">
        <v>1998</v>
      </c>
      <c r="E897" s="31">
        <v>4</v>
      </c>
      <c r="F897" s="15" t="s">
        <v>879</v>
      </c>
      <c r="G897" s="15" t="s">
        <v>2002</v>
      </c>
      <c r="H897" s="15" t="s">
        <v>2007</v>
      </c>
      <c r="I897" s="1">
        <v>2017</v>
      </c>
      <c r="J897" s="15" t="s">
        <v>2006</v>
      </c>
      <c r="K897" s="1">
        <v>2015</v>
      </c>
      <c r="L897" s="15" t="s">
        <v>923</v>
      </c>
      <c r="M897" s="15" t="s">
        <v>480</v>
      </c>
      <c r="N897" s="15" t="s">
        <v>23</v>
      </c>
      <c r="O897" s="31">
        <v>2</v>
      </c>
      <c r="P897" s="15">
        <v>32.07</v>
      </c>
      <c r="Q897" s="15">
        <v>118.82</v>
      </c>
      <c r="R897" s="15" t="s">
        <v>532</v>
      </c>
      <c r="S897" s="15">
        <v>1020</v>
      </c>
      <c r="T897" s="15">
        <v>15.5</v>
      </c>
      <c r="U897" s="15" t="s">
        <v>1893</v>
      </c>
      <c r="V897" s="31">
        <v>1</v>
      </c>
      <c r="W897" s="16" t="s">
        <v>1149</v>
      </c>
      <c r="X897" s="15" t="s">
        <v>2005</v>
      </c>
      <c r="Y897" s="1">
        <v>3</v>
      </c>
      <c r="Z897" s="15">
        <v>5.44</v>
      </c>
      <c r="AA897" s="15" t="s">
        <v>573</v>
      </c>
      <c r="AB897" s="15">
        <f t="shared" si="781"/>
        <v>5.44</v>
      </c>
      <c r="AC897" s="1">
        <v>4</v>
      </c>
      <c r="AD897" s="15">
        <v>50.26</v>
      </c>
      <c r="AM897" s="1">
        <v>1</v>
      </c>
      <c r="AP897" s="15" t="s">
        <v>1978</v>
      </c>
      <c r="AQ897" s="1">
        <v>3</v>
      </c>
      <c r="AR897" s="1">
        <v>3</v>
      </c>
      <c r="BG897" s="15" t="s">
        <v>2008</v>
      </c>
      <c r="BI897" s="15">
        <f>452.4/1.74</f>
        <v>260</v>
      </c>
      <c r="BJ897" s="15">
        <v>28.42</v>
      </c>
      <c r="BK897" s="15">
        <v>10.210000000000001</v>
      </c>
      <c r="BL897" s="15">
        <v>20.350000000000001</v>
      </c>
      <c r="BP897" s="16"/>
      <c r="BQ897" s="16"/>
      <c r="BR897" s="16"/>
      <c r="BS897" s="15">
        <v>600</v>
      </c>
      <c r="BT897" s="15">
        <f>BS897*15</f>
        <v>9000</v>
      </c>
      <c r="BU897" s="16" t="s">
        <v>766</v>
      </c>
      <c r="BY897" s="15">
        <f>BT897</f>
        <v>9000</v>
      </c>
      <c r="BZ897" s="15">
        <f>BY897/1.1/1000</f>
        <v>8.1818181818181817</v>
      </c>
      <c r="CA897" s="15">
        <f>BY897*2</f>
        <v>18000</v>
      </c>
      <c r="EZ897" s="16"/>
      <c r="FA897" s="16"/>
      <c r="FB897" s="16"/>
      <c r="FC897" s="16"/>
      <c r="FD897" s="16"/>
      <c r="FE897" s="16"/>
      <c r="FF897" s="16"/>
      <c r="FG897" s="16"/>
      <c r="FH897" s="16"/>
      <c r="FI897" s="16"/>
      <c r="FJ897" s="16"/>
      <c r="FK897" s="16"/>
      <c r="FL897" s="16"/>
      <c r="HE897" s="15">
        <v>36060</v>
      </c>
      <c r="HF897" s="15">
        <f>HE897*0.1</f>
        <v>3606</v>
      </c>
      <c r="HG897" s="15">
        <f>HF897*SQRT(AR897)</f>
        <v>6245.775212093371</v>
      </c>
      <c r="HH897" s="15">
        <v>47080</v>
      </c>
      <c r="HI897" s="15">
        <f>HH897*0.1</f>
        <v>4708</v>
      </c>
      <c r="HJ897" s="15">
        <f>HI897*SQRT(AR897)</f>
        <v>8154.4952020342735</v>
      </c>
      <c r="HK897" s="15">
        <f t="shared" si="797"/>
        <v>1.3056017748197448</v>
      </c>
      <c r="HL897" s="15">
        <f t="shared" si="798"/>
        <v>11020</v>
      </c>
      <c r="HM897" s="15">
        <f t="shared" si="799"/>
        <v>0.26666406461690428</v>
      </c>
      <c r="HN897" s="15">
        <f>((HJ897*HJ897)/(AR897*HH897*HH897)+(HG897*HG897)/(AR897*HE897*HE897))</f>
        <v>1.9999999999999997E-2</v>
      </c>
      <c r="HP897" s="15" t="s">
        <v>766</v>
      </c>
      <c r="HV897" s="15">
        <f t="shared" si="800"/>
        <v>675.0065865027301</v>
      </c>
      <c r="HW897" s="15">
        <f t="shared" si="801"/>
        <v>0.26666406461690428</v>
      </c>
      <c r="HX897" s="15">
        <f>CA897</f>
        <v>18000</v>
      </c>
      <c r="HY897" s="15">
        <f>BY897</f>
        <v>9000</v>
      </c>
      <c r="HZ897" s="15">
        <f>BZ897</f>
        <v>8.1818181818181817</v>
      </c>
      <c r="IA897" s="15">
        <f>CA897</f>
        <v>18000</v>
      </c>
    </row>
    <row r="898" spans="1:235" s="15" customFormat="1" x14ac:dyDescent="0.25">
      <c r="A898" s="31">
        <v>896</v>
      </c>
      <c r="B898" s="1">
        <v>141</v>
      </c>
      <c r="C898" s="1">
        <v>164</v>
      </c>
      <c r="D898" s="15" t="s">
        <v>1999</v>
      </c>
      <c r="E898" s="31">
        <v>4</v>
      </c>
      <c r="F898" s="15" t="s">
        <v>879</v>
      </c>
      <c r="G898" s="15" t="s">
        <v>2003</v>
      </c>
      <c r="H898" s="15" t="s">
        <v>2007</v>
      </c>
      <c r="I898" s="1">
        <v>2017</v>
      </c>
      <c r="J898" s="15" t="s">
        <v>2006</v>
      </c>
      <c r="K898" s="1">
        <v>2015</v>
      </c>
      <c r="L898" s="15" t="s">
        <v>923</v>
      </c>
      <c r="M898" s="15" t="s">
        <v>480</v>
      </c>
      <c r="N898" s="15" t="s">
        <v>23</v>
      </c>
      <c r="O898" s="31">
        <v>2</v>
      </c>
      <c r="P898" s="15">
        <v>32.07</v>
      </c>
      <c r="Q898" s="15">
        <v>118.82</v>
      </c>
      <c r="R898" s="15" t="s">
        <v>532</v>
      </c>
      <c r="S898" s="15">
        <v>1020</v>
      </c>
      <c r="T898" s="15">
        <v>15.5</v>
      </c>
      <c r="U898" s="15" t="s">
        <v>1893</v>
      </c>
      <c r="V898" s="31">
        <v>1</v>
      </c>
      <c r="W898" s="16" t="s">
        <v>1149</v>
      </c>
      <c r="X898" s="15" t="s">
        <v>2005</v>
      </c>
      <c r="Y898" s="1">
        <v>3</v>
      </c>
      <c r="Z898" s="15">
        <v>5.44</v>
      </c>
      <c r="AA898" s="15" t="s">
        <v>573</v>
      </c>
      <c r="AB898" s="15">
        <f t="shared" si="781"/>
        <v>5.44</v>
      </c>
      <c r="AC898" s="1">
        <v>4</v>
      </c>
      <c r="AD898" s="15">
        <v>50.26</v>
      </c>
      <c r="AM898" s="1">
        <v>1</v>
      </c>
      <c r="AP898" s="15" t="s">
        <v>1978</v>
      </c>
      <c r="AQ898" s="1">
        <v>3</v>
      </c>
      <c r="AR898" s="1">
        <v>3</v>
      </c>
      <c r="BG898" s="15" t="s">
        <v>2008</v>
      </c>
      <c r="BI898" s="15">
        <f>452.4/1.74</f>
        <v>260</v>
      </c>
      <c r="BJ898" s="15">
        <v>28.42</v>
      </c>
      <c r="BK898" s="15">
        <v>10.210000000000001</v>
      </c>
      <c r="BL898" s="15">
        <v>20.350000000000001</v>
      </c>
      <c r="BP898" s="16"/>
      <c r="BQ898" s="16"/>
      <c r="BR898" s="16"/>
      <c r="BS898" s="15">
        <v>900</v>
      </c>
      <c r="BT898" s="15">
        <f>BS898*15</f>
        <v>13500</v>
      </c>
      <c r="BU898" s="16" t="s">
        <v>766</v>
      </c>
      <c r="BY898" s="15">
        <f>BT898</f>
        <v>13500</v>
      </c>
      <c r="BZ898" s="15">
        <f>BY898/1.1/1000</f>
        <v>12.272727272727272</v>
      </c>
      <c r="CA898" s="15">
        <f>BY898*2</f>
        <v>27000</v>
      </c>
      <c r="EZ898" s="16"/>
      <c r="FA898" s="16"/>
      <c r="FB898" s="16"/>
      <c r="FC898" s="16"/>
      <c r="FD898" s="16"/>
      <c r="FE898" s="16"/>
      <c r="FF898" s="16"/>
      <c r="FG898" s="16"/>
      <c r="FH898" s="16"/>
      <c r="FI898" s="16"/>
      <c r="FJ898" s="16"/>
      <c r="FK898" s="16"/>
      <c r="FL898" s="16"/>
      <c r="HE898" s="15">
        <v>36060</v>
      </c>
      <c r="HF898" s="15">
        <f>HE898*0.1</f>
        <v>3606</v>
      </c>
      <c r="HG898" s="15">
        <f>HF898*SQRT(AR898)</f>
        <v>6245.775212093371</v>
      </c>
      <c r="HH898" s="15">
        <v>55030</v>
      </c>
      <c r="HI898" s="15">
        <f>HH898*0.1</f>
        <v>5503</v>
      </c>
      <c r="HJ898" s="15">
        <f>HI898*SQRT(AR898)</f>
        <v>9531.4755940515315</v>
      </c>
      <c r="HK898" s="15">
        <f t="shared" si="797"/>
        <v>1.5260676650027731</v>
      </c>
      <c r="HL898" s="15">
        <f t="shared" si="798"/>
        <v>18970</v>
      </c>
      <c r="HM898" s="15">
        <f t="shared" si="799"/>
        <v>0.42269427329649645</v>
      </c>
      <c r="HN898" s="15">
        <f>((HJ898*HJ898)/(AR898*HH898*HH898)+(HG898*HG898)/(AR898*HE898*HE898))</f>
        <v>1.9999999999999997E-2</v>
      </c>
      <c r="HP898" s="15" t="s">
        <v>766</v>
      </c>
      <c r="HV898" s="15">
        <f t="shared" si="800"/>
        <v>638.75954101372474</v>
      </c>
      <c r="HW898" s="15">
        <f t="shared" si="801"/>
        <v>0.42269427329649645</v>
      </c>
      <c r="HX898" s="15">
        <f>CA898</f>
        <v>27000</v>
      </c>
      <c r="HY898" s="15">
        <f>BY898</f>
        <v>13500</v>
      </c>
      <c r="HZ898" s="15">
        <f>BZ898</f>
        <v>12.272727272727272</v>
      </c>
      <c r="IA898" s="15">
        <f>CA898</f>
        <v>27000</v>
      </c>
    </row>
    <row r="899" spans="1:235" s="15" customFormat="1" x14ac:dyDescent="0.25">
      <c r="A899" s="31">
        <v>897</v>
      </c>
      <c r="B899" s="1">
        <v>141</v>
      </c>
      <c r="C899" s="1">
        <v>164</v>
      </c>
      <c r="D899" s="15" t="s">
        <v>2000</v>
      </c>
      <c r="E899" s="31">
        <v>4</v>
      </c>
      <c r="F899" s="15" t="s">
        <v>879</v>
      </c>
      <c r="G899" s="15" t="s">
        <v>2004</v>
      </c>
      <c r="H899" s="15" t="s">
        <v>2007</v>
      </c>
      <c r="I899" s="1">
        <v>2017</v>
      </c>
      <c r="J899" s="15" t="s">
        <v>2006</v>
      </c>
      <c r="K899" s="1">
        <v>2015</v>
      </c>
      <c r="L899" s="15" t="s">
        <v>923</v>
      </c>
      <c r="M899" s="15" t="s">
        <v>480</v>
      </c>
      <c r="N899" s="15" t="s">
        <v>23</v>
      </c>
      <c r="O899" s="31">
        <v>2</v>
      </c>
      <c r="P899" s="15">
        <v>32.07</v>
      </c>
      <c r="Q899" s="15">
        <v>118.82</v>
      </c>
      <c r="R899" s="15" t="s">
        <v>532</v>
      </c>
      <c r="S899" s="15">
        <v>1020</v>
      </c>
      <c r="T899" s="15">
        <v>15.5</v>
      </c>
      <c r="U899" s="15" t="s">
        <v>1893</v>
      </c>
      <c r="V899" s="31">
        <v>1</v>
      </c>
      <c r="W899" s="16" t="s">
        <v>1149</v>
      </c>
      <c r="X899" s="15" t="s">
        <v>2005</v>
      </c>
      <c r="Y899" s="1">
        <v>3</v>
      </c>
      <c r="Z899" s="15">
        <v>5.44</v>
      </c>
      <c r="AA899" s="15" t="s">
        <v>573</v>
      </c>
      <c r="AB899" s="15">
        <f t="shared" si="781"/>
        <v>5.44</v>
      </c>
      <c r="AC899" s="1">
        <v>4</v>
      </c>
      <c r="AD899" s="15">
        <v>50.26</v>
      </c>
      <c r="AM899" s="1">
        <v>1</v>
      </c>
      <c r="AP899" s="15" t="s">
        <v>1978</v>
      </c>
      <c r="AQ899" s="1">
        <v>3</v>
      </c>
      <c r="AR899" s="1">
        <v>3</v>
      </c>
      <c r="BG899" s="15" t="s">
        <v>2008</v>
      </c>
      <c r="BI899" s="15">
        <f>452.4/1.74</f>
        <v>260</v>
      </c>
      <c r="BJ899" s="15">
        <v>28.42</v>
      </c>
      <c r="BK899" s="15">
        <v>10.210000000000001</v>
      </c>
      <c r="BL899" s="15">
        <v>20.350000000000001</v>
      </c>
      <c r="BP899" s="16"/>
      <c r="BQ899" s="16"/>
      <c r="BR899" s="16"/>
      <c r="BS899" s="15">
        <v>1200</v>
      </c>
      <c r="BT899" s="15">
        <f>BS899*15</f>
        <v>18000</v>
      </c>
      <c r="BU899" s="16" t="s">
        <v>766</v>
      </c>
      <c r="BY899" s="15">
        <f>BT899</f>
        <v>18000</v>
      </c>
      <c r="BZ899" s="15">
        <f>BY899/1.1/1000</f>
        <v>16.363636363636363</v>
      </c>
      <c r="CA899" s="15">
        <f>BY899*2</f>
        <v>36000</v>
      </c>
      <c r="EZ899" s="16"/>
      <c r="FA899" s="16"/>
      <c r="FB899" s="16"/>
      <c r="FC899" s="16"/>
      <c r="FD899" s="16"/>
      <c r="FE899" s="16"/>
      <c r="FF899" s="16"/>
      <c r="FG899" s="16"/>
      <c r="FH899" s="16"/>
      <c r="FI899" s="16"/>
      <c r="FJ899" s="16"/>
      <c r="FK899" s="16"/>
      <c r="FL899" s="16"/>
      <c r="HE899" s="15">
        <v>36060</v>
      </c>
      <c r="HF899" s="15">
        <f>HE899*0.1</f>
        <v>3606</v>
      </c>
      <c r="HG899" s="15">
        <f>HF899*SQRT(AR899)</f>
        <v>6245.775212093371</v>
      </c>
      <c r="HH899" s="15">
        <v>57080</v>
      </c>
      <c r="HI899" s="15">
        <f>HH899*0.1</f>
        <v>5708</v>
      </c>
      <c r="HJ899" s="15">
        <f>HI899*SQRT(AR899)</f>
        <v>9886.5460096031511</v>
      </c>
      <c r="HK899" s="15">
        <f t="shared" si="797"/>
        <v>1.5829173599556294</v>
      </c>
      <c r="HL899" s="15">
        <f t="shared" si="798"/>
        <v>21020</v>
      </c>
      <c r="HM899" s="15">
        <f t="shared" si="799"/>
        <v>0.45926957483346342</v>
      </c>
      <c r="HN899" s="15">
        <f>((HJ899*HJ899)/(AR899*HH899*HH899)+(HG899*HG899)/(AR899*HE899*HE899))</f>
        <v>1.9999999999999997E-2</v>
      </c>
      <c r="HP899" s="15" t="s">
        <v>766</v>
      </c>
      <c r="HV899" s="15">
        <f t="shared" si="800"/>
        <v>783.85336135218677</v>
      </c>
      <c r="HW899" s="15">
        <f t="shared" si="801"/>
        <v>0.45926957483346342</v>
      </c>
      <c r="HX899" s="15">
        <f>CA899</f>
        <v>36000</v>
      </c>
      <c r="HY899" s="15">
        <f>BY899</f>
        <v>18000</v>
      </c>
      <c r="HZ899" s="15">
        <f>BZ899</f>
        <v>16.363636363636363</v>
      </c>
      <c r="IA899" s="15">
        <f>CA899</f>
        <v>36000</v>
      </c>
    </row>
    <row r="900" spans="1:235" s="15" customFormat="1" x14ac:dyDescent="0.25">
      <c r="A900" s="31">
        <v>898</v>
      </c>
      <c r="B900" s="1">
        <v>142</v>
      </c>
      <c r="C900" s="1">
        <v>165</v>
      </c>
      <c r="D900" s="15" t="s">
        <v>2009</v>
      </c>
      <c r="E900" s="31">
        <v>2</v>
      </c>
      <c r="F900" s="15" t="s">
        <v>777</v>
      </c>
      <c r="G900" s="15" t="s">
        <v>2013</v>
      </c>
      <c r="H900" s="15" t="s">
        <v>930</v>
      </c>
      <c r="I900" s="1">
        <v>2021</v>
      </c>
      <c r="J900" s="15" t="s">
        <v>2014</v>
      </c>
      <c r="K900" s="1">
        <v>2019</v>
      </c>
      <c r="L900" s="15" t="s">
        <v>2015</v>
      </c>
      <c r="M900" s="15" t="s">
        <v>480</v>
      </c>
      <c r="N900" s="15" t="s">
        <v>23</v>
      </c>
      <c r="O900" s="31">
        <v>3</v>
      </c>
      <c r="P900" s="15">
        <v>35.35</v>
      </c>
      <c r="Q900" s="15">
        <v>105.51</v>
      </c>
      <c r="R900" s="15">
        <v>1550</v>
      </c>
      <c r="S900" s="15">
        <v>450.8</v>
      </c>
      <c r="T900" s="15">
        <v>7.1</v>
      </c>
      <c r="U900" s="15" t="s">
        <v>1893</v>
      </c>
      <c r="V900" s="31">
        <v>1</v>
      </c>
      <c r="W900" s="16" t="s">
        <v>1158</v>
      </c>
      <c r="X900" s="15" t="s">
        <v>1316</v>
      </c>
      <c r="Y900" s="1">
        <v>2</v>
      </c>
      <c r="Z900" s="15">
        <v>8.36</v>
      </c>
      <c r="AA900" s="15" t="s">
        <v>573</v>
      </c>
      <c r="AB900" s="15">
        <f t="shared" si="781"/>
        <v>8.36</v>
      </c>
      <c r="AC900" s="1">
        <v>3</v>
      </c>
      <c r="AD900" s="15">
        <v>8.82</v>
      </c>
      <c r="AM900" s="1">
        <v>3</v>
      </c>
      <c r="AP900" s="15" t="s">
        <v>1302</v>
      </c>
      <c r="AQ900" s="1">
        <v>8</v>
      </c>
      <c r="AR900" s="1">
        <v>3</v>
      </c>
      <c r="BP900" s="16"/>
      <c r="BQ900" s="16"/>
      <c r="BR900" s="16"/>
      <c r="BU900" s="16"/>
      <c r="CE900" s="15">
        <v>1.05</v>
      </c>
      <c r="CF900" s="15">
        <f>CE900*800</f>
        <v>840</v>
      </c>
      <c r="CG900" s="15" t="s">
        <v>766</v>
      </c>
      <c r="CH900" s="15">
        <v>7.5</v>
      </c>
      <c r="CK900" s="15">
        <f>510/1.78</f>
        <v>286.51685393258424</v>
      </c>
      <c r="CL900" s="15">
        <v>130</v>
      </c>
      <c r="CM900" s="15">
        <f>13*0.5</f>
        <v>6.5</v>
      </c>
      <c r="CO900" s="15">
        <f>13*0.8</f>
        <v>10.4</v>
      </c>
      <c r="CY900" s="25">
        <f>CF900</f>
        <v>840</v>
      </c>
      <c r="CZ900" s="25">
        <f>CY900/0.78/1000</f>
        <v>1.0769230769230769</v>
      </c>
      <c r="DA900" s="25">
        <f>CY900*3</f>
        <v>2520</v>
      </c>
      <c r="EZ900" s="16"/>
      <c r="FA900" s="16"/>
      <c r="FB900" s="16"/>
      <c r="FC900" s="16"/>
      <c r="FD900" s="16"/>
      <c r="FE900" s="16"/>
      <c r="FF900" s="16"/>
      <c r="FG900" s="16"/>
      <c r="FH900" s="16"/>
      <c r="FI900" s="16"/>
      <c r="FJ900" s="16"/>
      <c r="FK900" s="16"/>
      <c r="FL900" s="16"/>
      <c r="HE900" s="15">
        <v>16380</v>
      </c>
      <c r="HF900" s="15">
        <v>1590</v>
      </c>
      <c r="HG900" s="15">
        <f>HF900*SQRT(AR900)</f>
        <v>2753.9607840345147</v>
      </c>
      <c r="HH900" s="15">
        <v>16230</v>
      </c>
      <c r="HI900" s="15">
        <v>970</v>
      </c>
      <c r="HJ900" s="15">
        <f>HI900*SQRT(AR900)</f>
        <v>1680.0892833418109</v>
      </c>
      <c r="HK900" s="15">
        <f t="shared" si="797"/>
        <v>0.99084249084249088</v>
      </c>
      <c r="HL900" s="15">
        <f t="shared" si="798"/>
        <v>-150</v>
      </c>
      <c r="HM900" s="15">
        <f t="shared" si="799"/>
        <v>-9.1996968984240368E-3</v>
      </c>
      <c r="HN900" s="15">
        <f>((HJ900*HJ900)/(AR900*HH900*HH900)+(HG900*HG900)/(AR900*HE900*HE900))</f>
        <v>1.299446537583389E-2</v>
      </c>
      <c r="HP900" s="15" t="s">
        <v>766</v>
      </c>
      <c r="HV900" s="15">
        <f t="shared" si="800"/>
        <v>-2739.2206806636109</v>
      </c>
      <c r="HW900" s="15">
        <f t="shared" si="801"/>
        <v>-9.1996968984240368E-3</v>
      </c>
      <c r="HX900" s="25">
        <f>DA900</f>
        <v>2520</v>
      </c>
      <c r="HY900" s="25">
        <f>CY900</f>
        <v>840</v>
      </c>
      <c r="HZ900" s="25">
        <f>CZ900</f>
        <v>1.0769230769230769</v>
      </c>
      <c r="IA900" s="25">
        <f>DA900</f>
        <v>2520</v>
      </c>
    </row>
    <row r="901" spans="1:235" s="15" customFormat="1" x14ac:dyDescent="0.25">
      <c r="A901" s="31">
        <v>899</v>
      </c>
      <c r="B901" s="1">
        <v>142</v>
      </c>
      <c r="C901" s="1">
        <v>165</v>
      </c>
      <c r="D901" s="15" t="s">
        <v>2010</v>
      </c>
      <c r="E901" s="31">
        <v>2</v>
      </c>
      <c r="F901" s="15" t="s">
        <v>777</v>
      </c>
      <c r="G901" s="15" t="s">
        <v>2013</v>
      </c>
      <c r="H901" s="15" t="s">
        <v>930</v>
      </c>
      <c r="I901" s="1">
        <v>2021</v>
      </c>
      <c r="J901" s="15" t="s">
        <v>2014</v>
      </c>
      <c r="K901" s="1">
        <v>2019</v>
      </c>
      <c r="L901" s="15" t="s">
        <v>2015</v>
      </c>
      <c r="M901" s="15" t="s">
        <v>480</v>
      </c>
      <c r="N901" s="15" t="s">
        <v>23</v>
      </c>
      <c r="O901" s="31">
        <v>3</v>
      </c>
      <c r="P901" s="15">
        <v>35.35</v>
      </c>
      <c r="Q901" s="15">
        <v>105.51</v>
      </c>
      <c r="R901" s="15">
        <v>1550</v>
      </c>
      <c r="S901" s="15">
        <v>450.8</v>
      </c>
      <c r="T901" s="15">
        <v>7.1</v>
      </c>
      <c r="U901" s="15" t="s">
        <v>1893</v>
      </c>
      <c r="V901" s="31">
        <v>1</v>
      </c>
      <c r="W901" s="16" t="s">
        <v>1158</v>
      </c>
      <c r="X901" s="15" t="s">
        <v>1316</v>
      </c>
      <c r="Y901" s="1">
        <v>2</v>
      </c>
      <c r="Z901" s="15">
        <v>8.36</v>
      </c>
      <c r="AA901" s="15" t="s">
        <v>573</v>
      </c>
      <c r="AB901" s="15">
        <f t="shared" si="781"/>
        <v>8.36</v>
      </c>
      <c r="AC901" s="1">
        <v>3</v>
      </c>
      <c r="AD901" s="15">
        <v>8.82</v>
      </c>
      <c r="AM901" s="1">
        <v>3</v>
      </c>
      <c r="AP901" s="15" t="s">
        <v>1302</v>
      </c>
      <c r="AQ901" s="1">
        <v>8</v>
      </c>
      <c r="AR901" s="1">
        <v>3</v>
      </c>
      <c r="BP901" s="16"/>
      <c r="BQ901" s="16"/>
      <c r="BR901" s="16"/>
      <c r="BU901" s="16"/>
      <c r="CE901" s="15">
        <v>1.5</v>
      </c>
      <c r="CF901" s="15">
        <f>CE901*800</f>
        <v>1200</v>
      </c>
      <c r="CG901" s="15" t="s">
        <v>766</v>
      </c>
      <c r="CH901" s="15">
        <v>7.5</v>
      </c>
      <c r="CK901" s="15">
        <f>510/1.78</f>
        <v>286.51685393258424</v>
      </c>
      <c r="CL901" s="15">
        <v>130</v>
      </c>
      <c r="CM901" s="15">
        <f>13*0.5</f>
        <v>6.5</v>
      </c>
      <c r="CO901" s="15">
        <f>13*0.8</f>
        <v>10.4</v>
      </c>
      <c r="CY901" s="25">
        <f>CF901</f>
        <v>1200</v>
      </c>
      <c r="CZ901" s="25">
        <f>CY901/0.78/1000</f>
        <v>1.5384615384615383</v>
      </c>
      <c r="DA901" s="25">
        <f>CY901*3</f>
        <v>3600</v>
      </c>
      <c r="EZ901" s="16"/>
      <c r="FA901" s="16"/>
      <c r="FB901" s="16"/>
      <c r="FC901" s="16"/>
      <c r="FD901" s="16"/>
      <c r="FE901" s="16"/>
      <c r="FF901" s="16"/>
      <c r="FG901" s="16"/>
      <c r="FH901" s="16"/>
      <c r="FI901" s="16"/>
      <c r="FJ901" s="16"/>
      <c r="FK901" s="16"/>
      <c r="FL901" s="16"/>
      <c r="HE901" s="15">
        <v>16380</v>
      </c>
      <c r="HF901" s="15">
        <v>1590</v>
      </c>
      <c r="HG901" s="15">
        <f>HF901*SQRT(AR901)</f>
        <v>2753.9607840345147</v>
      </c>
      <c r="HH901" s="15">
        <v>22410</v>
      </c>
      <c r="HI901" s="15">
        <v>1360</v>
      </c>
      <c r="HJ901" s="15">
        <f>HI901*SQRT(AR901)</f>
        <v>2355.589098293673</v>
      </c>
      <c r="HK901" s="15">
        <f t="shared" si="797"/>
        <v>1.3681318681318682</v>
      </c>
      <c r="HL901" s="15">
        <f t="shared" si="798"/>
        <v>6030</v>
      </c>
      <c r="HM901" s="15">
        <f t="shared" si="799"/>
        <v>0.31344620938791223</v>
      </c>
      <c r="HN901" s="15">
        <f>((HJ901*HJ901)/(AR901*HH901*HH901)+(HG901*HG901)/(AR901*HE901*HE901))</f>
        <v>1.3105442095849492E-2</v>
      </c>
      <c r="HP901" s="15" t="s">
        <v>766</v>
      </c>
      <c r="HV901" s="15">
        <f t="shared" si="800"/>
        <v>114.85224233625173</v>
      </c>
      <c r="HW901" s="15">
        <f t="shared" si="801"/>
        <v>0.31344620938791223</v>
      </c>
      <c r="HX901" s="25">
        <f>DA901</f>
        <v>3600</v>
      </c>
      <c r="HY901" s="25">
        <f>CY901</f>
        <v>1200</v>
      </c>
      <c r="HZ901" s="25">
        <f>CZ901</f>
        <v>1.5384615384615383</v>
      </c>
      <c r="IA901" s="25">
        <f>DA901</f>
        <v>3600</v>
      </c>
    </row>
    <row r="902" spans="1:235" s="15" customFormat="1" x14ac:dyDescent="0.25">
      <c r="A902" s="31">
        <v>900</v>
      </c>
      <c r="B902" s="1">
        <v>142</v>
      </c>
      <c r="C902" s="1">
        <v>165</v>
      </c>
      <c r="D902" s="15" t="s">
        <v>2011</v>
      </c>
      <c r="E902" s="31">
        <v>2</v>
      </c>
      <c r="F902" s="15" t="s">
        <v>777</v>
      </c>
      <c r="G902" s="15" t="s">
        <v>2013</v>
      </c>
      <c r="H902" s="15" t="s">
        <v>930</v>
      </c>
      <c r="I902" s="1">
        <v>2021</v>
      </c>
      <c r="J902" s="15" t="s">
        <v>2014</v>
      </c>
      <c r="K902" s="1">
        <v>2019</v>
      </c>
      <c r="L902" s="15" t="s">
        <v>2015</v>
      </c>
      <c r="M902" s="15" t="s">
        <v>480</v>
      </c>
      <c r="N902" s="15" t="s">
        <v>23</v>
      </c>
      <c r="O902" s="31">
        <v>3</v>
      </c>
      <c r="P902" s="15">
        <v>35.35</v>
      </c>
      <c r="Q902" s="15">
        <v>105.51</v>
      </c>
      <c r="R902" s="15">
        <v>1550</v>
      </c>
      <c r="S902" s="15">
        <v>450.8</v>
      </c>
      <c r="T902" s="15">
        <v>7.1</v>
      </c>
      <c r="U902" s="15" t="s">
        <v>1893</v>
      </c>
      <c r="V902" s="31">
        <v>1</v>
      </c>
      <c r="W902" s="16" t="s">
        <v>1158</v>
      </c>
      <c r="X902" s="15" t="s">
        <v>1316</v>
      </c>
      <c r="Y902" s="1">
        <v>2</v>
      </c>
      <c r="Z902" s="15">
        <v>8.36</v>
      </c>
      <c r="AA902" s="15" t="s">
        <v>573</v>
      </c>
      <c r="AB902" s="15">
        <f t="shared" si="781"/>
        <v>8.36</v>
      </c>
      <c r="AC902" s="1">
        <v>3</v>
      </c>
      <c r="AD902" s="15">
        <v>8.82</v>
      </c>
      <c r="AM902" s="1">
        <v>3</v>
      </c>
      <c r="AP902" s="15" t="s">
        <v>1302</v>
      </c>
      <c r="AQ902" s="1">
        <v>8</v>
      </c>
      <c r="AR902" s="1">
        <v>3</v>
      </c>
      <c r="BP902" s="16"/>
      <c r="BQ902" s="16"/>
      <c r="BR902" s="16"/>
      <c r="BU902" s="16"/>
      <c r="CE902" s="15">
        <v>1.95</v>
      </c>
      <c r="CF902" s="15">
        <f>CE902*800</f>
        <v>1560</v>
      </c>
      <c r="CG902" s="15" t="s">
        <v>766</v>
      </c>
      <c r="CH902" s="15">
        <v>7.5</v>
      </c>
      <c r="CK902" s="15">
        <f>510/1.78</f>
        <v>286.51685393258424</v>
      </c>
      <c r="CL902" s="15">
        <v>130</v>
      </c>
      <c r="CM902" s="15">
        <f>13*0.5</f>
        <v>6.5</v>
      </c>
      <c r="CO902" s="15">
        <f>13*0.8</f>
        <v>10.4</v>
      </c>
      <c r="CY902" s="25">
        <f>CF902</f>
        <v>1560</v>
      </c>
      <c r="CZ902" s="25">
        <f>CY902/0.78/1000</f>
        <v>2</v>
      </c>
      <c r="DA902" s="25">
        <f>CY902*3</f>
        <v>4680</v>
      </c>
      <c r="EZ902" s="16"/>
      <c r="FA902" s="16"/>
      <c r="FB902" s="16"/>
      <c r="FC902" s="16"/>
      <c r="FD902" s="16"/>
      <c r="FE902" s="16"/>
      <c r="FF902" s="16"/>
      <c r="FG902" s="16"/>
      <c r="FH902" s="16"/>
      <c r="FI902" s="16"/>
      <c r="FJ902" s="16"/>
      <c r="FK902" s="16"/>
      <c r="FL902" s="16"/>
      <c r="HE902" s="15">
        <v>16380</v>
      </c>
      <c r="HF902" s="15">
        <v>1590</v>
      </c>
      <c r="HG902" s="15">
        <f>HF902*SQRT(AR902)</f>
        <v>2753.9607840345147</v>
      </c>
      <c r="HH902" s="15">
        <v>28620</v>
      </c>
      <c r="HI902" s="15">
        <v>2900</v>
      </c>
      <c r="HJ902" s="15">
        <f>HI902*SQRT(AR902)</f>
        <v>5022.9473419497435</v>
      </c>
      <c r="HK902" s="15">
        <f t="shared" si="797"/>
        <v>1.7472527472527473</v>
      </c>
      <c r="HL902" s="15">
        <f t="shared" si="798"/>
        <v>12240</v>
      </c>
      <c r="HM902" s="15">
        <f t="shared" si="799"/>
        <v>0.55804469570338178</v>
      </c>
      <c r="HN902" s="15">
        <f>((HJ902*HJ902)/(AR902*HH902*HH902)+(HG902*HG902)/(AR902*HE902*HE902))</f>
        <v>1.9689818143730956E-2</v>
      </c>
      <c r="HP902" s="15" t="s">
        <v>766</v>
      </c>
      <c r="HV902" s="15">
        <f t="shared" si="800"/>
        <v>83.864250230013241</v>
      </c>
      <c r="HW902" s="15">
        <f t="shared" si="801"/>
        <v>0.55804469570338178</v>
      </c>
      <c r="HX902" s="25">
        <f>DA902</f>
        <v>4680</v>
      </c>
      <c r="HY902" s="25">
        <f>CY902</f>
        <v>1560</v>
      </c>
      <c r="HZ902" s="25">
        <f>CZ902</f>
        <v>2</v>
      </c>
      <c r="IA902" s="25">
        <f>DA902</f>
        <v>4680</v>
      </c>
    </row>
    <row r="903" spans="1:235" s="15" customFormat="1" x14ac:dyDescent="0.25">
      <c r="A903" s="31">
        <v>901</v>
      </c>
      <c r="B903" s="1">
        <v>142</v>
      </c>
      <c r="C903" s="1">
        <v>165</v>
      </c>
      <c r="D903" s="15" t="s">
        <v>2012</v>
      </c>
      <c r="E903" s="31">
        <v>2</v>
      </c>
      <c r="F903" s="15" t="s">
        <v>777</v>
      </c>
      <c r="G903" s="15" t="s">
        <v>2013</v>
      </c>
      <c r="H903" s="15" t="s">
        <v>930</v>
      </c>
      <c r="I903" s="1">
        <v>2021</v>
      </c>
      <c r="J903" s="15" t="s">
        <v>2014</v>
      </c>
      <c r="K903" s="1">
        <v>2019</v>
      </c>
      <c r="L903" s="15" t="s">
        <v>2015</v>
      </c>
      <c r="M903" s="15" t="s">
        <v>480</v>
      </c>
      <c r="N903" s="15" t="s">
        <v>23</v>
      </c>
      <c r="O903" s="31">
        <v>3</v>
      </c>
      <c r="P903" s="15">
        <v>35.35</v>
      </c>
      <c r="Q903" s="15">
        <v>105.51</v>
      </c>
      <c r="R903" s="15">
        <v>1550</v>
      </c>
      <c r="S903" s="15">
        <v>450.8</v>
      </c>
      <c r="T903" s="15">
        <v>7.1</v>
      </c>
      <c r="U903" s="15" t="s">
        <v>1893</v>
      </c>
      <c r="V903" s="31">
        <v>1</v>
      </c>
      <c r="W903" s="16" t="s">
        <v>1158</v>
      </c>
      <c r="X903" s="15" t="s">
        <v>1316</v>
      </c>
      <c r="Y903" s="1">
        <v>2</v>
      </c>
      <c r="Z903" s="15">
        <v>8.36</v>
      </c>
      <c r="AA903" s="15" t="s">
        <v>573</v>
      </c>
      <c r="AB903" s="15">
        <f t="shared" si="781"/>
        <v>8.36</v>
      </c>
      <c r="AC903" s="1">
        <v>3</v>
      </c>
      <c r="AD903" s="15">
        <v>8.82</v>
      </c>
      <c r="AM903" s="1">
        <v>3</v>
      </c>
      <c r="AP903" s="15" t="s">
        <v>1302</v>
      </c>
      <c r="AQ903" s="1">
        <v>8</v>
      </c>
      <c r="AR903" s="1">
        <v>3</v>
      </c>
      <c r="BP903" s="16"/>
      <c r="BQ903" s="16"/>
      <c r="BR903" s="16"/>
      <c r="BU903" s="16"/>
      <c r="CE903" s="15">
        <v>2.4</v>
      </c>
      <c r="CF903" s="15">
        <f>CE903*800</f>
        <v>1920</v>
      </c>
      <c r="CG903" s="15" t="s">
        <v>766</v>
      </c>
      <c r="CH903" s="15">
        <v>7.5</v>
      </c>
      <c r="CK903" s="15">
        <f>510/1.78</f>
        <v>286.51685393258424</v>
      </c>
      <c r="CL903" s="15">
        <v>130</v>
      </c>
      <c r="CM903" s="15">
        <f>13*0.5</f>
        <v>6.5</v>
      </c>
      <c r="CO903" s="15">
        <f>13*0.8</f>
        <v>10.4</v>
      </c>
      <c r="CY903" s="25">
        <f>CF903</f>
        <v>1920</v>
      </c>
      <c r="CZ903" s="25">
        <f>CY903/0.78/1000</f>
        <v>2.4615384615384612</v>
      </c>
      <c r="DA903" s="25">
        <f>CY903*3</f>
        <v>5760</v>
      </c>
      <c r="EZ903" s="16"/>
      <c r="FA903" s="16"/>
      <c r="FB903" s="16"/>
      <c r="FC903" s="16"/>
      <c r="FD903" s="16"/>
      <c r="FE903" s="16"/>
      <c r="FF903" s="16"/>
      <c r="FG903" s="16"/>
      <c r="FH903" s="16"/>
      <c r="FI903" s="16"/>
      <c r="FJ903" s="16"/>
      <c r="FK903" s="16"/>
      <c r="FL903" s="16"/>
      <c r="HE903" s="15">
        <v>16380</v>
      </c>
      <c r="HF903" s="15">
        <v>1590</v>
      </c>
      <c r="HG903" s="15">
        <f>HF903*SQRT(AR903)</f>
        <v>2753.9607840345147</v>
      </c>
      <c r="HH903" s="15">
        <v>21660</v>
      </c>
      <c r="HI903" s="15">
        <v>1360</v>
      </c>
      <c r="HJ903" s="15">
        <f>HI903*SQRT(AR903)</f>
        <v>2355.589098293673</v>
      </c>
      <c r="HK903" s="15">
        <f t="shared" si="797"/>
        <v>1.3223443223443223</v>
      </c>
      <c r="HL903" s="15">
        <f t="shared" si="798"/>
        <v>5280</v>
      </c>
      <c r="HM903" s="15">
        <f t="shared" si="799"/>
        <v>0.27940616314792166</v>
      </c>
      <c r="HN903" s="15">
        <f>((HJ903*HJ903)/(AR903*HH903*HH903)+(HG903*HG903)/(AR903*HE903*HE903))</f>
        <v>1.3364908726939977E-2</v>
      </c>
      <c r="HP903" s="15" t="s">
        <v>766</v>
      </c>
      <c r="HV903" s="15">
        <f t="shared" si="800"/>
        <v>206.15150128061322</v>
      </c>
      <c r="HW903" s="15">
        <f t="shared" si="801"/>
        <v>0.27940616314792166</v>
      </c>
      <c r="HX903" s="25">
        <f>DA903</f>
        <v>5760</v>
      </c>
      <c r="HY903" s="25">
        <f>CY903</f>
        <v>1920</v>
      </c>
      <c r="HZ903" s="25">
        <f>CZ903</f>
        <v>2.4615384615384612</v>
      </c>
      <c r="IA903" s="25">
        <f>DA903</f>
        <v>5760</v>
      </c>
    </row>
    <row r="904" spans="1:235" s="15" customFormat="1" x14ac:dyDescent="0.25">
      <c r="A904" s="31">
        <v>902</v>
      </c>
      <c r="B904" s="1">
        <v>143</v>
      </c>
      <c r="C904" s="1">
        <v>166</v>
      </c>
      <c r="D904" s="15" t="s">
        <v>2019</v>
      </c>
      <c r="E904" s="31">
        <v>2</v>
      </c>
      <c r="F904" s="15" t="s">
        <v>777</v>
      </c>
      <c r="G904" s="15" t="s">
        <v>2424</v>
      </c>
      <c r="H904" s="15" t="s">
        <v>2425</v>
      </c>
      <c r="I904" s="1">
        <v>2018</v>
      </c>
      <c r="J904" s="15" t="s">
        <v>2426</v>
      </c>
      <c r="K904" s="1" t="s">
        <v>1763</v>
      </c>
      <c r="L904" s="15" t="s">
        <v>1578</v>
      </c>
      <c r="M904" s="15" t="s">
        <v>480</v>
      </c>
      <c r="N904" s="15" t="s">
        <v>23</v>
      </c>
      <c r="O904" s="31">
        <v>3</v>
      </c>
      <c r="P904" s="15">
        <v>35.71</v>
      </c>
      <c r="Q904" s="15">
        <v>117.94</v>
      </c>
      <c r="R904" s="15" t="s">
        <v>532</v>
      </c>
      <c r="S904" s="15">
        <v>800</v>
      </c>
      <c r="T904" s="15">
        <v>14</v>
      </c>
      <c r="U904" s="15" t="s">
        <v>1893</v>
      </c>
      <c r="V904" s="31">
        <v>1</v>
      </c>
      <c r="W904" s="16" t="s">
        <v>1158</v>
      </c>
      <c r="X904" s="15" t="s">
        <v>1316</v>
      </c>
      <c r="Y904" s="1">
        <v>2</v>
      </c>
      <c r="Z904" s="15">
        <v>7.6</v>
      </c>
      <c r="AA904" s="15" t="s">
        <v>573</v>
      </c>
      <c r="AB904" s="15">
        <f t="shared" si="781"/>
        <v>7.6</v>
      </c>
      <c r="AC904" s="1">
        <v>6</v>
      </c>
      <c r="AD904" s="15">
        <v>37.799999999999997</v>
      </c>
      <c r="AM904" s="1">
        <v>3</v>
      </c>
      <c r="AP904" s="15" t="s">
        <v>2427</v>
      </c>
      <c r="AQ904" s="1">
        <v>2</v>
      </c>
      <c r="AR904" s="1">
        <v>4</v>
      </c>
      <c r="BP904" s="16"/>
      <c r="BQ904" s="16"/>
      <c r="BR904" s="16"/>
      <c r="BU904" s="16"/>
      <c r="CE904" s="15">
        <v>5</v>
      </c>
      <c r="CF904" s="15">
        <f>CE904*800</f>
        <v>4000</v>
      </c>
      <c r="CG904" s="15" t="s">
        <v>766</v>
      </c>
      <c r="CH904" s="15">
        <v>9.32</v>
      </c>
      <c r="CK904" s="15">
        <v>546.15</v>
      </c>
      <c r="CL904" s="15">
        <v>13.45</v>
      </c>
      <c r="CY904" s="25">
        <f>CF904</f>
        <v>4000</v>
      </c>
      <c r="CZ904" s="25">
        <f>CY904/0.78/1000</f>
        <v>5.1282051282051277</v>
      </c>
      <c r="DA904" s="25">
        <f>CY904*3</f>
        <v>12000</v>
      </c>
      <c r="EZ904" s="16"/>
      <c r="FA904" s="16"/>
      <c r="FB904" s="16"/>
      <c r="FC904" s="16"/>
      <c r="FD904" s="16"/>
      <c r="FE904" s="16"/>
      <c r="FF904" s="16"/>
      <c r="FG904" s="16"/>
      <c r="FH904" s="16"/>
      <c r="FI904" s="16"/>
      <c r="FJ904" s="16"/>
      <c r="FK904" s="16"/>
      <c r="FL904" s="16"/>
      <c r="HE904" s="15">
        <f>3049*15</f>
        <v>45735</v>
      </c>
      <c r="HF904" s="15">
        <f>HE904*0.05</f>
        <v>2286.75</v>
      </c>
      <c r="HG904" s="15">
        <f>HF904*SQRT(AR904)</f>
        <v>4573.5</v>
      </c>
      <c r="HH904" s="15">
        <f>3917*15</f>
        <v>58755</v>
      </c>
      <c r="HI904" s="15">
        <f>HH904*0.05</f>
        <v>2937.75</v>
      </c>
      <c r="HJ904" s="15">
        <f>HI904*SQRT(AR904)</f>
        <v>5875.5</v>
      </c>
      <c r="HK904" s="15">
        <f t="shared" si="797"/>
        <v>1.2846835027877992</v>
      </c>
      <c r="HL904" s="15">
        <f t="shared" si="798"/>
        <v>13020</v>
      </c>
      <c r="HM904" s="15">
        <f t="shared" si="799"/>
        <v>0.2505123866775758</v>
      </c>
      <c r="HN904" s="15">
        <f>((HJ904*HJ904)/(AR904*HH904*HH904)+(HG904*HG904)/(AR904*HE904*HE904))</f>
        <v>5.0000000000000001E-3</v>
      </c>
      <c r="HP904" s="15" t="s">
        <v>766</v>
      </c>
      <c r="HV904" s="15">
        <f t="shared" si="800"/>
        <v>479.01822976301395</v>
      </c>
      <c r="HW904" s="15">
        <f t="shared" si="801"/>
        <v>0.2505123866775758</v>
      </c>
      <c r="HX904" s="25">
        <f>DA904</f>
        <v>12000</v>
      </c>
      <c r="HY904" s="25">
        <f>CY904</f>
        <v>4000</v>
      </c>
      <c r="HZ904" s="25">
        <f>CZ904</f>
        <v>5.1282051282051277</v>
      </c>
      <c r="IA904" s="25">
        <f>DA904</f>
        <v>12000</v>
      </c>
    </row>
    <row r="905" spans="1:235" s="15" customFormat="1" x14ac:dyDescent="0.25">
      <c r="A905" s="31">
        <v>903</v>
      </c>
      <c r="B905" s="1">
        <v>144</v>
      </c>
      <c r="C905" s="1">
        <v>167</v>
      </c>
      <c r="D905" s="15" t="s">
        <v>2020</v>
      </c>
      <c r="E905" s="31">
        <v>4</v>
      </c>
      <c r="F905" s="15" t="s">
        <v>879</v>
      </c>
      <c r="G905" s="15" t="s">
        <v>2022</v>
      </c>
      <c r="H905" s="15" t="s">
        <v>818</v>
      </c>
      <c r="I905" s="1">
        <v>2021</v>
      </c>
      <c r="J905" s="15" t="s">
        <v>2023</v>
      </c>
      <c r="K905" s="1" t="s">
        <v>2024</v>
      </c>
      <c r="L905" s="15" t="s">
        <v>2025</v>
      </c>
      <c r="M905" s="15" t="s">
        <v>480</v>
      </c>
      <c r="N905" s="15" t="s">
        <v>23</v>
      </c>
      <c r="O905" s="31">
        <v>2</v>
      </c>
      <c r="P905" s="15">
        <v>22.18</v>
      </c>
      <c r="Q905" s="15">
        <v>100.34</v>
      </c>
      <c r="R905" s="15">
        <v>1100</v>
      </c>
      <c r="S905" s="15">
        <v>1341</v>
      </c>
      <c r="T905" s="15">
        <v>18.5</v>
      </c>
      <c r="U905" s="15" t="s">
        <v>1893</v>
      </c>
      <c r="V905" s="31">
        <v>1</v>
      </c>
      <c r="W905" s="16" t="s">
        <v>1158</v>
      </c>
      <c r="X905" s="15" t="s">
        <v>924</v>
      </c>
      <c r="Y905" s="1">
        <v>7</v>
      </c>
      <c r="Z905" s="15">
        <v>4.1100000000000003</v>
      </c>
      <c r="AA905" s="15" t="s">
        <v>573</v>
      </c>
      <c r="AB905" s="15">
        <f t="shared" si="781"/>
        <v>4.1100000000000003</v>
      </c>
      <c r="AC905" s="1">
        <v>1</v>
      </c>
      <c r="AD905" s="15">
        <v>55.11</v>
      </c>
      <c r="AM905" s="1">
        <v>2</v>
      </c>
      <c r="AP905" s="15" t="s">
        <v>1968</v>
      </c>
      <c r="AQ905" s="1">
        <v>1</v>
      </c>
      <c r="AR905" s="1">
        <v>3</v>
      </c>
      <c r="BP905" s="16"/>
      <c r="BQ905" s="16"/>
      <c r="BR905" s="16"/>
      <c r="BS905" s="15">
        <v>3000</v>
      </c>
      <c r="BT905" s="15">
        <v>3000</v>
      </c>
      <c r="BU905" s="16" t="s">
        <v>766</v>
      </c>
      <c r="BY905" s="15">
        <f>BT905</f>
        <v>3000</v>
      </c>
      <c r="BZ905" s="15">
        <f>BY905/1.1/1000</f>
        <v>2.7272727272727271</v>
      </c>
      <c r="CA905" s="15">
        <f>BY905*2</f>
        <v>6000</v>
      </c>
      <c r="EZ905" s="16"/>
      <c r="FA905" s="16"/>
      <c r="FB905" s="16"/>
      <c r="FC905" s="16"/>
      <c r="FD905" s="16"/>
      <c r="FE905" s="16"/>
      <c r="FF905" s="16"/>
      <c r="FG905" s="16"/>
      <c r="FH905" s="16"/>
      <c r="FI905" s="16"/>
      <c r="FJ905" s="16"/>
      <c r="FK905" s="16"/>
      <c r="FL905" s="16"/>
      <c r="HE905" s="15">
        <v>190.88</v>
      </c>
      <c r="HF905" s="15">
        <v>10.93</v>
      </c>
      <c r="HG905" s="15">
        <f>HF905*SQRT(AR905)</f>
        <v>18.931315326727827</v>
      </c>
      <c r="HH905" s="15">
        <v>193.17</v>
      </c>
      <c r="HI905" s="15">
        <v>10.73</v>
      </c>
      <c r="HJ905" s="15">
        <f>HI905*SQRT(AR905)</f>
        <v>18.584905165214053</v>
      </c>
      <c r="HK905" s="15">
        <f t="shared" si="797"/>
        <v>1.0119970662196143</v>
      </c>
      <c r="HL905" s="15">
        <f t="shared" si="798"/>
        <v>2.289999999999992</v>
      </c>
      <c r="HM905" s="15">
        <f t="shared" si="799"/>
        <v>1.1925671868596055E-2</v>
      </c>
      <c r="HN905" s="15">
        <f>((HJ905*HJ905)/(AR905*HH905*HH905)+(HG905*HG905)/(AR905*HE905*HE905))</f>
        <v>6.3642954755888572E-3</v>
      </c>
      <c r="HP905" s="15" t="s">
        <v>766</v>
      </c>
      <c r="HX905" s="25"/>
      <c r="HY905" s="15">
        <f>BY905</f>
        <v>3000</v>
      </c>
      <c r="HZ905" s="15">
        <f>BZ905</f>
        <v>2.7272727272727271</v>
      </c>
      <c r="IA905" s="15">
        <f>CA905</f>
        <v>6000</v>
      </c>
    </row>
    <row r="906" spans="1:235" s="15" customFormat="1" x14ac:dyDescent="0.25">
      <c r="A906" s="31">
        <v>904</v>
      </c>
      <c r="B906" s="1">
        <v>144</v>
      </c>
      <c r="C906" s="1">
        <v>167</v>
      </c>
      <c r="D906" s="15" t="s">
        <v>2021</v>
      </c>
      <c r="E906" s="31">
        <v>4</v>
      </c>
      <c r="F906" s="15" t="s">
        <v>879</v>
      </c>
      <c r="G906" s="15" t="s">
        <v>2022</v>
      </c>
      <c r="H906" s="15" t="s">
        <v>818</v>
      </c>
      <c r="I906" s="1">
        <v>2021</v>
      </c>
      <c r="J906" s="15" t="s">
        <v>2023</v>
      </c>
      <c r="K906" s="1" t="s">
        <v>2024</v>
      </c>
      <c r="L906" s="15" t="s">
        <v>2025</v>
      </c>
      <c r="M906" s="15" t="s">
        <v>480</v>
      </c>
      <c r="N906" s="15" t="s">
        <v>23</v>
      </c>
      <c r="O906" s="31">
        <v>2</v>
      </c>
      <c r="P906" s="15">
        <v>22.18</v>
      </c>
      <c r="Q906" s="15">
        <v>100.34</v>
      </c>
      <c r="R906" s="15">
        <v>1100</v>
      </c>
      <c r="S906" s="15">
        <v>1341</v>
      </c>
      <c r="T906" s="15">
        <v>18.5</v>
      </c>
      <c r="U906" s="15" t="s">
        <v>1893</v>
      </c>
      <c r="V906" s="31">
        <v>1</v>
      </c>
      <c r="W906" s="16" t="s">
        <v>1158</v>
      </c>
      <c r="X906" s="15" t="s">
        <v>924</v>
      </c>
      <c r="Y906" s="1">
        <v>7</v>
      </c>
      <c r="Z906" s="15">
        <v>4.1100000000000003</v>
      </c>
      <c r="AA906" s="15" t="s">
        <v>573</v>
      </c>
      <c r="AB906" s="15">
        <f t="shared" si="781"/>
        <v>4.1100000000000003</v>
      </c>
      <c r="AC906" s="1">
        <v>1</v>
      </c>
      <c r="AD906" s="15">
        <v>55.11</v>
      </c>
      <c r="AM906" s="1">
        <v>2</v>
      </c>
      <c r="AP906" s="15" t="s">
        <v>1968</v>
      </c>
      <c r="AQ906" s="1">
        <v>1</v>
      </c>
      <c r="AR906" s="1">
        <v>3</v>
      </c>
      <c r="BP906" s="16"/>
      <c r="BQ906" s="16"/>
      <c r="BR906" s="16"/>
      <c r="BS906" s="15">
        <v>3000</v>
      </c>
      <c r="BT906" s="15">
        <v>3000</v>
      </c>
      <c r="BU906" s="16" t="s">
        <v>766</v>
      </c>
      <c r="BY906" s="15">
        <f>BT906</f>
        <v>3000</v>
      </c>
      <c r="BZ906" s="15">
        <f>BY906/1.1/1000</f>
        <v>2.7272727272727271</v>
      </c>
      <c r="CA906" s="15">
        <f>BY906*2</f>
        <v>6000</v>
      </c>
      <c r="EZ906" s="16"/>
      <c r="FA906" s="16"/>
      <c r="FB906" s="16"/>
      <c r="FC906" s="16"/>
      <c r="FD906" s="16"/>
      <c r="FE906" s="16"/>
      <c r="FF906" s="16"/>
      <c r="FG906" s="16"/>
      <c r="FH906" s="16"/>
      <c r="FI906" s="16"/>
      <c r="FJ906" s="16"/>
      <c r="FK906" s="16"/>
      <c r="FL906" s="16"/>
      <c r="HE906" s="15">
        <v>211.23</v>
      </c>
      <c r="HF906" s="15">
        <v>7.07</v>
      </c>
      <c r="HG906" s="15">
        <f>HF906*SQRT(AR906)</f>
        <v>12.245599209511962</v>
      </c>
      <c r="HH906" s="15">
        <v>224.06</v>
      </c>
      <c r="HI906" s="15">
        <v>8.31</v>
      </c>
      <c r="HJ906" s="15">
        <f>HI906*SQRT(AR906)</f>
        <v>14.393342210897371</v>
      </c>
      <c r="HK906" s="15">
        <f t="shared" si="797"/>
        <v>1.0607394782938031</v>
      </c>
      <c r="HL906" s="15">
        <f t="shared" si="798"/>
        <v>12.830000000000013</v>
      </c>
      <c r="HM906" s="15">
        <f t="shared" si="799"/>
        <v>5.8966285931425055E-2</v>
      </c>
      <c r="HN906" s="15">
        <f>((HJ906*HJ906)/(AR906*HH906*HH906)+(HG906*HG906)/(AR906*HE906*HE906))</f>
        <v>2.4958232080540136E-3</v>
      </c>
      <c r="HP906" s="15" t="s">
        <v>766</v>
      </c>
      <c r="HX906" s="25"/>
      <c r="HY906" s="15">
        <f>BY906</f>
        <v>3000</v>
      </c>
      <c r="HZ906" s="15">
        <f>BZ906</f>
        <v>2.7272727272727271</v>
      </c>
      <c r="IA906" s="15">
        <f>CA906</f>
        <v>6000</v>
      </c>
    </row>
    <row r="907" spans="1:235" s="15" customFormat="1" x14ac:dyDescent="0.25">
      <c r="A907" s="31">
        <v>905</v>
      </c>
      <c r="B907" s="1">
        <v>145</v>
      </c>
      <c r="C907" s="1">
        <v>168</v>
      </c>
      <c r="D907" s="15" t="s">
        <v>2027</v>
      </c>
      <c r="E907" s="1">
        <v>3</v>
      </c>
      <c r="F907" s="15" t="s">
        <v>2034</v>
      </c>
      <c r="G907" s="15" t="s">
        <v>2041</v>
      </c>
      <c r="H907" s="15" t="s">
        <v>921</v>
      </c>
      <c r="I907" s="1">
        <v>2010</v>
      </c>
      <c r="J907" s="15" t="s">
        <v>2042</v>
      </c>
      <c r="K907" s="1">
        <v>2009</v>
      </c>
      <c r="L907" s="15" t="s">
        <v>695</v>
      </c>
      <c r="M907" s="15" t="s">
        <v>480</v>
      </c>
      <c r="N907" s="15" t="s">
        <v>23</v>
      </c>
      <c r="O907" s="31">
        <v>2</v>
      </c>
      <c r="P907" s="15">
        <v>23.14</v>
      </c>
      <c r="Q907" s="15">
        <v>113.35</v>
      </c>
      <c r="S907" s="15">
        <v>1623</v>
      </c>
      <c r="T907" s="15">
        <v>21.5</v>
      </c>
      <c r="U907" s="15" t="s">
        <v>807</v>
      </c>
      <c r="V907" s="31">
        <v>2</v>
      </c>
      <c r="W907" s="16" t="s">
        <v>1149</v>
      </c>
      <c r="X907" s="15" t="s">
        <v>913</v>
      </c>
      <c r="Y907" s="1">
        <v>3</v>
      </c>
      <c r="Z907" s="15">
        <v>4.1100000000000003</v>
      </c>
      <c r="AA907" s="15" t="s">
        <v>573</v>
      </c>
      <c r="AB907" s="15">
        <f t="shared" si="781"/>
        <v>4.1100000000000003</v>
      </c>
      <c r="AC907" s="1">
        <v>1</v>
      </c>
      <c r="AD907" s="15">
        <v>14.2</v>
      </c>
      <c r="AM907" s="1"/>
      <c r="AP907" s="15" t="s">
        <v>1978</v>
      </c>
      <c r="AQ907" s="1">
        <v>3</v>
      </c>
      <c r="AR907" s="1">
        <v>4</v>
      </c>
      <c r="BP907" s="16"/>
      <c r="BQ907" s="16"/>
      <c r="BR907" s="16"/>
      <c r="BU907" s="16"/>
      <c r="DV907" s="15">
        <v>9.07</v>
      </c>
      <c r="DW907" s="15" t="s">
        <v>2043</v>
      </c>
      <c r="DX907" s="15">
        <v>10</v>
      </c>
      <c r="DY907" s="15">
        <f t="shared" ref="DY907:DY913" si="802">DX907*2250</f>
        <v>22500</v>
      </c>
      <c r="DZ907" s="15" t="s">
        <v>766</v>
      </c>
      <c r="EB907" s="15">
        <v>0.1</v>
      </c>
      <c r="EJ907" s="15">
        <v>157</v>
      </c>
      <c r="EK907" s="15">
        <v>1.07</v>
      </c>
      <c r="EL907" s="15">
        <v>281</v>
      </c>
      <c r="EM907" s="15">
        <v>37.43</v>
      </c>
      <c r="EN907" s="15">
        <v>25.01</v>
      </c>
      <c r="ES907" s="15">
        <f t="shared" ref="ES907:ES913" si="803">DY907</f>
        <v>22500</v>
      </c>
      <c r="ET907" s="15">
        <f t="shared" ref="ET907:ET913" si="804">ES907/2.25/1000</f>
        <v>10</v>
      </c>
      <c r="EU907" s="15">
        <f t="shared" ref="EU907:EU913" si="805">ES907*0.55</f>
        <v>12375.000000000002</v>
      </c>
      <c r="EZ907" s="16"/>
      <c r="FA907" s="16"/>
      <c r="FB907" s="16"/>
      <c r="FC907" s="16"/>
      <c r="FD907" s="16"/>
      <c r="FE907" s="16"/>
      <c r="FF907" s="16"/>
      <c r="FG907" s="16"/>
      <c r="FH907" s="16"/>
      <c r="FI907" s="16"/>
      <c r="FJ907" s="16"/>
      <c r="FK907" s="16">
        <f t="shared" ref="FK907:FK913" si="806">FM907</f>
        <v>4.09</v>
      </c>
      <c r="FL907" s="16">
        <f t="shared" ref="FL907:FL913" si="807">FP907</f>
        <v>5.81</v>
      </c>
      <c r="FM907" s="15">
        <v>4.09</v>
      </c>
      <c r="FN907" s="15">
        <f t="shared" ref="FN907:FN913" si="808">FM907*0.01</f>
        <v>4.0899999999999999E-2</v>
      </c>
      <c r="FO907" s="15">
        <f>FN907*SQRT(AR907)</f>
        <v>8.1799999999999998E-2</v>
      </c>
      <c r="FP907" s="15">
        <v>5.81</v>
      </c>
      <c r="FQ907" s="15">
        <f t="shared" ref="FQ907:FQ913" si="809">FP907*0.01</f>
        <v>5.8099999999999999E-2</v>
      </c>
      <c r="FR907" s="15">
        <f>FQ907*SQRT(AR907)</f>
        <v>0.1162</v>
      </c>
      <c r="FS907" s="15">
        <f t="shared" ref="FS907:FS913" si="810">FP907/FM907</f>
        <v>1.4205378973105134</v>
      </c>
      <c r="FT907" s="15">
        <f t="shared" ref="FT907:FT913" si="811">FP907-FM907</f>
        <v>1.7199999999999998</v>
      </c>
      <c r="FU907" s="15">
        <f t="shared" ref="FU907:FU913" si="812">LN(FP907)-LN(FM907)</f>
        <v>0.35103560080910934</v>
      </c>
      <c r="FV907" s="15">
        <f>((FR907*FR907)/(AR907*FP907*FP907)+(FO907*FO907)/(AR907*FM907*FM907))</f>
        <v>2.0000000000000001E-4</v>
      </c>
      <c r="FX907" s="15">
        <v>14.2</v>
      </c>
      <c r="FY907" s="15">
        <f t="shared" ref="FY907:FY913" si="813">FX907*0.01</f>
        <v>0.14199999999999999</v>
      </c>
      <c r="FZ907" s="15">
        <f>FY907*SQRT(AR907)</f>
        <v>0.28399999999999997</v>
      </c>
      <c r="GA907" s="15">
        <v>15</v>
      </c>
      <c r="GB907" s="15">
        <f t="shared" ref="GB907:GB913" si="814">GA907*0.01</f>
        <v>0.15</v>
      </c>
      <c r="GC907" s="15">
        <f>GB907*SQRT(AR907)</f>
        <v>0.3</v>
      </c>
      <c r="GD907" s="15">
        <f t="shared" ref="GD907:GD913" si="815">GA907/FX907</f>
        <v>1.0563380281690142</v>
      </c>
      <c r="GE907" s="15">
        <f t="shared" ref="GE907:GE913" si="816">GA907-FX907</f>
        <v>0.80000000000000071</v>
      </c>
      <c r="GF907" s="15">
        <f t="shared" ref="GF907:GF913" si="817">LN(GA907)-LN(FX907)</f>
        <v>5.4808236494995111E-2</v>
      </c>
      <c r="GG907" s="15">
        <f>((GC907*GC907)/(AR907*GA907*GA907)+(FZ907*FZ907)/(AR907*FX907*FX907))</f>
        <v>1.9999999999999998E-4</v>
      </c>
      <c r="HE907" s="15">
        <v>213.9</v>
      </c>
      <c r="HF907" s="15">
        <f t="shared" ref="HF907:HF913" si="818">HE907*0.01</f>
        <v>2.1390000000000002</v>
      </c>
      <c r="HG907" s="15">
        <f>HF907*SQRT(AR907)</f>
        <v>4.2780000000000005</v>
      </c>
      <c r="HH907" s="15">
        <v>241.6</v>
      </c>
      <c r="HI907" s="15">
        <f t="shared" ref="HI907:HI913" si="819">HH907*0.01</f>
        <v>2.4159999999999999</v>
      </c>
      <c r="HJ907" s="15">
        <f>HI907*SQRT(AR907)</f>
        <v>4.8319999999999999</v>
      </c>
      <c r="HK907" s="15">
        <f t="shared" si="797"/>
        <v>1.1294997662459092</v>
      </c>
      <c r="HL907" s="15">
        <f t="shared" si="798"/>
        <v>27.699999999999989</v>
      </c>
      <c r="HM907" s="15">
        <f t="shared" si="799"/>
        <v>0.12177484997229993</v>
      </c>
      <c r="HN907" s="15">
        <f>((HJ907*HJ907)/(AR907*HH907*HH907)+(HG907*HG907)/(AR907*HE907*HE907))</f>
        <v>2.0000000000000001E-4</v>
      </c>
      <c r="HP907" s="15" t="s">
        <v>1186</v>
      </c>
      <c r="HV907" s="15">
        <f t="shared" ref="HV907:HV920" si="820">HX907/HW907/100</f>
        <v>1016.2196876296656</v>
      </c>
      <c r="HW907" s="15">
        <f t="shared" ref="HW907:HW920" si="821">HM907</f>
        <v>0.12177484997229993</v>
      </c>
      <c r="HX907" s="15">
        <f t="shared" ref="HX907:HX913" si="822">EU907</f>
        <v>12375.000000000002</v>
      </c>
      <c r="HY907" s="15">
        <f t="shared" ref="HY907:IA913" si="823">ES907</f>
        <v>22500</v>
      </c>
      <c r="HZ907" s="15">
        <f t="shared" si="823"/>
        <v>10</v>
      </c>
      <c r="IA907" s="15">
        <f t="shared" si="823"/>
        <v>12375.000000000002</v>
      </c>
    </row>
    <row r="908" spans="1:235" s="15" customFormat="1" x14ac:dyDescent="0.25">
      <c r="A908" s="31">
        <v>906</v>
      </c>
      <c r="B908" s="1">
        <v>145</v>
      </c>
      <c r="C908" s="1">
        <v>168</v>
      </c>
      <c r="D908" s="15" t="s">
        <v>2028</v>
      </c>
      <c r="E908" s="1">
        <v>3</v>
      </c>
      <c r="F908" s="15" t="s">
        <v>2035</v>
      </c>
      <c r="G908" s="15" t="s">
        <v>2026</v>
      </c>
      <c r="H908" s="15" t="s">
        <v>921</v>
      </c>
      <c r="I908" s="1">
        <v>2010</v>
      </c>
      <c r="J908" s="15" t="s">
        <v>2042</v>
      </c>
      <c r="K908" s="1">
        <v>2009</v>
      </c>
      <c r="L908" s="15" t="s">
        <v>695</v>
      </c>
      <c r="M908" s="15" t="s">
        <v>480</v>
      </c>
      <c r="N908" s="15" t="s">
        <v>23</v>
      </c>
      <c r="O908" s="31">
        <v>2</v>
      </c>
      <c r="P908" s="15">
        <v>23.14</v>
      </c>
      <c r="Q908" s="15">
        <v>113.35</v>
      </c>
      <c r="S908" s="15">
        <v>1623</v>
      </c>
      <c r="T908" s="15">
        <v>21.5</v>
      </c>
      <c r="U908" s="15" t="s">
        <v>807</v>
      </c>
      <c r="V908" s="31">
        <v>2</v>
      </c>
      <c r="W908" s="16" t="s">
        <v>1149</v>
      </c>
      <c r="X908" s="15" t="s">
        <v>913</v>
      </c>
      <c r="Y908" s="1">
        <v>3</v>
      </c>
      <c r="Z908" s="15">
        <v>4.1100000000000003</v>
      </c>
      <c r="AA908" s="15" t="s">
        <v>573</v>
      </c>
      <c r="AB908" s="15">
        <f t="shared" si="781"/>
        <v>4.1100000000000003</v>
      </c>
      <c r="AC908" s="1">
        <v>1</v>
      </c>
      <c r="AD908" s="15">
        <v>14.2</v>
      </c>
      <c r="AM908" s="1"/>
      <c r="AP908" s="15" t="s">
        <v>1978</v>
      </c>
      <c r="AQ908" s="1">
        <v>3</v>
      </c>
      <c r="AR908" s="1">
        <v>4</v>
      </c>
      <c r="BP908" s="16"/>
      <c r="BQ908" s="16"/>
      <c r="BR908" s="16"/>
      <c r="BU908" s="16"/>
      <c r="DV908" s="15">
        <v>6.52</v>
      </c>
      <c r="DW908" s="15" t="s">
        <v>2044</v>
      </c>
      <c r="DX908" s="15">
        <v>10</v>
      </c>
      <c r="DY908" s="15">
        <f t="shared" si="802"/>
        <v>22500</v>
      </c>
      <c r="DZ908" s="15" t="s">
        <v>766</v>
      </c>
      <c r="EB908" s="15">
        <v>506</v>
      </c>
      <c r="EJ908" s="15">
        <v>976</v>
      </c>
      <c r="EK908" s="15">
        <v>1074.29</v>
      </c>
      <c r="EL908" s="15">
        <v>17037</v>
      </c>
      <c r="EM908" s="15">
        <v>17.39</v>
      </c>
      <c r="EN908" s="15">
        <v>4.66</v>
      </c>
      <c r="ES908" s="15">
        <f t="shared" si="803"/>
        <v>22500</v>
      </c>
      <c r="ET908" s="15">
        <f t="shared" si="804"/>
        <v>10</v>
      </c>
      <c r="EU908" s="15">
        <f t="shared" si="805"/>
        <v>12375.000000000002</v>
      </c>
      <c r="EZ908" s="16"/>
      <c r="FA908" s="16"/>
      <c r="FB908" s="16"/>
      <c r="FC908" s="16"/>
      <c r="FD908" s="16"/>
      <c r="FE908" s="16"/>
      <c r="FF908" s="16"/>
      <c r="FG908" s="16"/>
      <c r="FH908" s="16"/>
      <c r="FI908" s="16"/>
      <c r="FJ908" s="16"/>
      <c r="FK908" s="16">
        <f t="shared" si="806"/>
        <v>4.09</v>
      </c>
      <c r="FL908" s="16">
        <f t="shared" si="807"/>
        <v>4.4000000000000004</v>
      </c>
      <c r="FM908" s="15">
        <v>4.09</v>
      </c>
      <c r="FN908" s="15">
        <f t="shared" si="808"/>
        <v>4.0899999999999999E-2</v>
      </c>
      <c r="FO908" s="15">
        <f>FN908*SQRT(AR908)</f>
        <v>8.1799999999999998E-2</v>
      </c>
      <c r="FP908" s="15">
        <v>4.4000000000000004</v>
      </c>
      <c r="FQ908" s="15">
        <f t="shared" si="809"/>
        <v>4.4000000000000004E-2</v>
      </c>
      <c r="FR908" s="15">
        <f>FQ908*SQRT(AR908)</f>
        <v>8.8000000000000009E-2</v>
      </c>
      <c r="FS908" s="15">
        <f t="shared" si="810"/>
        <v>1.0757946210268949</v>
      </c>
      <c r="FT908" s="15">
        <f t="shared" si="811"/>
        <v>0.3100000000000005</v>
      </c>
      <c r="FU908" s="15">
        <f t="shared" si="812"/>
        <v>7.3059570869505208E-2</v>
      </c>
      <c r="FV908" s="15">
        <f>((FR908*FR908)/(AR908*FP908*FP908)+(FO908*FO908)/(AR908*FM908*FM908))</f>
        <v>2.0000000000000001E-4</v>
      </c>
      <c r="FX908" s="15">
        <v>14.2</v>
      </c>
      <c r="FY908" s="15">
        <f t="shared" si="813"/>
        <v>0.14199999999999999</v>
      </c>
      <c r="FZ908" s="15">
        <f>FY908*SQRT(AR908)</f>
        <v>0.28399999999999997</v>
      </c>
      <c r="GA908" s="15">
        <v>17.100000000000001</v>
      </c>
      <c r="GB908" s="15">
        <f t="shared" si="814"/>
        <v>0.17100000000000001</v>
      </c>
      <c r="GC908" s="15">
        <f>GB908*SQRT(AR908)</f>
        <v>0.34200000000000003</v>
      </c>
      <c r="GD908" s="15">
        <f t="shared" si="815"/>
        <v>1.2042253521126762</v>
      </c>
      <c r="GE908" s="15">
        <f t="shared" si="816"/>
        <v>2.9000000000000021</v>
      </c>
      <c r="GF908" s="15">
        <f t="shared" si="817"/>
        <v>0.18583649890139942</v>
      </c>
      <c r="GG908" s="15">
        <f>((GC908*GC908)/(AR908*GA908*GA908)+(FZ908*FZ908)/(AR908*FX908*FX908))</f>
        <v>1.9999999999999998E-4</v>
      </c>
      <c r="HE908" s="15">
        <v>213.9</v>
      </c>
      <c r="HF908" s="15">
        <f t="shared" si="818"/>
        <v>2.1390000000000002</v>
      </c>
      <c r="HG908" s="15">
        <f>HF908*SQRT(AR908)</f>
        <v>4.2780000000000005</v>
      </c>
      <c r="HH908" s="15">
        <v>372.5</v>
      </c>
      <c r="HI908" s="15">
        <f t="shared" si="819"/>
        <v>3.7250000000000001</v>
      </c>
      <c r="HJ908" s="15">
        <f>HI908*SQRT(AR908)</f>
        <v>7.45</v>
      </c>
      <c r="HK908" s="15">
        <f t="shared" si="797"/>
        <v>1.7414679756895746</v>
      </c>
      <c r="HL908" s="15">
        <f t="shared" si="798"/>
        <v>158.6</v>
      </c>
      <c r="HM908" s="15">
        <f t="shared" si="799"/>
        <v>0.55472842173125425</v>
      </c>
      <c r="HN908" s="15">
        <f>((HJ908*HJ908)/(AR908*HH908*HH908)+(HG908*HG908)/(AR908*HE908*HE908))</f>
        <v>2.0000000000000004E-4</v>
      </c>
      <c r="HP908" s="15" t="s">
        <v>1186</v>
      </c>
      <c r="HV908" s="15">
        <f t="shared" si="820"/>
        <v>223.08213380123578</v>
      </c>
      <c r="HW908" s="15">
        <f t="shared" si="821"/>
        <v>0.55472842173125425</v>
      </c>
      <c r="HX908" s="15">
        <f t="shared" si="822"/>
        <v>12375.000000000002</v>
      </c>
      <c r="HY908" s="15">
        <f t="shared" si="823"/>
        <v>22500</v>
      </c>
      <c r="HZ908" s="15">
        <f t="shared" si="823"/>
        <v>10</v>
      </c>
      <c r="IA908" s="15">
        <f t="shared" si="823"/>
        <v>12375.000000000002</v>
      </c>
    </row>
    <row r="909" spans="1:235" s="15" customFormat="1" x14ac:dyDescent="0.25">
      <c r="A909" s="31">
        <v>907</v>
      </c>
      <c r="B909" s="1">
        <v>145</v>
      </c>
      <c r="C909" s="1">
        <v>168</v>
      </c>
      <c r="D909" s="15" t="s">
        <v>2029</v>
      </c>
      <c r="E909" s="1">
        <v>3</v>
      </c>
      <c r="F909" s="15" t="s">
        <v>2036</v>
      </c>
      <c r="G909" s="15" t="s">
        <v>2026</v>
      </c>
      <c r="H909" s="15" t="s">
        <v>921</v>
      </c>
      <c r="I909" s="1">
        <v>2010</v>
      </c>
      <c r="J909" s="15" t="s">
        <v>2042</v>
      </c>
      <c r="K909" s="1">
        <v>2009</v>
      </c>
      <c r="L909" s="15" t="s">
        <v>695</v>
      </c>
      <c r="M909" s="15" t="s">
        <v>480</v>
      </c>
      <c r="N909" s="15" t="s">
        <v>23</v>
      </c>
      <c r="O909" s="31">
        <v>2</v>
      </c>
      <c r="P909" s="15">
        <v>23.14</v>
      </c>
      <c r="Q909" s="15">
        <v>113.35</v>
      </c>
      <c r="S909" s="15">
        <v>1623</v>
      </c>
      <c r="T909" s="15">
        <v>21.5</v>
      </c>
      <c r="U909" s="15" t="s">
        <v>807</v>
      </c>
      <c r="V909" s="31">
        <v>2</v>
      </c>
      <c r="W909" s="16" t="s">
        <v>1149</v>
      </c>
      <c r="X909" s="15" t="s">
        <v>913</v>
      </c>
      <c r="Y909" s="1">
        <v>3</v>
      </c>
      <c r="Z909" s="15">
        <v>4.1100000000000003</v>
      </c>
      <c r="AA909" s="15" t="s">
        <v>573</v>
      </c>
      <c r="AB909" s="15">
        <f t="shared" si="781"/>
        <v>4.1100000000000003</v>
      </c>
      <c r="AC909" s="1">
        <v>1</v>
      </c>
      <c r="AD909" s="15">
        <v>14.2</v>
      </c>
      <c r="AM909" s="1"/>
      <c r="AP909" s="15" t="s">
        <v>1978</v>
      </c>
      <c r="AQ909" s="1">
        <v>3</v>
      </c>
      <c r="AR909" s="1">
        <v>4</v>
      </c>
      <c r="BP909" s="16"/>
      <c r="BQ909" s="16"/>
      <c r="BR909" s="16"/>
      <c r="BU909" s="16"/>
      <c r="DV909" s="15">
        <v>6.21</v>
      </c>
      <c r="DW909" s="15" t="s">
        <v>2046</v>
      </c>
      <c r="DX909" s="15">
        <v>10</v>
      </c>
      <c r="DY909" s="15">
        <f t="shared" si="802"/>
        <v>22500</v>
      </c>
      <c r="DZ909" s="15" t="s">
        <v>766</v>
      </c>
      <c r="EB909" s="15">
        <v>142</v>
      </c>
      <c r="EJ909" s="15">
        <v>819</v>
      </c>
      <c r="EK909" s="15">
        <v>82.66</v>
      </c>
      <c r="EL909" s="15">
        <v>8518.52</v>
      </c>
      <c r="EM909" s="15">
        <v>10.37</v>
      </c>
      <c r="EN909" s="15">
        <v>2.4900000000000002</v>
      </c>
      <c r="ES909" s="15">
        <f t="shared" si="803"/>
        <v>22500</v>
      </c>
      <c r="ET909" s="15">
        <f t="shared" si="804"/>
        <v>10</v>
      </c>
      <c r="EU909" s="15">
        <f t="shared" si="805"/>
        <v>12375.000000000002</v>
      </c>
      <c r="EZ909" s="16"/>
      <c r="FA909" s="16"/>
      <c r="FB909" s="16"/>
      <c r="FC909" s="16"/>
      <c r="FD909" s="16"/>
      <c r="FE909" s="16"/>
      <c r="FF909" s="16"/>
      <c r="FG909" s="16"/>
      <c r="FH909" s="16"/>
      <c r="FI909" s="16"/>
      <c r="FJ909" s="16"/>
      <c r="FK909" s="16">
        <f t="shared" si="806"/>
        <v>4.09</v>
      </c>
      <c r="FL909" s="16">
        <f t="shared" si="807"/>
        <v>4.16</v>
      </c>
      <c r="FM909" s="15">
        <v>4.09</v>
      </c>
      <c r="FN909" s="15">
        <f t="shared" si="808"/>
        <v>4.0899999999999999E-2</v>
      </c>
      <c r="FO909" s="15">
        <f>FN909*SQRT(AR909)</f>
        <v>8.1799999999999998E-2</v>
      </c>
      <c r="FP909" s="15">
        <v>4.16</v>
      </c>
      <c r="FQ909" s="15">
        <f t="shared" si="809"/>
        <v>4.1600000000000005E-2</v>
      </c>
      <c r="FR909" s="15">
        <f>FQ909*SQRT(AR909)</f>
        <v>8.320000000000001E-2</v>
      </c>
      <c r="FS909" s="15">
        <f t="shared" si="810"/>
        <v>1.0171149144254279</v>
      </c>
      <c r="FT909" s="15">
        <f t="shared" si="811"/>
        <v>7.0000000000000284E-2</v>
      </c>
      <c r="FU909" s="15">
        <f t="shared" si="812"/>
        <v>1.6970104218461568E-2</v>
      </c>
      <c r="FV909" s="15">
        <f>((FR909*FR909)/(AR909*FP909*FP909)+(FO909*FO909)/(AR909*FM909*FM909))</f>
        <v>2.0000000000000001E-4</v>
      </c>
      <c r="FX909" s="15">
        <v>14.2</v>
      </c>
      <c r="FY909" s="15">
        <f t="shared" si="813"/>
        <v>0.14199999999999999</v>
      </c>
      <c r="FZ909" s="15">
        <f>FY909*SQRT(AR909)</f>
        <v>0.28399999999999997</v>
      </c>
      <c r="GA909" s="15">
        <v>16.5</v>
      </c>
      <c r="GB909" s="15">
        <f t="shared" si="814"/>
        <v>0.16500000000000001</v>
      </c>
      <c r="GC909" s="15">
        <f>GB909*SQRT(AR909)</f>
        <v>0.33</v>
      </c>
      <c r="GD909" s="15">
        <f t="shared" si="815"/>
        <v>1.1619718309859155</v>
      </c>
      <c r="GE909" s="15">
        <f t="shared" si="816"/>
        <v>2.3000000000000007</v>
      </c>
      <c r="GF909" s="15">
        <f t="shared" si="817"/>
        <v>0.15011841629931988</v>
      </c>
      <c r="GG909" s="15">
        <f>((GC909*GC909)/(AR909*GA909*GA909)+(FZ909*FZ909)/(AR909*FX909*FX909))</f>
        <v>1.9999999999999998E-4</v>
      </c>
      <c r="HE909" s="15">
        <v>213.9</v>
      </c>
      <c r="HF909" s="15">
        <f t="shared" si="818"/>
        <v>2.1390000000000002</v>
      </c>
      <c r="HG909" s="15">
        <f>HF909*SQRT(AR909)</f>
        <v>4.2780000000000005</v>
      </c>
      <c r="HH909" s="15">
        <v>229.4</v>
      </c>
      <c r="HI909" s="15">
        <f t="shared" si="819"/>
        <v>2.294</v>
      </c>
      <c r="HJ909" s="15">
        <f>HI909*SQRT(AR909)</f>
        <v>4.5880000000000001</v>
      </c>
      <c r="HK909" s="15">
        <f t="shared" si="797"/>
        <v>1.0724637681159421</v>
      </c>
      <c r="HL909" s="15">
        <f t="shared" si="798"/>
        <v>15.5</v>
      </c>
      <c r="HM909" s="15">
        <f t="shared" si="799"/>
        <v>6.995858860691051E-2</v>
      </c>
      <c r="HN909" s="15">
        <f>((HJ909*HJ909)/(AR909*HH909*HH909)+(HG909*HG909)/(AR909*HE909*HE909))</f>
        <v>2.0000000000000004E-4</v>
      </c>
      <c r="HP909" s="15" t="s">
        <v>1186</v>
      </c>
      <c r="HV909" s="15">
        <f t="shared" si="820"/>
        <v>1768.9036108966895</v>
      </c>
      <c r="HW909" s="15">
        <f t="shared" si="821"/>
        <v>6.995858860691051E-2</v>
      </c>
      <c r="HX909" s="15">
        <f t="shared" si="822"/>
        <v>12375.000000000002</v>
      </c>
      <c r="HY909" s="15">
        <f t="shared" si="823"/>
        <v>22500</v>
      </c>
      <c r="HZ909" s="15">
        <f t="shared" si="823"/>
        <v>10</v>
      </c>
      <c r="IA909" s="15">
        <f t="shared" si="823"/>
        <v>12375.000000000002</v>
      </c>
    </row>
    <row r="910" spans="1:235" s="15" customFormat="1" x14ac:dyDescent="0.25">
      <c r="A910" s="31">
        <v>908</v>
      </c>
      <c r="B910" s="1">
        <v>145</v>
      </c>
      <c r="C910" s="1">
        <v>168</v>
      </c>
      <c r="D910" s="15" t="s">
        <v>2030</v>
      </c>
      <c r="E910" s="1">
        <v>3</v>
      </c>
      <c r="F910" s="15" t="s">
        <v>2037</v>
      </c>
      <c r="G910" s="15" t="s">
        <v>2026</v>
      </c>
      <c r="H910" s="15" t="s">
        <v>921</v>
      </c>
      <c r="I910" s="1">
        <v>2010</v>
      </c>
      <c r="J910" s="15" t="s">
        <v>2042</v>
      </c>
      <c r="K910" s="1">
        <v>2009</v>
      </c>
      <c r="L910" s="15" t="s">
        <v>695</v>
      </c>
      <c r="M910" s="15" t="s">
        <v>480</v>
      </c>
      <c r="N910" s="15" t="s">
        <v>23</v>
      </c>
      <c r="O910" s="31">
        <v>2</v>
      </c>
      <c r="P910" s="15">
        <v>23.14</v>
      </c>
      <c r="Q910" s="15">
        <v>113.35</v>
      </c>
      <c r="S910" s="15">
        <v>1623</v>
      </c>
      <c r="T910" s="15">
        <v>21.5</v>
      </c>
      <c r="U910" s="15" t="s">
        <v>807</v>
      </c>
      <c r="V910" s="31">
        <v>2</v>
      </c>
      <c r="W910" s="16" t="s">
        <v>1149</v>
      </c>
      <c r="X910" s="15" t="s">
        <v>913</v>
      </c>
      <c r="Y910" s="1">
        <v>3</v>
      </c>
      <c r="Z910" s="15">
        <v>4.1100000000000003</v>
      </c>
      <c r="AA910" s="15" t="s">
        <v>573</v>
      </c>
      <c r="AB910" s="15">
        <f t="shared" si="781"/>
        <v>4.1100000000000003</v>
      </c>
      <c r="AC910" s="1">
        <v>1</v>
      </c>
      <c r="AD910" s="15">
        <v>14.2</v>
      </c>
      <c r="AM910" s="1"/>
      <c r="AP910" s="15" t="s">
        <v>1978</v>
      </c>
      <c r="AQ910" s="1">
        <v>3</v>
      </c>
      <c r="AR910" s="1">
        <v>4</v>
      </c>
      <c r="BP910" s="16"/>
      <c r="BQ910" s="16"/>
      <c r="BR910" s="16"/>
      <c r="BU910" s="16"/>
      <c r="DV910" s="15">
        <v>7.14</v>
      </c>
      <c r="DW910" s="15" t="s">
        <v>2045</v>
      </c>
      <c r="DX910" s="15">
        <v>10</v>
      </c>
      <c r="DY910" s="15">
        <f t="shared" si="802"/>
        <v>22500</v>
      </c>
      <c r="DZ910" s="15" t="s">
        <v>766</v>
      </c>
      <c r="EB910" s="15">
        <v>466</v>
      </c>
      <c r="EJ910" s="15">
        <v>251.19</v>
      </c>
      <c r="EK910" s="15">
        <v>3.84</v>
      </c>
      <c r="EL910" s="15">
        <v>30</v>
      </c>
      <c r="EM910" s="15">
        <v>10.130000000000001</v>
      </c>
      <c r="EN910" s="15">
        <v>0.24</v>
      </c>
      <c r="ES910" s="15">
        <f t="shared" si="803"/>
        <v>22500</v>
      </c>
      <c r="ET910" s="15">
        <f t="shared" si="804"/>
        <v>10</v>
      </c>
      <c r="EU910" s="15">
        <f t="shared" si="805"/>
        <v>12375.000000000002</v>
      </c>
      <c r="EZ910" s="16"/>
      <c r="FA910" s="16"/>
      <c r="FB910" s="16"/>
      <c r="FC910" s="16"/>
      <c r="FD910" s="16"/>
      <c r="FE910" s="16"/>
      <c r="FF910" s="16"/>
      <c r="FG910" s="16"/>
      <c r="FH910" s="16"/>
      <c r="FI910" s="16"/>
      <c r="FJ910" s="16"/>
      <c r="FK910" s="16">
        <f t="shared" si="806"/>
        <v>4.09</v>
      </c>
      <c r="FL910" s="16">
        <f t="shared" si="807"/>
        <v>4.41</v>
      </c>
      <c r="FM910" s="15">
        <v>4.09</v>
      </c>
      <c r="FN910" s="15">
        <f t="shared" si="808"/>
        <v>4.0899999999999999E-2</v>
      </c>
      <c r="FO910" s="15">
        <f>FN910*SQRT(AR910)</f>
        <v>8.1799999999999998E-2</v>
      </c>
      <c r="FP910" s="15">
        <v>4.41</v>
      </c>
      <c r="FQ910" s="15">
        <f t="shared" si="809"/>
        <v>4.41E-2</v>
      </c>
      <c r="FR910" s="15">
        <f>FQ910*SQRT(AR910)</f>
        <v>8.8200000000000001E-2</v>
      </c>
      <c r="FS910" s="15">
        <f t="shared" si="810"/>
        <v>1.0782396088019561</v>
      </c>
      <c r="FT910" s="15">
        <f t="shared" si="811"/>
        <v>0.32000000000000028</v>
      </c>
      <c r="FU910" s="15">
        <f t="shared" si="812"/>
        <v>7.5329719404044315E-2</v>
      </c>
      <c r="FV910" s="15">
        <f>((FR910*FR910)/(AR910*FP910*FP910)+(FO910*FO910)/(AR910*FM910*FM910))</f>
        <v>1.9999999999999998E-4</v>
      </c>
      <c r="FX910" s="15">
        <v>14.2</v>
      </c>
      <c r="FY910" s="15">
        <f t="shared" si="813"/>
        <v>0.14199999999999999</v>
      </c>
      <c r="FZ910" s="15">
        <f>FY910*SQRT(AR910)</f>
        <v>0.28399999999999997</v>
      </c>
      <c r="GA910" s="15">
        <v>16.899999999999999</v>
      </c>
      <c r="GB910" s="15">
        <f t="shared" si="814"/>
        <v>0.16899999999999998</v>
      </c>
      <c r="GC910" s="15">
        <f>GB910*SQRT(AR910)</f>
        <v>0.33799999999999997</v>
      </c>
      <c r="GD910" s="15">
        <f t="shared" si="815"/>
        <v>1.1901408450704225</v>
      </c>
      <c r="GE910" s="15">
        <f t="shared" si="816"/>
        <v>2.6999999999999993</v>
      </c>
      <c r="GF910" s="15">
        <f t="shared" si="817"/>
        <v>0.17407165732181262</v>
      </c>
      <c r="GG910" s="15">
        <f>((GC910*GC910)/(AR910*GA910*GA910)+(FZ910*FZ910)/(AR910*FX910*FX910))</f>
        <v>1.9999999999999998E-4</v>
      </c>
      <c r="HE910" s="15">
        <v>213.9</v>
      </c>
      <c r="HF910" s="15">
        <f t="shared" si="818"/>
        <v>2.1390000000000002</v>
      </c>
      <c r="HG910" s="15">
        <f>HF910*SQRT(AR910)</f>
        <v>4.2780000000000005</v>
      </c>
      <c r="HH910" s="15">
        <v>554</v>
      </c>
      <c r="HI910" s="15">
        <f t="shared" si="819"/>
        <v>5.54</v>
      </c>
      <c r="HJ910" s="15">
        <f>HI910*SQRT(AR910)</f>
        <v>11.08</v>
      </c>
      <c r="HK910" s="15">
        <f t="shared" si="797"/>
        <v>2.5899953249181862</v>
      </c>
      <c r="HL910" s="15">
        <f t="shared" si="798"/>
        <v>340.1</v>
      </c>
      <c r="HM910" s="15">
        <f t="shared" si="799"/>
        <v>0.95165607065892388</v>
      </c>
      <c r="HN910" s="15">
        <f>((HJ910*HJ910)/(AR910*HH910*HH910)+(HG910*HG910)/(AR910*HE910*HE910))</f>
        <v>2.0000000000000004E-4</v>
      </c>
      <c r="HP910" s="15" t="s">
        <v>1186</v>
      </c>
      <c r="HV910" s="15">
        <f t="shared" si="820"/>
        <v>130.03647411644826</v>
      </c>
      <c r="HW910" s="15">
        <f t="shared" si="821"/>
        <v>0.95165607065892388</v>
      </c>
      <c r="HX910" s="15">
        <f t="shared" si="822"/>
        <v>12375.000000000002</v>
      </c>
      <c r="HY910" s="15">
        <f t="shared" si="823"/>
        <v>22500</v>
      </c>
      <c r="HZ910" s="15">
        <f t="shared" si="823"/>
        <v>10</v>
      </c>
      <c r="IA910" s="15">
        <f t="shared" si="823"/>
        <v>12375.000000000002</v>
      </c>
    </row>
    <row r="911" spans="1:235" s="15" customFormat="1" x14ac:dyDescent="0.25">
      <c r="A911" s="31">
        <v>909</v>
      </c>
      <c r="B911" s="1">
        <v>145</v>
      </c>
      <c r="C911" s="1">
        <v>168</v>
      </c>
      <c r="D911" s="15" t="s">
        <v>2031</v>
      </c>
      <c r="E911" s="1">
        <v>3</v>
      </c>
      <c r="F911" s="15" t="s">
        <v>2038</v>
      </c>
      <c r="G911" s="15" t="s">
        <v>2026</v>
      </c>
      <c r="H911" s="15" t="s">
        <v>921</v>
      </c>
      <c r="I911" s="1">
        <v>2010</v>
      </c>
      <c r="J911" s="15" t="s">
        <v>2042</v>
      </c>
      <c r="K911" s="1">
        <v>2009</v>
      </c>
      <c r="L911" s="15" t="s">
        <v>695</v>
      </c>
      <c r="M911" s="15" t="s">
        <v>480</v>
      </c>
      <c r="N911" s="15" t="s">
        <v>23</v>
      </c>
      <c r="O911" s="31">
        <v>2</v>
      </c>
      <c r="P911" s="15">
        <v>23.14</v>
      </c>
      <c r="Q911" s="15">
        <v>113.35</v>
      </c>
      <c r="S911" s="15">
        <v>1623</v>
      </c>
      <c r="T911" s="15">
        <v>21.5</v>
      </c>
      <c r="U911" s="15" t="s">
        <v>807</v>
      </c>
      <c r="V911" s="31">
        <v>2</v>
      </c>
      <c r="W911" s="16" t="s">
        <v>1149</v>
      </c>
      <c r="X911" s="15" t="s">
        <v>913</v>
      </c>
      <c r="Y911" s="1">
        <v>3</v>
      </c>
      <c r="Z911" s="15">
        <v>4.1100000000000003</v>
      </c>
      <c r="AA911" s="15" t="s">
        <v>573</v>
      </c>
      <c r="AB911" s="15">
        <f t="shared" si="781"/>
        <v>4.1100000000000003</v>
      </c>
      <c r="AC911" s="1">
        <v>1</v>
      </c>
      <c r="AD911" s="15">
        <v>14.2</v>
      </c>
      <c r="AM911" s="1"/>
      <c r="AP911" s="15" t="s">
        <v>1978</v>
      </c>
      <c r="AQ911" s="1">
        <v>3</v>
      </c>
      <c r="AR911" s="1">
        <v>4</v>
      </c>
      <c r="BP911" s="16"/>
      <c r="BQ911" s="16"/>
      <c r="BR911" s="16"/>
      <c r="BU911" s="16"/>
      <c r="DW911" s="15" t="s">
        <v>2047</v>
      </c>
      <c r="DX911" s="15">
        <v>10</v>
      </c>
      <c r="DY911" s="15">
        <f t="shared" si="802"/>
        <v>22500</v>
      </c>
      <c r="DZ911" s="15" t="s">
        <v>766</v>
      </c>
      <c r="ES911" s="15">
        <f t="shared" si="803"/>
        <v>22500</v>
      </c>
      <c r="ET911" s="15">
        <f t="shared" si="804"/>
        <v>10</v>
      </c>
      <c r="EU911" s="15">
        <f t="shared" si="805"/>
        <v>12375.000000000002</v>
      </c>
      <c r="EZ911" s="16"/>
      <c r="FA911" s="16"/>
      <c r="FB911" s="16"/>
      <c r="FC911" s="16"/>
      <c r="FD911" s="16"/>
      <c r="FE911" s="16"/>
      <c r="FF911" s="16"/>
      <c r="FG911" s="16"/>
      <c r="FH911" s="16"/>
      <c r="FI911" s="16"/>
      <c r="FJ911" s="16"/>
      <c r="FK911" s="16">
        <f t="shared" si="806"/>
        <v>4.09</v>
      </c>
      <c r="FL911" s="16">
        <f t="shared" si="807"/>
        <v>5.14</v>
      </c>
      <c r="FM911" s="15">
        <v>4.09</v>
      </c>
      <c r="FN911" s="15">
        <f t="shared" si="808"/>
        <v>4.0899999999999999E-2</v>
      </c>
      <c r="FO911" s="15">
        <f>FN911*SQRT(AR911)</f>
        <v>8.1799999999999998E-2</v>
      </c>
      <c r="FP911" s="15">
        <v>5.14</v>
      </c>
      <c r="FQ911" s="15">
        <f t="shared" si="809"/>
        <v>5.1400000000000001E-2</v>
      </c>
      <c r="FR911" s="15">
        <f>FQ911*SQRT(AR911)</f>
        <v>0.1028</v>
      </c>
      <c r="FS911" s="15">
        <f t="shared" si="810"/>
        <v>1.256723716381418</v>
      </c>
      <c r="FT911" s="15">
        <f t="shared" si="811"/>
        <v>1.0499999999999998</v>
      </c>
      <c r="FU911" s="15">
        <f t="shared" si="812"/>
        <v>0.22850810941236332</v>
      </c>
      <c r="FV911" s="15">
        <f>((FR911*FR911)/(AR911*FP911*FP911)+(FO911*FO911)/(AR911*FM911*FM911))</f>
        <v>2.0000000000000004E-4</v>
      </c>
      <c r="FX911" s="15">
        <v>14.2</v>
      </c>
      <c r="FY911" s="15">
        <f t="shared" si="813"/>
        <v>0.14199999999999999</v>
      </c>
      <c r="FZ911" s="15">
        <f>FY911*SQRT(AR911)</f>
        <v>0.28399999999999997</v>
      </c>
      <c r="GA911" s="15">
        <v>16.5</v>
      </c>
      <c r="GB911" s="15">
        <f t="shared" si="814"/>
        <v>0.16500000000000001</v>
      </c>
      <c r="GC911" s="15">
        <f>GB911*SQRT(AR911)</f>
        <v>0.33</v>
      </c>
      <c r="GD911" s="15">
        <f t="shared" si="815"/>
        <v>1.1619718309859155</v>
      </c>
      <c r="GE911" s="15">
        <f t="shared" si="816"/>
        <v>2.3000000000000007</v>
      </c>
      <c r="GF911" s="15">
        <f t="shared" si="817"/>
        <v>0.15011841629931988</v>
      </c>
      <c r="GG911" s="15">
        <f>((GC911*GC911)/(AR911*GA911*GA911)+(FZ911*FZ911)/(AR911*FX911*FX911))</f>
        <v>1.9999999999999998E-4</v>
      </c>
      <c r="HE911" s="15">
        <v>213.9</v>
      </c>
      <c r="HF911" s="15">
        <f t="shared" si="818"/>
        <v>2.1390000000000002</v>
      </c>
      <c r="HG911" s="15">
        <f>HF911*SQRT(AR911)</f>
        <v>4.2780000000000005</v>
      </c>
      <c r="HH911" s="15">
        <v>617</v>
      </c>
      <c r="HI911" s="15">
        <f t="shared" si="819"/>
        <v>6.17</v>
      </c>
      <c r="HJ911" s="15">
        <f>HI911*SQRT(AR911)</f>
        <v>12.34</v>
      </c>
      <c r="HK911" s="15">
        <f t="shared" si="797"/>
        <v>2.8845254791958856</v>
      </c>
      <c r="HL911" s="15">
        <f t="shared" si="798"/>
        <v>403.1</v>
      </c>
      <c r="HM911" s="15">
        <f t="shared" si="799"/>
        <v>1.059360407817028</v>
      </c>
      <c r="HN911" s="15">
        <f>((HJ911*HJ911)/(AR911*HH911*HH911)+(HG911*HG911)/(AR911*HE911*HE911))</f>
        <v>2.0000000000000004E-4</v>
      </c>
      <c r="HP911" s="15" t="s">
        <v>1186</v>
      </c>
      <c r="HV911" s="15">
        <f t="shared" si="820"/>
        <v>116.81576835121257</v>
      </c>
      <c r="HW911" s="15">
        <f t="shared" si="821"/>
        <v>1.059360407817028</v>
      </c>
      <c r="HX911" s="15">
        <f t="shared" si="822"/>
        <v>12375.000000000002</v>
      </c>
      <c r="HY911" s="15">
        <f t="shared" si="823"/>
        <v>22500</v>
      </c>
      <c r="HZ911" s="15">
        <f t="shared" si="823"/>
        <v>10</v>
      </c>
      <c r="IA911" s="15">
        <f t="shared" si="823"/>
        <v>12375.000000000002</v>
      </c>
    </row>
    <row r="912" spans="1:235" s="15" customFormat="1" x14ac:dyDescent="0.25">
      <c r="A912" s="31">
        <v>910</v>
      </c>
      <c r="B912" s="1">
        <v>145</v>
      </c>
      <c r="C912" s="1">
        <v>168</v>
      </c>
      <c r="D912" s="15" t="s">
        <v>2032</v>
      </c>
      <c r="E912" s="1">
        <v>3</v>
      </c>
      <c r="F912" s="15" t="s">
        <v>2039</v>
      </c>
      <c r="G912" s="15" t="s">
        <v>2026</v>
      </c>
      <c r="H912" s="15" t="s">
        <v>921</v>
      </c>
      <c r="I912" s="1">
        <v>2010</v>
      </c>
      <c r="J912" s="15" t="s">
        <v>2042</v>
      </c>
      <c r="K912" s="1">
        <v>2009</v>
      </c>
      <c r="L912" s="15" t="s">
        <v>695</v>
      </c>
      <c r="M912" s="15" t="s">
        <v>480</v>
      </c>
      <c r="N912" s="15" t="s">
        <v>23</v>
      </c>
      <c r="O912" s="31">
        <v>2</v>
      </c>
      <c r="P912" s="15">
        <v>23.14</v>
      </c>
      <c r="Q912" s="15">
        <v>113.35</v>
      </c>
      <c r="S912" s="15">
        <v>1623</v>
      </c>
      <c r="T912" s="15">
        <v>21.5</v>
      </c>
      <c r="U912" s="15" t="s">
        <v>807</v>
      </c>
      <c r="V912" s="31">
        <v>2</v>
      </c>
      <c r="W912" s="16" t="s">
        <v>1149</v>
      </c>
      <c r="X912" s="15" t="s">
        <v>913</v>
      </c>
      <c r="Y912" s="1">
        <v>3</v>
      </c>
      <c r="Z912" s="15">
        <v>4.1100000000000003</v>
      </c>
      <c r="AA912" s="15" t="s">
        <v>573</v>
      </c>
      <c r="AB912" s="15">
        <f t="shared" si="781"/>
        <v>4.1100000000000003</v>
      </c>
      <c r="AC912" s="1">
        <v>1</v>
      </c>
      <c r="AD912" s="15">
        <v>14.2</v>
      </c>
      <c r="AM912" s="1"/>
      <c r="AP912" s="15" t="s">
        <v>1978</v>
      </c>
      <c r="AQ912" s="1">
        <v>3</v>
      </c>
      <c r="AR912" s="1">
        <v>4</v>
      </c>
      <c r="BP912" s="16"/>
      <c r="BQ912" s="16"/>
      <c r="BR912" s="16"/>
      <c r="BU912" s="16"/>
      <c r="DW912" s="15" t="s">
        <v>2048</v>
      </c>
      <c r="DX912" s="15">
        <v>10</v>
      </c>
      <c r="DY912" s="15">
        <f t="shared" si="802"/>
        <v>22500</v>
      </c>
      <c r="DZ912" s="15" t="s">
        <v>766</v>
      </c>
      <c r="ES912" s="15">
        <f t="shared" si="803"/>
        <v>22500</v>
      </c>
      <c r="ET912" s="15">
        <f t="shared" si="804"/>
        <v>10</v>
      </c>
      <c r="EU912" s="15">
        <f t="shared" si="805"/>
        <v>12375.000000000002</v>
      </c>
      <c r="EZ912" s="16"/>
      <c r="FA912" s="16"/>
      <c r="FB912" s="16"/>
      <c r="FC912" s="16"/>
      <c r="FD912" s="16"/>
      <c r="FE912" s="16"/>
      <c r="FF912" s="16"/>
      <c r="FG912" s="16"/>
      <c r="FH912" s="16"/>
      <c r="FI912" s="16"/>
      <c r="FJ912" s="16"/>
      <c r="FK912" s="16">
        <f t="shared" si="806"/>
        <v>4.09</v>
      </c>
      <c r="FL912" s="16">
        <f t="shared" si="807"/>
        <v>4.8600000000000003</v>
      </c>
      <c r="FM912" s="15">
        <v>4.09</v>
      </c>
      <c r="FN912" s="15">
        <f t="shared" si="808"/>
        <v>4.0899999999999999E-2</v>
      </c>
      <c r="FO912" s="15">
        <f>FN912*SQRT(AR912)</f>
        <v>8.1799999999999998E-2</v>
      </c>
      <c r="FP912" s="15">
        <v>4.8600000000000003</v>
      </c>
      <c r="FQ912" s="15">
        <f t="shared" si="809"/>
        <v>4.8600000000000004E-2</v>
      </c>
      <c r="FR912" s="15">
        <f>FQ912*SQRT(AR912)</f>
        <v>9.7200000000000009E-2</v>
      </c>
      <c r="FS912" s="15">
        <f t="shared" si="810"/>
        <v>1.1882640586797066</v>
      </c>
      <c r="FT912" s="15">
        <f t="shared" si="811"/>
        <v>0.77000000000000046</v>
      </c>
      <c r="FU912" s="15">
        <f t="shared" si="812"/>
        <v>0.17249346785769215</v>
      </c>
      <c r="FV912" s="15">
        <f>((FR912*FR912)/(AR912*FP912*FP912)+(FO912*FO912)/(AR912*FM912*FM912))</f>
        <v>2.0000000000000004E-4</v>
      </c>
      <c r="FX912" s="15">
        <v>14.2</v>
      </c>
      <c r="FY912" s="15">
        <f t="shared" si="813"/>
        <v>0.14199999999999999</v>
      </c>
      <c r="FZ912" s="15">
        <f>FY912*SQRT(AR912)</f>
        <v>0.28399999999999997</v>
      </c>
      <c r="GA912" s="15">
        <v>16.399999999999999</v>
      </c>
      <c r="GB912" s="15">
        <f t="shared" si="814"/>
        <v>0.16399999999999998</v>
      </c>
      <c r="GC912" s="15">
        <f>GB912*SQRT(AR912)</f>
        <v>0.32799999999999996</v>
      </c>
      <c r="GD912" s="15">
        <f t="shared" si="815"/>
        <v>1.1549295774647887</v>
      </c>
      <c r="GE912" s="15">
        <f t="shared" si="816"/>
        <v>2.1999999999999993</v>
      </c>
      <c r="GF912" s="15">
        <f t="shared" si="817"/>
        <v>0.14403937022293789</v>
      </c>
      <c r="GG912" s="15">
        <f>((GC912*GC912)/(AR912*GA912*GA912)+(FZ912*FZ912)/(AR912*FX912*FX912))</f>
        <v>1.9999999999999998E-4</v>
      </c>
      <c r="HE912" s="15">
        <v>213.9</v>
      </c>
      <c r="HF912" s="15">
        <f t="shared" si="818"/>
        <v>2.1390000000000002</v>
      </c>
      <c r="HG912" s="15">
        <f>HF912*SQRT(AR912)</f>
        <v>4.2780000000000005</v>
      </c>
      <c r="HH912" s="15">
        <v>403</v>
      </c>
      <c r="HI912" s="15">
        <f t="shared" si="819"/>
        <v>4.03</v>
      </c>
      <c r="HJ912" s="15">
        <f>HI912*SQRT(AR912)</f>
        <v>8.06</v>
      </c>
      <c r="HK912" s="15">
        <f t="shared" si="797"/>
        <v>1.8840579710144927</v>
      </c>
      <c r="HL912" s="15">
        <f t="shared" si="798"/>
        <v>189.1</v>
      </c>
      <c r="HM912" s="15">
        <f t="shared" si="799"/>
        <v>0.63342794585832252</v>
      </c>
      <c r="HN912" s="15">
        <f>((HJ912*HJ912)/(AR912*HH912*HH912)+(HG912*HG912)/(AR912*HE912*HE912))</f>
        <v>2.0000000000000004E-4</v>
      </c>
      <c r="HP912" s="15" t="s">
        <v>1186</v>
      </c>
      <c r="HV912" s="15">
        <f t="shared" si="820"/>
        <v>195.36555153453702</v>
      </c>
      <c r="HW912" s="15">
        <f t="shared" si="821"/>
        <v>0.63342794585832252</v>
      </c>
      <c r="HX912" s="15">
        <f t="shared" si="822"/>
        <v>12375.000000000002</v>
      </c>
      <c r="HY912" s="15">
        <f t="shared" si="823"/>
        <v>22500</v>
      </c>
      <c r="HZ912" s="15">
        <f t="shared" si="823"/>
        <v>10</v>
      </c>
      <c r="IA912" s="15">
        <f t="shared" si="823"/>
        <v>12375.000000000002</v>
      </c>
    </row>
    <row r="913" spans="1:235" s="15" customFormat="1" x14ac:dyDescent="0.25">
      <c r="A913" s="31">
        <v>911</v>
      </c>
      <c r="B913" s="1">
        <v>145</v>
      </c>
      <c r="C913" s="1">
        <v>168</v>
      </c>
      <c r="D913" s="15" t="s">
        <v>2033</v>
      </c>
      <c r="E913" s="1">
        <v>3</v>
      </c>
      <c r="F913" s="15" t="s">
        <v>2040</v>
      </c>
      <c r="G913" s="15" t="s">
        <v>2026</v>
      </c>
      <c r="H913" s="15" t="s">
        <v>921</v>
      </c>
      <c r="I913" s="1">
        <v>2010</v>
      </c>
      <c r="J913" s="15" t="s">
        <v>2042</v>
      </c>
      <c r="K913" s="1">
        <v>2009</v>
      </c>
      <c r="L913" s="15" t="s">
        <v>695</v>
      </c>
      <c r="M913" s="15" t="s">
        <v>480</v>
      </c>
      <c r="N913" s="15" t="s">
        <v>23</v>
      </c>
      <c r="O913" s="31">
        <v>2</v>
      </c>
      <c r="P913" s="15">
        <v>23.14</v>
      </c>
      <c r="Q913" s="15">
        <v>113.35</v>
      </c>
      <c r="S913" s="15">
        <v>1623</v>
      </c>
      <c r="T913" s="15">
        <v>21.5</v>
      </c>
      <c r="U913" s="15" t="s">
        <v>807</v>
      </c>
      <c r="V913" s="31">
        <v>2</v>
      </c>
      <c r="W913" s="16" t="s">
        <v>1149</v>
      </c>
      <c r="X913" s="15" t="s">
        <v>913</v>
      </c>
      <c r="Y913" s="1">
        <v>3</v>
      </c>
      <c r="Z913" s="15">
        <v>4.1100000000000003</v>
      </c>
      <c r="AA913" s="15" t="s">
        <v>573</v>
      </c>
      <c r="AB913" s="15">
        <f t="shared" si="781"/>
        <v>4.1100000000000003</v>
      </c>
      <c r="AC913" s="1">
        <v>1</v>
      </c>
      <c r="AD913" s="15">
        <v>14.2</v>
      </c>
      <c r="AM913" s="1"/>
      <c r="AP913" s="15" t="s">
        <v>1978</v>
      </c>
      <c r="AQ913" s="1">
        <v>3</v>
      </c>
      <c r="AR913" s="1">
        <v>4</v>
      </c>
      <c r="BP913" s="16"/>
      <c r="BQ913" s="16"/>
      <c r="BR913" s="16"/>
      <c r="BU913" s="16"/>
      <c r="DW913" s="15" t="s">
        <v>2049</v>
      </c>
      <c r="DX913" s="15">
        <v>10</v>
      </c>
      <c r="DY913" s="15">
        <f t="shared" si="802"/>
        <v>22500</v>
      </c>
      <c r="DZ913" s="15" t="s">
        <v>766</v>
      </c>
      <c r="ES913" s="15">
        <f t="shared" si="803"/>
        <v>22500</v>
      </c>
      <c r="ET913" s="15">
        <f t="shared" si="804"/>
        <v>10</v>
      </c>
      <c r="EU913" s="15">
        <f t="shared" si="805"/>
        <v>12375.000000000002</v>
      </c>
      <c r="EZ913" s="16"/>
      <c r="FA913" s="16"/>
      <c r="FB913" s="16"/>
      <c r="FC913" s="16"/>
      <c r="FD913" s="16"/>
      <c r="FE913" s="16"/>
      <c r="FF913" s="16"/>
      <c r="FG913" s="16"/>
      <c r="FH913" s="16"/>
      <c r="FI913" s="16"/>
      <c r="FJ913" s="16"/>
      <c r="FK913" s="16">
        <f t="shared" si="806"/>
        <v>4.09</v>
      </c>
      <c r="FL913" s="16">
        <f t="shared" si="807"/>
        <v>5.38</v>
      </c>
      <c r="FM913" s="15">
        <v>4.09</v>
      </c>
      <c r="FN913" s="15">
        <f t="shared" si="808"/>
        <v>4.0899999999999999E-2</v>
      </c>
      <c r="FO913" s="15">
        <f>FN913*SQRT(AR913)</f>
        <v>8.1799999999999998E-2</v>
      </c>
      <c r="FP913" s="15">
        <v>5.38</v>
      </c>
      <c r="FQ913" s="15">
        <f t="shared" si="809"/>
        <v>5.3800000000000001E-2</v>
      </c>
      <c r="FR913" s="15">
        <f>FQ913*SQRT(AR913)</f>
        <v>0.1076</v>
      </c>
      <c r="FS913" s="15">
        <f t="shared" si="810"/>
        <v>1.315403422982885</v>
      </c>
      <c r="FT913" s="15">
        <f t="shared" si="811"/>
        <v>1.29</v>
      </c>
      <c r="FU913" s="15">
        <f t="shared" si="812"/>
        <v>0.27414340411898275</v>
      </c>
      <c r="FV913" s="15">
        <f>((FR913*FR913)/(AR913*FP913*FP913)+(FO913*FO913)/(AR913*FM913*FM913))</f>
        <v>2.0000000000000001E-4</v>
      </c>
      <c r="FX913" s="15">
        <v>14.2</v>
      </c>
      <c r="FY913" s="15">
        <f t="shared" si="813"/>
        <v>0.14199999999999999</v>
      </c>
      <c r="FZ913" s="15">
        <f>FY913*SQRT(AR913)</f>
        <v>0.28399999999999997</v>
      </c>
      <c r="GA913" s="15">
        <v>15.6</v>
      </c>
      <c r="GB913" s="15">
        <f t="shared" si="814"/>
        <v>0.156</v>
      </c>
      <c r="GC913" s="15">
        <f>GB913*SQRT(AR913)</f>
        <v>0.312</v>
      </c>
      <c r="GD913" s="15">
        <f t="shared" si="815"/>
        <v>1.0985915492957747</v>
      </c>
      <c r="GE913" s="15">
        <f t="shared" si="816"/>
        <v>1.4000000000000004</v>
      </c>
      <c r="GF913" s="15">
        <f t="shared" si="817"/>
        <v>9.4028949648276239E-2</v>
      </c>
      <c r="GG913" s="15">
        <f>((GC913*GC913)/(AR913*GA913*GA913)+(FZ913*FZ913)/(AR913*FX913*FX913))</f>
        <v>1.9999999999999998E-4</v>
      </c>
      <c r="HE913" s="15">
        <v>213.9</v>
      </c>
      <c r="HF913" s="15">
        <f t="shared" si="818"/>
        <v>2.1390000000000002</v>
      </c>
      <c r="HG913" s="15">
        <f>HF913*SQRT(AR913)</f>
        <v>4.2780000000000005</v>
      </c>
      <c r="HH913" s="15">
        <v>606</v>
      </c>
      <c r="HI913" s="15">
        <f t="shared" si="819"/>
        <v>6.0600000000000005</v>
      </c>
      <c r="HJ913" s="15">
        <f>HI913*SQRT(AR913)</f>
        <v>12.120000000000001</v>
      </c>
      <c r="HK913" s="15">
        <f t="shared" si="797"/>
        <v>2.8330995792426368</v>
      </c>
      <c r="HL913" s="15">
        <f t="shared" si="798"/>
        <v>392.1</v>
      </c>
      <c r="HM913" s="15">
        <f t="shared" si="799"/>
        <v>1.0413713699809541</v>
      </c>
      <c r="HN913" s="15">
        <f>((HJ913*HJ913)/(AR913*HH913*HH913)+(HG913*HG913)/(AR913*HE913*HE913))</f>
        <v>2.0000000000000004E-4</v>
      </c>
      <c r="HP913" s="15" t="s">
        <v>1186</v>
      </c>
      <c r="HV913" s="15">
        <f t="shared" si="820"/>
        <v>118.83368754632011</v>
      </c>
      <c r="HW913" s="15">
        <f t="shared" si="821"/>
        <v>1.0413713699809541</v>
      </c>
      <c r="HX913" s="15">
        <f t="shared" si="822"/>
        <v>12375.000000000002</v>
      </c>
      <c r="HY913" s="15">
        <f t="shared" si="823"/>
        <v>22500</v>
      </c>
      <c r="HZ913" s="15">
        <f t="shared" si="823"/>
        <v>10</v>
      </c>
      <c r="IA913" s="15">
        <f t="shared" si="823"/>
        <v>12375.000000000002</v>
      </c>
    </row>
    <row r="914" spans="1:235" s="15" customFormat="1" x14ac:dyDescent="0.25">
      <c r="A914" s="31">
        <v>912</v>
      </c>
      <c r="B914" s="1">
        <v>146</v>
      </c>
      <c r="C914" s="1">
        <v>169</v>
      </c>
      <c r="D914" s="15" t="s">
        <v>2050</v>
      </c>
      <c r="E914" s="31">
        <v>2</v>
      </c>
      <c r="F914" s="15" t="s">
        <v>777</v>
      </c>
      <c r="G914" s="15" t="s">
        <v>2428</v>
      </c>
      <c r="H914" s="15" t="s">
        <v>812</v>
      </c>
      <c r="I914" s="1">
        <v>2015</v>
      </c>
      <c r="J914" s="15" t="s">
        <v>2429</v>
      </c>
      <c r="K914" s="1" t="s">
        <v>2430</v>
      </c>
      <c r="L914" s="15" t="s">
        <v>2431</v>
      </c>
      <c r="M914" s="15" t="s">
        <v>480</v>
      </c>
      <c r="N914" s="15" t="s">
        <v>23</v>
      </c>
      <c r="O914" s="31">
        <v>3</v>
      </c>
      <c r="P914" s="15">
        <v>35.01</v>
      </c>
      <c r="Q914" s="15">
        <v>108.38</v>
      </c>
      <c r="S914" s="15">
        <v>545</v>
      </c>
      <c r="T914" s="15">
        <v>11</v>
      </c>
      <c r="U914" s="15" t="s">
        <v>1893</v>
      </c>
      <c r="V914" s="31">
        <v>1</v>
      </c>
      <c r="W914" s="16" t="s">
        <v>1179</v>
      </c>
      <c r="X914" s="15" t="s">
        <v>1316</v>
      </c>
      <c r="Y914" s="1">
        <v>2</v>
      </c>
      <c r="AC914" s="1"/>
      <c r="AD914" s="15">
        <v>14.04</v>
      </c>
      <c r="AM914" s="1"/>
      <c r="AQ914" s="1"/>
      <c r="AR914" s="1">
        <v>3</v>
      </c>
      <c r="BP914" s="16"/>
      <c r="BQ914" s="16"/>
      <c r="BR914" s="16"/>
      <c r="BU914" s="16"/>
      <c r="CC914" s="15" t="s">
        <v>2342</v>
      </c>
      <c r="CE914" s="15">
        <v>800</v>
      </c>
      <c r="CF914" s="15">
        <v>800</v>
      </c>
      <c r="CG914" s="15" t="s">
        <v>766</v>
      </c>
      <c r="CH914" s="15">
        <v>10.4</v>
      </c>
      <c r="CK914" s="15">
        <v>456</v>
      </c>
      <c r="CL914" s="15">
        <v>5.29</v>
      </c>
      <c r="CM914" s="15">
        <v>0.53</v>
      </c>
      <c r="CO914" s="15">
        <v>26</v>
      </c>
      <c r="CY914" s="25">
        <f>CF914</f>
        <v>800</v>
      </c>
      <c r="CZ914" s="25">
        <f>CY914/0.78/1000</f>
        <v>1.0256410256410255</v>
      </c>
      <c r="DA914" s="25">
        <f>CY914*3</f>
        <v>2400</v>
      </c>
      <c r="EZ914" s="16"/>
      <c r="FA914" s="16"/>
      <c r="FB914" s="16"/>
      <c r="FC914" s="16"/>
      <c r="FD914" s="16"/>
      <c r="FE914" s="16"/>
      <c r="FF914" s="16"/>
      <c r="FG914" s="16"/>
      <c r="FH914" s="16"/>
      <c r="FI914" s="16"/>
      <c r="FJ914" s="16"/>
      <c r="FK914" s="16"/>
      <c r="FL914" s="16"/>
      <c r="HE914" s="15">
        <v>44100</v>
      </c>
      <c r="HF914" s="15">
        <f>HE914*0.05</f>
        <v>2205</v>
      </c>
      <c r="HG914" s="15">
        <f>HF914*SQRT(AR914)</f>
        <v>3819.1720306893744</v>
      </c>
      <c r="HH914" s="15">
        <v>48750</v>
      </c>
      <c r="HI914" s="15">
        <f>HH914*0.05</f>
        <v>2437.5</v>
      </c>
      <c r="HJ914" s="15">
        <f>HI914*SQRT(AR914)</f>
        <v>4221.8738434491379</v>
      </c>
      <c r="HK914" s="15">
        <f t="shared" si="797"/>
        <v>1.1054421768707483</v>
      </c>
      <c r="HL914" s="15">
        <f t="shared" si="798"/>
        <v>4650</v>
      </c>
      <c r="HM914" s="15">
        <f t="shared" si="799"/>
        <v>0.10024541499105588</v>
      </c>
      <c r="HN914" s="15">
        <f>((HJ914*HJ914)/(AR914*HH914*HH914)+(HG914*HG914)/(AR914*HE914*HE914))</f>
        <v>4.9999999999999992E-3</v>
      </c>
      <c r="HP914" s="15" t="s">
        <v>766</v>
      </c>
      <c r="HV914" s="15">
        <f t="shared" si="820"/>
        <v>239.41244596714307</v>
      </c>
      <c r="HW914" s="15">
        <f t="shared" si="821"/>
        <v>0.10024541499105588</v>
      </c>
      <c r="HX914" s="25">
        <f>DA914</f>
        <v>2400</v>
      </c>
      <c r="HY914" s="25">
        <f>CY914</f>
        <v>800</v>
      </c>
      <c r="HZ914" s="25">
        <f>CZ914</f>
        <v>1.0256410256410255</v>
      </c>
      <c r="IA914" s="25">
        <f>DA914</f>
        <v>2400</v>
      </c>
    </row>
    <row r="915" spans="1:235" s="15" customFormat="1" x14ac:dyDescent="0.25">
      <c r="A915" s="31">
        <v>913</v>
      </c>
      <c r="B915" s="1">
        <v>146</v>
      </c>
      <c r="C915" s="1">
        <v>169</v>
      </c>
      <c r="D915" s="15" t="s">
        <v>2051</v>
      </c>
      <c r="E915" s="31">
        <v>4</v>
      </c>
      <c r="F915" s="15" t="s">
        <v>879</v>
      </c>
      <c r="G915" s="15" t="s">
        <v>2428</v>
      </c>
      <c r="H915" s="15" t="s">
        <v>812</v>
      </c>
      <c r="I915" s="1">
        <v>2015</v>
      </c>
      <c r="J915" s="15" t="s">
        <v>2429</v>
      </c>
      <c r="K915" s="1" t="s">
        <v>2430</v>
      </c>
      <c r="L915" s="15" t="s">
        <v>2431</v>
      </c>
      <c r="M915" s="15" t="s">
        <v>480</v>
      </c>
      <c r="N915" s="15" t="s">
        <v>23</v>
      </c>
      <c r="O915" s="31">
        <v>3</v>
      </c>
      <c r="P915" s="15">
        <v>35.01</v>
      </c>
      <c r="Q915" s="15">
        <v>108.38</v>
      </c>
      <c r="S915" s="15">
        <v>545</v>
      </c>
      <c r="T915" s="15">
        <v>11</v>
      </c>
      <c r="U915" s="15" t="s">
        <v>1893</v>
      </c>
      <c r="V915" s="31">
        <v>1</v>
      </c>
      <c r="W915" s="16" t="s">
        <v>1179</v>
      </c>
      <c r="X915" s="15" t="s">
        <v>1316</v>
      </c>
      <c r="Y915" s="1">
        <v>2</v>
      </c>
      <c r="AC915" s="1"/>
      <c r="AD915" s="15">
        <v>14.04</v>
      </c>
      <c r="AM915" s="1"/>
      <c r="AQ915" s="1"/>
      <c r="AR915" s="1">
        <v>3</v>
      </c>
      <c r="BI915" s="15">
        <f>48/1.74</f>
        <v>27.586206896551726</v>
      </c>
      <c r="BJ915" s="15">
        <v>9.3000000000000007</v>
      </c>
      <c r="BK915" s="15">
        <v>5.0999999999999996</v>
      </c>
      <c r="BL915" s="15">
        <v>14.2</v>
      </c>
      <c r="BP915" s="16"/>
      <c r="BQ915" s="16"/>
      <c r="BR915" s="16"/>
      <c r="BS915" s="15">
        <v>800</v>
      </c>
      <c r="BT915" s="15">
        <v>800</v>
      </c>
      <c r="BU915" s="16" t="s">
        <v>766</v>
      </c>
      <c r="BY915" s="15">
        <f t="shared" ref="BY915:BY920" si="824">BT915</f>
        <v>800</v>
      </c>
      <c r="BZ915" s="15">
        <f t="shared" ref="BZ915:BZ920" si="825">BY915/1.1/1000</f>
        <v>0.72727272727272729</v>
      </c>
      <c r="CA915" s="15">
        <f t="shared" ref="CA915:CA920" si="826">BY915*2</f>
        <v>1600</v>
      </c>
      <c r="EZ915" s="16"/>
      <c r="FA915" s="16"/>
      <c r="FB915" s="16"/>
      <c r="FC915" s="16"/>
      <c r="FD915" s="16"/>
      <c r="FE915" s="16"/>
      <c r="FF915" s="16"/>
      <c r="FG915" s="16"/>
      <c r="FH915" s="16"/>
      <c r="FI915" s="16"/>
      <c r="FJ915" s="16"/>
      <c r="FK915" s="16"/>
      <c r="FL915" s="16"/>
      <c r="HE915" s="15">
        <v>44100</v>
      </c>
      <c r="HF915" s="15">
        <f>HE915*0.05</f>
        <v>2205</v>
      </c>
      <c r="HG915" s="15">
        <f>HF915*SQRT(AR915)</f>
        <v>3819.1720306893744</v>
      </c>
      <c r="HH915" s="15">
        <v>49650</v>
      </c>
      <c r="HI915" s="15">
        <f>HH915*0.05</f>
        <v>2482.5</v>
      </c>
      <c r="HJ915" s="15">
        <f>HI915*SQRT(AR915)</f>
        <v>4299.8161297897377</v>
      </c>
      <c r="HK915" s="15">
        <f t="shared" si="797"/>
        <v>1.1258503401360545</v>
      </c>
      <c r="HL915" s="15">
        <f t="shared" si="798"/>
        <v>5550</v>
      </c>
      <c r="HM915" s="15">
        <f t="shared" si="799"/>
        <v>0.11853860803838145</v>
      </c>
      <c r="HN915" s="15">
        <f>((HJ915*HJ915)/(AR915*HH915*HH915)+(HG915*HG915)/(AR915*HE915*HE915))</f>
        <v>5.0000000000000001E-3</v>
      </c>
      <c r="HP915" s="15" t="s">
        <v>766</v>
      </c>
      <c r="HV915" s="15">
        <f t="shared" si="820"/>
        <v>134.97712065945115</v>
      </c>
      <c r="HW915" s="15">
        <f t="shared" si="821"/>
        <v>0.11853860803838145</v>
      </c>
      <c r="HX915" s="15">
        <f>CA915</f>
        <v>1600</v>
      </c>
      <c r="HY915" s="15">
        <f>BY915</f>
        <v>800</v>
      </c>
      <c r="HZ915" s="15">
        <f>BZ915</f>
        <v>0.72727272727272729</v>
      </c>
      <c r="IA915" s="15">
        <f>CA915</f>
        <v>1600</v>
      </c>
    </row>
    <row r="916" spans="1:235" s="15" customFormat="1" x14ac:dyDescent="0.25">
      <c r="A916" s="31">
        <v>914</v>
      </c>
      <c r="B916" s="1">
        <v>146</v>
      </c>
      <c r="C916" s="1">
        <v>169</v>
      </c>
      <c r="D916" s="15" t="s">
        <v>2052</v>
      </c>
      <c r="E916" s="1">
        <v>6</v>
      </c>
      <c r="F916" s="15" t="s">
        <v>2392</v>
      </c>
      <c r="G916" s="15" t="s">
        <v>2428</v>
      </c>
      <c r="H916" s="15" t="s">
        <v>812</v>
      </c>
      <c r="I916" s="1">
        <v>2015</v>
      </c>
      <c r="J916" s="15" t="s">
        <v>2429</v>
      </c>
      <c r="K916" s="1" t="s">
        <v>2430</v>
      </c>
      <c r="L916" s="15" t="s">
        <v>2431</v>
      </c>
      <c r="M916" s="15" t="s">
        <v>480</v>
      </c>
      <c r="N916" s="15" t="s">
        <v>23</v>
      </c>
      <c r="O916" s="31">
        <v>3</v>
      </c>
      <c r="P916" s="15">
        <v>35.01</v>
      </c>
      <c r="Q916" s="15">
        <v>108.38</v>
      </c>
      <c r="S916" s="15">
        <v>545</v>
      </c>
      <c r="T916" s="15">
        <v>11</v>
      </c>
      <c r="U916" s="15" t="s">
        <v>1893</v>
      </c>
      <c r="V916" s="31">
        <v>1</v>
      </c>
      <c r="W916" s="16" t="s">
        <v>1179</v>
      </c>
      <c r="X916" s="15" t="s">
        <v>1316</v>
      </c>
      <c r="Y916" s="1">
        <v>2</v>
      </c>
      <c r="AC916" s="1"/>
      <c r="AD916" s="15">
        <v>14.04</v>
      </c>
      <c r="AM916" s="1"/>
      <c r="AQ916" s="1"/>
      <c r="AR916" s="1">
        <v>3</v>
      </c>
      <c r="BI916" s="15">
        <f>48/1.74</f>
        <v>27.586206896551726</v>
      </c>
      <c r="BJ916" s="15">
        <v>9.3000000000000007</v>
      </c>
      <c r="BK916" s="15">
        <v>5.0999999999999996</v>
      </c>
      <c r="BL916" s="15">
        <v>14.2</v>
      </c>
      <c r="BP916" s="16"/>
      <c r="BQ916" s="16"/>
      <c r="BR916" s="16"/>
      <c r="BS916" s="15">
        <v>800</v>
      </c>
      <c r="BT916" s="15">
        <v>800</v>
      </c>
      <c r="BU916" s="16" t="s">
        <v>766</v>
      </c>
      <c r="BY916" s="15">
        <f t="shared" si="824"/>
        <v>800</v>
      </c>
      <c r="BZ916" s="15">
        <f t="shared" si="825"/>
        <v>0.72727272727272729</v>
      </c>
      <c r="CA916" s="15">
        <f t="shared" si="826"/>
        <v>1600</v>
      </c>
      <c r="CC916" s="15" t="s">
        <v>2342</v>
      </c>
      <c r="CE916" s="15">
        <v>800</v>
      </c>
      <c r="CF916" s="15">
        <v>800</v>
      </c>
      <c r="CG916" s="15" t="s">
        <v>766</v>
      </c>
      <c r="CH916" s="15">
        <v>10.4</v>
      </c>
      <c r="CK916" s="15">
        <v>456</v>
      </c>
      <c r="CL916" s="15">
        <v>5.29</v>
      </c>
      <c r="CM916" s="15">
        <v>0.53</v>
      </c>
      <c r="CO916" s="15">
        <v>26</v>
      </c>
      <c r="CY916" s="25">
        <f>CF916</f>
        <v>800</v>
      </c>
      <c r="CZ916" s="25">
        <f>CY916/0.78/1000</f>
        <v>1.0256410256410255</v>
      </c>
      <c r="DA916" s="25">
        <f>CY916*3</f>
        <v>2400</v>
      </c>
      <c r="EW916" s="46">
        <f>AX916+BT916+CF916+DE916+DY916</f>
        <v>1600</v>
      </c>
      <c r="EX916" s="46">
        <f>BA916+BZ916+CZ916+DT916+ET916</f>
        <v>1.7529137529137528</v>
      </c>
      <c r="EY916" s="46">
        <f>BB916+CA916+DA916+DU916+EU916</f>
        <v>4000</v>
      </c>
      <c r="EZ916" s="16"/>
      <c r="FA916" s="16"/>
      <c r="FB916" s="16"/>
      <c r="FC916" s="16"/>
      <c r="FD916" s="16"/>
      <c r="FE916" s="16"/>
      <c r="FF916" s="16"/>
      <c r="FG916" s="16"/>
      <c r="FH916" s="16"/>
      <c r="FI916" s="16"/>
      <c r="FJ916" s="16"/>
      <c r="FK916" s="16"/>
      <c r="FL916" s="16"/>
      <c r="HE916" s="15">
        <v>44100</v>
      </c>
      <c r="HF916" s="15">
        <f>HE916*0.05</f>
        <v>2205</v>
      </c>
      <c r="HG916" s="15">
        <f>HF916*SQRT(AR916)</f>
        <v>3819.1720306893744</v>
      </c>
      <c r="HH916" s="15">
        <v>59250</v>
      </c>
      <c r="HI916" s="15">
        <f>HH916*0.05</f>
        <v>2962.5</v>
      </c>
      <c r="HJ916" s="15">
        <f>HI916*SQRT(AR916)</f>
        <v>5131.2005174227988</v>
      </c>
      <c r="HK916" s="15">
        <f t="shared" si="797"/>
        <v>1.3435374149659864</v>
      </c>
      <c r="HL916" s="15">
        <f t="shared" si="798"/>
        <v>15150</v>
      </c>
      <c r="HM916" s="15">
        <f t="shared" si="799"/>
        <v>0.29530599756244058</v>
      </c>
      <c r="HN916" s="15">
        <f>((HJ916*HJ916)/(AR916*HH916*HH916)+(HG916*HG916)/(AR916*HE916*HE916))</f>
        <v>5.0000000000000001E-3</v>
      </c>
      <c r="HP916" s="15" t="s">
        <v>766</v>
      </c>
      <c r="HV916" s="15">
        <f t="shared" si="820"/>
        <v>135.45271796094238</v>
      </c>
      <c r="HW916" s="15">
        <f t="shared" si="821"/>
        <v>0.29530599756244058</v>
      </c>
      <c r="HX916" s="15">
        <f>EY916</f>
        <v>4000</v>
      </c>
      <c r="HY916" s="15">
        <f>EW916</f>
        <v>1600</v>
      </c>
      <c r="HZ916" s="15">
        <f>EX916</f>
        <v>1.7529137529137528</v>
      </c>
      <c r="IA916" s="15">
        <f>EY916</f>
        <v>4000</v>
      </c>
    </row>
    <row r="917" spans="1:235" s="15" customFormat="1" x14ac:dyDescent="0.25">
      <c r="A917" s="31">
        <v>915</v>
      </c>
      <c r="B917" s="1">
        <v>147</v>
      </c>
      <c r="C917" s="1">
        <v>170</v>
      </c>
      <c r="D917" s="15" t="s">
        <v>2053</v>
      </c>
      <c r="E917" s="31">
        <v>4</v>
      </c>
      <c r="F917" s="15" t="s">
        <v>879</v>
      </c>
      <c r="G917" s="15" t="s">
        <v>2057</v>
      </c>
      <c r="H917" s="15" t="s">
        <v>2061</v>
      </c>
      <c r="I917" s="1">
        <v>2020</v>
      </c>
      <c r="J917" s="15" t="s">
        <v>1585</v>
      </c>
      <c r="K917" s="1" t="s">
        <v>518</v>
      </c>
      <c r="L917" s="15" t="s">
        <v>2062</v>
      </c>
      <c r="M917" s="15" t="s">
        <v>480</v>
      </c>
      <c r="N917" s="15" t="s">
        <v>23</v>
      </c>
      <c r="O917" s="31">
        <v>3</v>
      </c>
      <c r="P917" s="15">
        <v>40.799999999999997</v>
      </c>
      <c r="Q917" s="15">
        <v>123.55</v>
      </c>
      <c r="S917" s="15">
        <v>574</v>
      </c>
      <c r="T917" s="15">
        <v>7.5</v>
      </c>
      <c r="U917" s="15" t="s">
        <v>1893</v>
      </c>
      <c r="V917" s="31">
        <v>1</v>
      </c>
      <c r="W917" s="16" t="s">
        <v>1153</v>
      </c>
      <c r="X917" s="15" t="s">
        <v>1147</v>
      </c>
      <c r="Y917" s="1">
        <v>5</v>
      </c>
      <c r="Z917" s="15">
        <v>6.5</v>
      </c>
      <c r="AA917" s="15" t="s">
        <v>573</v>
      </c>
      <c r="AB917" s="15">
        <f>Z917</f>
        <v>6.5</v>
      </c>
      <c r="AC917" s="1">
        <v>5</v>
      </c>
      <c r="AD917" s="15">
        <v>15.9</v>
      </c>
      <c r="AJ917" s="15">
        <v>23</v>
      </c>
      <c r="AK917" s="15">
        <v>29</v>
      </c>
      <c r="AL917" s="15">
        <v>48</v>
      </c>
      <c r="AM917" s="1">
        <v>3</v>
      </c>
      <c r="AN917" s="15">
        <v>1.18</v>
      </c>
      <c r="AP917" s="15" t="s">
        <v>1943</v>
      </c>
      <c r="AQ917" s="1">
        <v>5</v>
      </c>
      <c r="AR917" s="1">
        <v>3</v>
      </c>
      <c r="BG917" s="15" t="s">
        <v>635</v>
      </c>
      <c r="BI917" s="15">
        <v>83.5</v>
      </c>
      <c r="BJ917" s="15">
        <v>7.2</v>
      </c>
      <c r="BK917" s="15">
        <v>8.6</v>
      </c>
      <c r="BL917" s="15">
        <v>10</v>
      </c>
      <c r="BP917" s="16"/>
      <c r="BQ917" s="16"/>
      <c r="BR917" s="16"/>
      <c r="BS917" s="15">
        <v>27000</v>
      </c>
      <c r="BT917" s="15">
        <v>27000</v>
      </c>
      <c r="BU917" s="16" t="s">
        <v>766</v>
      </c>
      <c r="BY917" s="15">
        <f t="shared" si="824"/>
        <v>27000</v>
      </c>
      <c r="BZ917" s="15">
        <f t="shared" si="825"/>
        <v>24.545454545454543</v>
      </c>
      <c r="CA917" s="15">
        <f t="shared" si="826"/>
        <v>54000</v>
      </c>
      <c r="EZ917" s="16"/>
      <c r="FA917" s="16"/>
      <c r="FB917" s="16"/>
      <c r="FC917" s="16"/>
      <c r="FD917" s="16"/>
      <c r="FE917" s="16"/>
      <c r="FF917" s="16"/>
      <c r="FG917" s="16"/>
      <c r="FH917" s="16"/>
      <c r="FI917" s="16"/>
      <c r="FJ917" s="16"/>
      <c r="FK917" s="16">
        <f>FM917</f>
        <v>5.44</v>
      </c>
      <c r="FL917" s="16">
        <f>FP917</f>
        <v>5.93</v>
      </c>
      <c r="FM917" s="15">
        <v>5.44</v>
      </c>
      <c r="FN917" s="15">
        <v>0.04</v>
      </c>
      <c r="FO917" s="15">
        <f>FN917*SQRT(AR917)</f>
        <v>6.9282032302755092E-2</v>
      </c>
      <c r="FP917" s="15">
        <v>5.93</v>
      </c>
      <c r="FQ917" s="15">
        <v>0.01</v>
      </c>
      <c r="FR917" s="15">
        <f>FQ917*SQRT(AR917)</f>
        <v>1.7320508075688773E-2</v>
      </c>
      <c r="FS917" s="15">
        <f>FP917/FM917</f>
        <v>1.0900735294117645</v>
      </c>
      <c r="FT917" s="15">
        <f>FP917-FM917</f>
        <v>0.48999999999999932</v>
      </c>
      <c r="FU917" s="15">
        <f>LN(FP917)-LN(FM917)</f>
        <v>8.6245152141782633E-2</v>
      </c>
      <c r="FV917" s="15">
        <f>((FR917*FR917)/(AR917*FP917*FP917)+(FO917*FO917)/(AR917*FM917*FM917))</f>
        <v>5.6909488701482277E-5</v>
      </c>
      <c r="FX917" s="15">
        <v>15.41</v>
      </c>
      <c r="FY917" s="15">
        <v>0.84</v>
      </c>
      <c r="FZ917" s="15">
        <f>FY917*SQRT(AR917)</f>
        <v>1.4549226783578568</v>
      </c>
      <c r="GA917" s="15">
        <v>20.14</v>
      </c>
      <c r="GB917" s="15">
        <v>0.61</v>
      </c>
      <c r="GC917" s="15">
        <f>GB917*SQRT(AR917)</f>
        <v>1.0565509926170151</v>
      </c>
      <c r="GD917" s="15">
        <f t="shared" ref="GD917:GD926" si="827">GA917/FX917</f>
        <v>1.3069435431537963</v>
      </c>
      <c r="GE917" s="15">
        <f t="shared" ref="GE917:GE926" si="828">GA917-FX917</f>
        <v>4.7300000000000004</v>
      </c>
      <c r="GF917" s="15">
        <f t="shared" ref="GF917:GF926" si="829">LN(GA917)-LN(FX917)</f>
        <v>0.26769123795839178</v>
      </c>
      <c r="GG917" s="15">
        <f>((GC917*GC917)/(AR917*GA917*GA917)+(FZ917*FZ917)/(AR917*FX917*FX917))</f>
        <v>3.8887084486891924E-3</v>
      </c>
      <c r="HE917" s="15">
        <v>4323.3500000000004</v>
      </c>
      <c r="HF917" s="15">
        <v>142</v>
      </c>
      <c r="HG917" s="15">
        <f>HF917*SQRT(AR917)</f>
        <v>245.95121467478057</v>
      </c>
      <c r="HH917" s="15">
        <v>4949</v>
      </c>
      <c r="HI917" s="15">
        <v>141</v>
      </c>
      <c r="HJ917" s="15">
        <f>HI917*SQRT(AR917)</f>
        <v>244.21916386721168</v>
      </c>
      <c r="HK917" s="15">
        <f t="shared" si="797"/>
        <v>1.14471416841107</v>
      </c>
      <c r="HL917" s="15">
        <f t="shared" si="798"/>
        <v>625.64999999999964</v>
      </c>
      <c r="HM917" s="15">
        <f t="shared" si="799"/>
        <v>0.13515497126682163</v>
      </c>
      <c r="HN917" s="15">
        <f>((HJ917*HJ917)/(AR917*HH917*HH917)+(HG917*HG917)/(AR917*HE917*HE917))</f>
        <v>1.8905020056346061E-3</v>
      </c>
      <c r="HP917" s="15" t="s">
        <v>766</v>
      </c>
      <c r="HV917" s="15">
        <f t="shared" si="820"/>
        <v>3995.4135237388882</v>
      </c>
      <c r="HW917" s="15">
        <f t="shared" si="821"/>
        <v>0.13515497126682163</v>
      </c>
      <c r="HX917" s="15">
        <f>CA917</f>
        <v>54000</v>
      </c>
      <c r="HY917" s="15">
        <f>BY917</f>
        <v>27000</v>
      </c>
      <c r="HZ917" s="15">
        <f>BZ917</f>
        <v>24.545454545454543</v>
      </c>
      <c r="IA917" s="15">
        <f>CA917</f>
        <v>54000</v>
      </c>
    </row>
    <row r="918" spans="1:235" s="15" customFormat="1" x14ac:dyDescent="0.25">
      <c r="A918" s="31">
        <v>916</v>
      </c>
      <c r="B918" s="1">
        <v>147</v>
      </c>
      <c r="C918" s="1">
        <v>170</v>
      </c>
      <c r="D918" s="15" t="s">
        <v>2054</v>
      </c>
      <c r="E918" s="31">
        <v>4</v>
      </c>
      <c r="F918" s="15" t="s">
        <v>879</v>
      </c>
      <c r="G918" s="15" t="s">
        <v>2058</v>
      </c>
      <c r="H918" s="15" t="s">
        <v>2061</v>
      </c>
      <c r="I918" s="1">
        <v>2020</v>
      </c>
      <c r="J918" s="15" t="s">
        <v>1585</v>
      </c>
      <c r="K918" s="1" t="s">
        <v>518</v>
      </c>
      <c r="L918" s="15" t="s">
        <v>2062</v>
      </c>
      <c r="M918" s="15" t="s">
        <v>480</v>
      </c>
      <c r="N918" s="15" t="s">
        <v>23</v>
      </c>
      <c r="O918" s="31">
        <v>3</v>
      </c>
      <c r="P918" s="15">
        <v>40.799999999999997</v>
      </c>
      <c r="Q918" s="15">
        <v>123.55</v>
      </c>
      <c r="S918" s="15">
        <v>574</v>
      </c>
      <c r="T918" s="15">
        <v>7.5</v>
      </c>
      <c r="U918" s="15" t="s">
        <v>1893</v>
      </c>
      <c r="V918" s="31">
        <v>1</v>
      </c>
      <c r="W918" s="16" t="s">
        <v>1153</v>
      </c>
      <c r="X918" s="15" t="s">
        <v>1147</v>
      </c>
      <c r="Y918" s="1">
        <v>5</v>
      </c>
      <c r="Z918" s="15">
        <v>6.5</v>
      </c>
      <c r="AA918" s="15" t="s">
        <v>573</v>
      </c>
      <c r="AB918" s="15">
        <f>Z918</f>
        <v>6.5</v>
      </c>
      <c r="AC918" s="1">
        <v>5</v>
      </c>
      <c r="AD918" s="15">
        <v>15.9</v>
      </c>
      <c r="AJ918" s="15">
        <v>23</v>
      </c>
      <c r="AK918" s="15">
        <v>29</v>
      </c>
      <c r="AL918" s="15">
        <v>48</v>
      </c>
      <c r="AM918" s="1">
        <v>3</v>
      </c>
      <c r="AN918" s="15">
        <v>1.18</v>
      </c>
      <c r="AP918" s="15" t="s">
        <v>1943</v>
      </c>
      <c r="AQ918" s="1">
        <v>5</v>
      </c>
      <c r="AR918" s="1">
        <v>3</v>
      </c>
      <c r="BG918" s="15" t="s">
        <v>635</v>
      </c>
      <c r="BI918" s="15">
        <v>83.5</v>
      </c>
      <c r="BJ918" s="15">
        <v>7.2</v>
      </c>
      <c r="BK918" s="15">
        <v>8.6</v>
      </c>
      <c r="BL918" s="15">
        <v>10</v>
      </c>
      <c r="BP918" s="16"/>
      <c r="BQ918" s="16"/>
      <c r="BR918" s="16"/>
      <c r="BS918" s="15">
        <v>27000</v>
      </c>
      <c r="BT918" s="15">
        <v>27000</v>
      </c>
      <c r="BU918" s="16" t="s">
        <v>766</v>
      </c>
      <c r="BY918" s="15">
        <f t="shared" si="824"/>
        <v>27000</v>
      </c>
      <c r="BZ918" s="15">
        <f t="shared" si="825"/>
        <v>24.545454545454543</v>
      </c>
      <c r="CA918" s="15">
        <f t="shared" si="826"/>
        <v>54000</v>
      </c>
      <c r="EZ918" s="16"/>
      <c r="FA918" s="16"/>
      <c r="FB918" s="16"/>
      <c r="FC918" s="16"/>
      <c r="FD918" s="16"/>
      <c r="FE918" s="16"/>
      <c r="FF918" s="16"/>
      <c r="FG918" s="16"/>
      <c r="FH918" s="16"/>
      <c r="FI918" s="16"/>
      <c r="FJ918" s="16"/>
      <c r="FK918" s="16">
        <f>FM918</f>
        <v>5.44</v>
      </c>
      <c r="FL918" s="16">
        <f>FP918</f>
        <v>6.27</v>
      </c>
      <c r="FM918" s="15">
        <v>5.44</v>
      </c>
      <c r="FN918" s="15">
        <v>0.04</v>
      </c>
      <c r="FO918" s="15">
        <f>FN918*SQRT(AR918)</f>
        <v>6.9282032302755092E-2</v>
      </c>
      <c r="FP918" s="15">
        <v>6.27</v>
      </c>
      <c r="FQ918" s="15">
        <v>0.03</v>
      </c>
      <c r="FR918" s="15">
        <f>FQ918*SQRT(AR918)</f>
        <v>5.1961524227066312E-2</v>
      </c>
      <c r="FS918" s="15">
        <f>FP918/FM918</f>
        <v>1.1525735294117645</v>
      </c>
      <c r="FT918" s="15">
        <f>FP918-FM918</f>
        <v>0.82999999999999918</v>
      </c>
      <c r="FU918" s="15">
        <f>LN(FP918)-LN(FM918)</f>
        <v>0.14199729377697801</v>
      </c>
      <c r="FV918" s="15">
        <f>((FR918*FR918)/(AR918*FP918*FP918)+(FO918*FO918)/(AR918*FM918*FM918))</f>
        <v>7.6958992725571171E-5</v>
      </c>
      <c r="FX918" s="15">
        <v>15.41</v>
      </c>
      <c r="FY918" s="15">
        <v>0.84</v>
      </c>
      <c r="FZ918" s="15">
        <f>FY918*SQRT(AR918)</f>
        <v>1.4549226783578568</v>
      </c>
      <c r="GA918" s="15">
        <v>23.14</v>
      </c>
      <c r="GB918" s="15">
        <v>0.86</v>
      </c>
      <c r="GC918" s="15">
        <f>GB918*SQRT(AR918)</f>
        <v>1.4895636945092343</v>
      </c>
      <c r="GD918" s="15">
        <f t="shared" si="827"/>
        <v>1.5016223231667749</v>
      </c>
      <c r="GE918" s="15">
        <f t="shared" si="828"/>
        <v>7.73</v>
      </c>
      <c r="GF918" s="15">
        <f t="shared" si="829"/>
        <v>0.40654607243350593</v>
      </c>
      <c r="GG918" s="15">
        <f>((GC918*GC918)/(AR918*GA918*GA918)+(FZ918*FZ918)/(AR918*FX918*FX918))</f>
        <v>4.3525897953290409E-3</v>
      </c>
      <c r="HE918" s="15">
        <v>4323.3500000000004</v>
      </c>
      <c r="HF918" s="15">
        <v>142</v>
      </c>
      <c r="HG918" s="15">
        <f>HF918*SQRT(AR918)</f>
        <v>245.95121467478057</v>
      </c>
      <c r="HH918" s="15">
        <v>6676</v>
      </c>
      <c r="HI918" s="15">
        <v>145</v>
      </c>
      <c r="HJ918" s="15">
        <f>HI918*SQRT(AR918)</f>
        <v>251.14736709748721</v>
      </c>
      <c r="HK918" s="15">
        <f t="shared" si="797"/>
        <v>1.5441729214613666</v>
      </c>
      <c r="HL918" s="15">
        <f t="shared" si="798"/>
        <v>2352.6499999999996</v>
      </c>
      <c r="HM918" s="15">
        <f t="shared" si="799"/>
        <v>0.4344884410966614</v>
      </c>
      <c r="HN918" s="15">
        <f>((HJ918*HJ918)/(AR918*HH918*HH918)+(HG918*HG918)/(AR918*HE918*HE918))</f>
        <v>1.5505281815170278E-3</v>
      </c>
      <c r="HP918" s="15" t="s">
        <v>766</v>
      </c>
      <c r="HV918" s="15">
        <f t="shared" si="820"/>
        <v>1242.8408880959512</v>
      </c>
      <c r="HW918" s="15">
        <f t="shared" si="821"/>
        <v>0.4344884410966614</v>
      </c>
      <c r="HX918" s="15">
        <f>CA918</f>
        <v>54000</v>
      </c>
      <c r="HY918" s="15">
        <f>BY918</f>
        <v>27000</v>
      </c>
      <c r="HZ918" s="15">
        <f>BZ918</f>
        <v>24.545454545454543</v>
      </c>
      <c r="IA918" s="15">
        <f>CA918</f>
        <v>54000</v>
      </c>
    </row>
    <row r="919" spans="1:235" s="15" customFormat="1" x14ac:dyDescent="0.25">
      <c r="A919" s="31">
        <v>917</v>
      </c>
      <c r="B919" s="1">
        <v>147</v>
      </c>
      <c r="C919" s="1">
        <v>170</v>
      </c>
      <c r="D919" s="15" t="s">
        <v>2055</v>
      </c>
      <c r="E919" s="31">
        <v>4</v>
      </c>
      <c r="F919" s="15" t="s">
        <v>879</v>
      </c>
      <c r="G919" s="15" t="s">
        <v>2059</v>
      </c>
      <c r="H919" s="15" t="s">
        <v>2061</v>
      </c>
      <c r="I919" s="1">
        <v>2020</v>
      </c>
      <c r="J919" s="15" t="s">
        <v>1585</v>
      </c>
      <c r="K919" s="1" t="s">
        <v>518</v>
      </c>
      <c r="L919" s="15" t="s">
        <v>2062</v>
      </c>
      <c r="M919" s="15" t="s">
        <v>480</v>
      </c>
      <c r="N919" s="15" t="s">
        <v>23</v>
      </c>
      <c r="O919" s="31">
        <v>3</v>
      </c>
      <c r="P919" s="15">
        <v>40.799999999999997</v>
      </c>
      <c r="Q919" s="15">
        <v>123.55</v>
      </c>
      <c r="S919" s="15">
        <v>574</v>
      </c>
      <c r="T919" s="15">
        <v>7.5</v>
      </c>
      <c r="U919" s="15" t="s">
        <v>1893</v>
      </c>
      <c r="V919" s="31">
        <v>1</v>
      </c>
      <c r="W919" s="16" t="s">
        <v>1153</v>
      </c>
      <c r="X919" s="15" t="s">
        <v>731</v>
      </c>
      <c r="Y919" s="1">
        <v>12</v>
      </c>
      <c r="Z919" s="15">
        <v>6.5</v>
      </c>
      <c r="AA919" s="15" t="s">
        <v>573</v>
      </c>
      <c r="AB919" s="15">
        <f>Z919</f>
        <v>6.5</v>
      </c>
      <c r="AC919" s="1">
        <v>5</v>
      </c>
      <c r="AD919" s="15">
        <v>15.9</v>
      </c>
      <c r="AJ919" s="15">
        <v>23</v>
      </c>
      <c r="AK919" s="15">
        <v>29</v>
      </c>
      <c r="AL919" s="15">
        <v>48</v>
      </c>
      <c r="AM919" s="1">
        <v>3</v>
      </c>
      <c r="AN919" s="15">
        <v>1.18</v>
      </c>
      <c r="AP919" s="15" t="s">
        <v>1943</v>
      </c>
      <c r="AQ919" s="1">
        <v>5</v>
      </c>
      <c r="AR919" s="1">
        <v>3</v>
      </c>
      <c r="BG919" s="15" t="s">
        <v>635</v>
      </c>
      <c r="BI919" s="15">
        <v>83.5</v>
      </c>
      <c r="BJ919" s="15">
        <v>7.2</v>
      </c>
      <c r="BK919" s="15">
        <v>8.6</v>
      </c>
      <c r="BL919" s="15">
        <v>10</v>
      </c>
      <c r="BP919" s="16"/>
      <c r="BQ919" s="16"/>
      <c r="BR919" s="16"/>
      <c r="BS919" s="15">
        <v>54000</v>
      </c>
      <c r="BT919" s="15">
        <v>54000</v>
      </c>
      <c r="BU919" s="16" t="s">
        <v>766</v>
      </c>
      <c r="BY919" s="15">
        <f t="shared" si="824"/>
        <v>54000</v>
      </c>
      <c r="BZ919" s="15">
        <f t="shared" si="825"/>
        <v>49.090909090909086</v>
      </c>
      <c r="CA919" s="15">
        <f t="shared" si="826"/>
        <v>108000</v>
      </c>
      <c r="EZ919" s="16"/>
      <c r="FA919" s="16"/>
      <c r="FB919" s="16"/>
      <c r="FC919" s="16"/>
      <c r="FD919" s="16"/>
      <c r="FE919" s="16"/>
      <c r="FF919" s="16"/>
      <c r="FG919" s="16"/>
      <c r="FH919" s="16"/>
      <c r="FI919" s="16"/>
      <c r="FJ919" s="16"/>
      <c r="FK919" s="16">
        <f>FM919</f>
        <v>5.41</v>
      </c>
      <c r="FL919" s="16">
        <f>FP919</f>
        <v>6.04</v>
      </c>
      <c r="FM919" s="15">
        <v>5.41</v>
      </c>
      <c r="FN919" s="15">
        <v>0.03</v>
      </c>
      <c r="FO919" s="15">
        <f>FN919*SQRT(AR919)</f>
        <v>5.1961524227066312E-2</v>
      </c>
      <c r="FP919" s="15">
        <v>6.04</v>
      </c>
      <c r="FQ919" s="15">
        <v>0.04</v>
      </c>
      <c r="FR919" s="15">
        <f>FQ919*SQRT(AR919)</f>
        <v>6.9282032302755092E-2</v>
      </c>
      <c r="FS919" s="15">
        <f>FP919/FM919</f>
        <v>1.1164510166358594</v>
      </c>
      <c r="FT919" s="15">
        <f>FP919-FM919</f>
        <v>0.62999999999999989</v>
      </c>
      <c r="FU919" s="15">
        <f>LN(FP919)-LN(FM919)</f>
        <v>0.1101549190883333</v>
      </c>
      <c r="FV919" s="15">
        <f>((FR919*FR919)/(AR919*FP919*FP919)+(FO919*FO919)/(AR919*FM919*FM919))</f>
        <v>7.4607927977186304E-5</v>
      </c>
      <c r="FX919" s="15">
        <v>15.53</v>
      </c>
      <c r="FY919" s="15">
        <v>0.87</v>
      </c>
      <c r="FZ919" s="15">
        <f>FY919*SQRT(AR919)</f>
        <v>1.5068842025849232</v>
      </c>
      <c r="GA919" s="15">
        <v>20.41</v>
      </c>
      <c r="GB919" s="15">
        <v>0.71</v>
      </c>
      <c r="GC919" s="15">
        <f>GB919*SQRT(AR919)</f>
        <v>1.2297560733739028</v>
      </c>
      <c r="GD919" s="15">
        <f t="shared" si="827"/>
        <v>1.3142305215711527</v>
      </c>
      <c r="GE919" s="15">
        <f t="shared" si="828"/>
        <v>4.8800000000000008</v>
      </c>
      <c r="GF919" s="15">
        <f t="shared" si="829"/>
        <v>0.273251339661158</v>
      </c>
      <c r="GG919" s="15">
        <f>((GC919*GC919)/(AR919*GA919*GA919)+(FZ919*FZ919)/(AR919*FX919*FX919))</f>
        <v>4.3484344834189394E-3</v>
      </c>
      <c r="HE919" s="15">
        <v>9461</v>
      </c>
      <c r="HF919" s="15">
        <v>251</v>
      </c>
      <c r="HG919" s="15">
        <f>HF919*SQRT(AR919)</f>
        <v>434.74475269978819</v>
      </c>
      <c r="HH919" s="15">
        <v>11258</v>
      </c>
      <c r="HI919" s="15">
        <v>210</v>
      </c>
      <c r="HJ919" s="15">
        <f>HI919*SQRT(AR919)</f>
        <v>363.73066958946418</v>
      </c>
      <c r="HK919" s="15">
        <f t="shared" si="797"/>
        <v>1.1899376387274072</v>
      </c>
      <c r="HL919" s="15">
        <f t="shared" si="798"/>
        <v>1797</v>
      </c>
      <c r="HM919" s="15">
        <f t="shared" si="799"/>
        <v>0.17390090131952718</v>
      </c>
      <c r="HN919" s="15">
        <f>((HJ919*HJ919)/(AR919*HH919*HH919)+(HG919*HG919)/(AR919*HE919*HE919))</f>
        <v>1.0517884563813462E-3</v>
      </c>
      <c r="HP919" s="15" t="s">
        <v>766</v>
      </c>
      <c r="HV919" s="15">
        <f t="shared" si="820"/>
        <v>6210.4335964055626</v>
      </c>
      <c r="HW919" s="15">
        <f t="shared" si="821"/>
        <v>0.17390090131952718</v>
      </c>
      <c r="HX919" s="15">
        <f>CA919</f>
        <v>108000</v>
      </c>
      <c r="HY919" s="15">
        <f>BY919</f>
        <v>54000</v>
      </c>
      <c r="HZ919" s="15">
        <f>BZ919</f>
        <v>49.090909090909086</v>
      </c>
      <c r="IA919" s="15">
        <f>CA919</f>
        <v>108000</v>
      </c>
    </row>
    <row r="920" spans="1:235" s="15" customFormat="1" x14ac:dyDescent="0.25">
      <c r="A920" s="31">
        <v>918</v>
      </c>
      <c r="B920" s="1">
        <v>147</v>
      </c>
      <c r="C920" s="1">
        <v>170</v>
      </c>
      <c r="D920" s="15" t="s">
        <v>2056</v>
      </c>
      <c r="E920" s="31">
        <v>4</v>
      </c>
      <c r="F920" s="15" t="s">
        <v>879</v>
      </c>
      <c r="G920" s="15" t="s">
        <v>2060</v>
      </c>
      <c r="H920" s="15" t="s">
        <v>2061</v>
      </c>
      <c r="I920" s="1">
        <v>2020</v>
      </c>
      <c r="J920" s="15" t="s">
        <v>1585</v>
      </c>
      <c r="K920" s="1" t="s">
        <v>518</v>
      </c>
      <c r="L920" s="15" t="s">
        <v>2062</v>
      </c>
      <c r="M920" s="15" t="s">
        <v>480</v>
      </c>
      <c r="N920" s="15" t="s">
        <v>23</v>
      </c>
      <c r="O920" s="31">
        <v>3</v>
      </c>
      <c r="P920" s="15">
        <v>40.799999999999997</v>
      </c>
      <c r="Q920" s="15">
        <v>123.55</v>
      </c>
      <c r="S920" s="15">
        <v>574</v>
      </c>
      <c r="T920" s="15">
        <v>7.5</v>
      </c>
      <c r="U920" s="15" t="s">
        <v>1893</v>
      </c>
      <c r="V920" s="31">
        <v>1</v>
      </c>
      <c r="W920" s="16" t="s">
        <v>1153</v>
      </c>
      <c r="X920" s="15" t="s">
        <v>731</v>
      </c>
      <c r="Y920" s="1">
        <v>12</v>
      </c>
      <c r="Z920" s="15">
        <v>6.5</v>
      </c>
      <c r="AA920" s="15" t="s">
        <v>573</v>
      </c>
      <c r="AB920" s="15">
        <f>Z920</f>
        <v>6.5</v>
      </c>
      <c r="AC920" s="1">
        <v>5</v>
      </c>
      <c r="AD920" s="15">
        <v>15.9</v>
      </c>
      <c r="AJ920" s="15">
        <v>23</v>
      </c>
      <c r="AK920" s="15">
        <v>29</v>
      </c>
      <c r="AL920" s="15">
        <v>48</v>
      </c>
      <c r="AM920" s="1">
        <v>3</v>
      </c>
      <c r="AN920" s="15">
        <v>1.18</v>
      </c>
      <c r="AP920" s="15" t="s">
        <v>1943</v>
      </c>
      <c r="AQ920" s="1">
        <v>5</v>
      </c>
      <c r="AR920" s="1">
        <v>3</v>
      </c>
      <c r="BG920" s="15" t="s">
        <v>635</v>
      </c>
      <c r="BI920" s="15">
        <v>83.5</v>
      </c>
      <c r="BJ920" s="15">
        <v>7.2</v>
      </c>
      <c r="BK920" s="15">
        <v>8.6</v>
      </c>
      <c r="BL920" s="15">
        <v>10</v>
      </c>
      <c r="BP920" s="16"/>
      <c r="BQ920" s="16"/>
      <c r="BR920" s="16"/>
      <c r="BS920" s="15">
        <v>54000</v>
      </c>
      <c r="BT920" s="15">
        <v>54000</v>
      </c>
      <c r="BU920" s="16" t="s">
        <v>766</v>
      </c>
      <c r="BY920" s="15">
        <f t="shared" si="824"/>
        <v>54000</v>
      </c>
      <c r="BZ920" s="15">
        <f t="shared" si="825"/>
        <v>49.090909090909086</v>
      </c>
      <c r="CA920" s="15">
        <f t="shared" si="826"/>
        <v>108000</v>
      </c>
      <c r="EZ920" s="16"/>
      <c r="FA920" s="16"/>
      <c r="FB920" s="16"/>
      <c r="FC920" s="16"/>
      <c r="FD920" s="16"/>
      <c r="FE920" s="16"/>
      <c r="FF920" s="16"/>
      <c r="FG920" s="16"/>
      <c r="FH920" s="16"/>
      <c r="FI920" s="16"/>
      <c r="FJ920" s="16"/>
      <c r="FK920" s="16">
        <f>FM920</f>
        <v>5.41</v>
      </c>
      <c r="FL920" s="16">
        <f>FP920</f>
        <v>6.28</v>
      </c>
      <c r="FM920" s="15">
        <v>5.41</v>
      </c>
      <c r="FN920" s="15">
        <v>0.03</v>
      </c>
      <c r="FO920" s="15">
        <f>FN920*SQRT(AR920)</f>
        <v>5.1961524227066312E-2</v>
      </c>
      <c r="FP920" s="15">
        <v>6.28</v>
      </c>
      <c r="FQ920" s="15">
        <v>0.04</v>
      </c>
      <c r="FR920" s="15">
        <f>FQ920*SQRT(AR920)</f>
        <v>6.9282032302755092E-2</v>
      </c>
      <c r="FS920" s="15">
        <f>FP920/FM920</f>
        <v>1.1608133086876156</v>
      </c>
      <c r="FT920" s="15">
        <f>FP920-FM920</f>
        <v>0.87000000000000011</v>
      </c>
      <c r="FU920" s="15">
        <f>LN(FP920)-LN(FM920)</f>
        <v>0.14912088762171716</v>
      </c>
      <c r="FV920" s="15">
        <f>((FR920*FR920)/(AR920*FP920*FP920)+(FO920*FO920)/(AR920*FM920*FM920))</f>
        <v>7.1319799582733086E-5</v>
      </c>
      <c r="FX920" s="15">
        <v>15.53</v>
      </c>
      <c r="FY920" s="15">
        <v>0.87</v>
      </c>
      <c r="FZ920" s="15">
        <f>FY920*SQRT(AR920)</f>
        <v>1.5068842025849232</v>
      </c>
      <c r="GA920" s="15">
        <v>22.95</v>
      </c>
      <c r="GB920" s="15">
        <v>0.64</v>
      </c>
      <c r="GC920" s="15">
        <f>GB920*SQRT(AR920)</f>
        <v>1.1085125168440815</v>
      </c>
      <c r="GD920" s="15">
        <f t="shared" si="827"/>
        <v>1.4777849323889247</v>
      </c>
      <c r="GE920" s="15">
        <f t="shared" si="828"/>
        <v>7.42</v>
      </c>
      <c r="GF920" s="15">
        <f t="shared" si="829"/>
        <v>0.39054429934595847</v>
      </c>
      <c r="GG920" s="15">
        <f>((GC920*GC920)/(AR920*GA920*GA920)+(FZ920*FZ920)/(AR920*FX920*FX920))</f>
        <v>3.9159768239393862E-3</v>
      </c>
      <c r="HE920" s="15">
        <v>9461</v>
      </c>
      <c r="HF920" s="15">
        <v>263</v>
      </c>
      <c r="HG920" s="15">
        <f>HF920*SQRT(AR920)</f>
        <v>455.52936239061472</v>
      </c>
      <c r="HH920" s="15">
        <v>13533</v>
      </c>
      <c r="HI920" s="15">
        <v>753</v>
      </c>
      <c r="HJ920" s="15">
        <f>HI920*SQRT(AR920)</f>
        <v>1304.2342580993645</v>
      </c>
      <c r="HK920" s="15">
        <f t="shared" si="797"/>
        <v>1.4303984779621604</v>
      </c>
      <c r="HL920" s="15">
        <f t="shared" si="798"/>
        <v>4072</v>
      </c>
      <c r="HM920" s="15">
        <f t="shared" si="799"/>
        <v>0.3579530613720614</v>
      </c>
      <c r="HN920" s="15">
        <f>((HJ920*HJ920)/(AR920*HH920*HH920)+(HG920*HG920)/(AR920*HE920*HE920))</f>
        <v>3.8687531150983479E-3</v>
      </c>
      <c r="HP920" s="15" t="s">
        <v>766</v>
      </c>
      <c r="HV920" s="15">
        <f t="shared" si="820"/>
        <v>3017.1553662937749</v>
      </c>
      <c r="HW920" s="15">
        <f t="shared" si="821"/>
        <v>0.3579530613720614</v>
      </c>
      <c r="HX920" s="15">
        <f>CA920</f>
        <v>108000</v>
      </c>
      <c r="HY920" s="15">
        <f>BY920</f>
        <v>54000</v>
      </c>
      <c r="HZ920" s="15">
        <f>BZ920</f>
        <v>49.090909090909086</v>
      </c>
      <c r="IA920" s="15">
        <f>CA920</f>
        <v>108000</v>
      </c>
    </row>
    <row r="921" spans="1:235" s="15" customFormat="1" x14ac:dyDescent="0.25">
      <c r="A921" s="31">
        <v>919</v>
      </c>
      <c r="B921" s="1">
        <v>148</v>
      </c>
      <c r="C921" s="1">
        <v>171</v>
      </c>
      <c r="D921" s="15" t="s">
        <v>2065</v>
      </c>
      <c r="E921" s="31">
        <v>2</v>
      </c>
      <c r="F921" s="15" t="s">
        <v>777</v>
      </c>
      <c r="G921" s="15" t="s">
        <v>2066</v>
      </c>
      <c r="H921" s="15" t="s">
        <v>839</v>
      </c>
      <c r="I921" s="1">
        <v>2021</v>
      </c>
      <c r="J921" s="15" t="s">
        <v>1293</v>
      </c>
      <c r="K921" s="1">
        <v>2019</v>
      </c>
      <c r="L921" s="15" t="s">
        <v>2067</v>
      </c>
      <c r="M921" s="15" t="s">
        <v>480</v>
      </c>
      <c r="N921" s="15" t="s">
        <v>23</v>
      </c>
      <c r="O921" s="31">
        <v>3</v>
      </c>
      <c r="P921" s="15">
        <v>36.69</v>
      </c>
      <c r="Q921" s="15">
        <v>109.36</v>
      </c>
      <c r="R921" s="15">
        <v>1277</v>
      </c>
      <c r="S921" s="15">
        <v>506</v>
      </c>
      <c r="T921" s="15">
        <v>9.1999999999999993</v>
      </c>
      <c r="U921" s="15" t="s">
        <v>1893</v>
      </c>
      <c r="V921" s="31">
        <v>1</v>
      </c>
      <c r="W921" s="16" t="s">
        <v>1158</v>
      </c>
      <c r="X921" s="15" t="s">
        <v>1316</v>
      </c>
      <c r="Y921" s="1">
        <v>2</v>
      </c>
      <c r="Z921" s="15">
        <v>7.81</v>
      </c>
      <c r="AA921" s="15" t="s">
        <v>573</v>
      </c>
      <c r="AB921" s="15">
        <f>Z921</f>
        <v>7.81</v>
      </c>
      <c r="AC921" s="1">
        <v>6</v>
      </c>
      <c r="AD921" s="15">
        <v>2.69</v>
      </c>
      <c r="AM921" s="1">
        <v>2</v>
      </c>
      <c r="AN921" s="15">
        <v>1.3</v>
      </c>
      <c r="AP921" s="15" t="s">
        <v>2068</v>
      </c>
      <c r="AQ921" s="1">
        <v>8</v>
      </c>
      <c r="AR921" s="1">
        <v>3</v>
      </c>
      <c r="BP921" s="16"/>
      <c r="BQ921" s="16"/>
      <c r="BR921" s="16"/>
      <c r="BU921" s="16"/>
      <c r="CC921" s="15" t="s">
        <v>2069</v>
      </c>
      <c r="CE921" s="15">
        <v>65000</v>
      </c>
      <c r="CF921" s="15">
        <v>65000</v>
      </c>
      <c r="CG921" s="15" t="s">
        <v>766</v>
      </c>
      <c r="CH921" s="15">
        <v>8.98</v>
      </c>
      <c r="CI921" s="15">
        <v>500</v>
      </c>
      <c r="CK921" s="15">
        <v>306.25</v>
      </c>
      <c r="CL921" s="15">
        <v>8.9700000000000006</v>
      </c>
      <c r="CY921" s="25">
        <f>CF921</f>
        <v>65000</v>
      </c>
      <c r="CZ921" s="25">
        <f>CY921/0.78/1000</f>
        <v>83.333333333333329</v>
      </c>
      <c r="DA921" s="25">
        <f>CY921*3</f>
        <v>195000</v>
      </c>
      <c r="EZ921" s="15">
        <v>1.1499999999999999</v>
      </c>
      <c r="FA921" s="15">
        <v>0.01</v>
      </c>
      <c r="FB921" s="15">
        <f>FA921*SQRT(AR921)</f>
        <v>1.7320508075688773E-2</v>
      </c>
      <c r="FC921" s="15">
        <v>1.1499999999999999</v>
      </c>
      <c r="FD921" s="15">
        <v>0.01</v>
      </c>
      <c r="FE921" s="15">
        <f>FD921*SQRT(AR921)</f>
        <v>1.7320508075688773E-2</v>
      </c>
      <c r="FF921" s="15">
        <f t="shared" ref="FF921:FF926" si="830">FC921/EZ921</f>
        <v>1</v>
      </c>
      <c r="FG921" s="15">
        <f t="shared" ref="FG921:FG926" si="831">FC921-EZ921</f>
        <v>0</v>
      </c>
      <c r="FH921" s="15">
        <f t="shared" ref="FH921:FH926" si="832">LN(FC921)-LN(EZ921)</f>
        <v>0</v>
      </c>
      <c r="FI921" s="15">
        <f>((FE921*FE921)/(AR921*FC921*FC921)+(FB921*FB921)/(AR921*EZ921*EZ921))</f>
        <v>1.5122873345935732E-4</v>
      </c>
      <c r="FJ921" s="16"/>
      <c r="FK921" s="16">
        <f>FM921</f>
        <v>7.68</v>
      </c>
      <c r="FL921" s="16">
        <f>FP921</f>
        <v>8.5399999999999991</v>
      </c>
      <c r="FM921" s="15">
        <v>7.68</v>
      </c>
      <c r="FN921" s="15">
        <v>0.06</v>
      </c>
      <c r="FO921" s="15">
        <f>FN921*SQRT(AR921)</f>
        <v>0.10392304845413262</v>
      </c>
      <c r="FP921" s="15">
        <v>8.5399999999999991</v>
      </c>
      <c r="FQ921" s="15">
        <v>0.06</v>
      </c>
      <c r="FR921" s="15">
        <f>FQ921*SQRT(AR921)</f>
        <v>0.10392304845413262</v>
      </c>
      <c r="FS921" s="15">
        <f>FP921/FM921</f>
        <v>1.1119791666666665</v>
      </c>
      <c r="FT921" s="15">
        <f>FP921-FM921</f>
        <v>0.85999999999999943</v>
      </c>
      <c r="FU921" s="15">
        <f>LN(FP921)-LN(FM921)</f>
        <v>0.10614146064089747</v>
      </c>
      <c r="FV921" s="15">
        <f>((FR921*FR921)/(AR921*FP921*FP921)+(FO921*FO921)/(AR921*FM921*FM921))</f>
        <v>1.1039647562322092E-4</v>
      </c>
      <c r="FX921" s="15">
        <v>6.8382000000000005</v>
      </c>
      <c r="FY921" s="15">
        <v>0.02</v>
      </c>
      <c r="FZ921" s="15">
        <f>FY921*SQRT(AR921)</f>
        <v>3.4641016151377546E-2</v>
      </c>
      <c r="GA921" s="15">
        <v>21.019200000000001</v>
      </c>
      <c r="GB921" s="15">
        <v>0.33</v>
      </c>
      <c r="GC921" s="15">
        <f>GB921*SQRT(AR921)</f>
        <v>0.57157676649772948</v>
      </c>
      <c r="GD921" s="15">
        <f t="shared" si="827"/>
        <v>3.0737913486005088</v>
      </c>
      <c r="GE921" s="15">
        <f t="shared" si="828"/>
        <v>14.181000000000001</v>
      </c>
      <c r="GF921" s="15">
        <f t="shared" si="829"/>
        <v>1.1229117666254989</v>
      </c>
      <c r="GG921" s="15">
        <f>((GC921*GC921)/(AR921*GA921*GA921)+(FZ921*FZ921)/(AR921*FX921*FX921))</f>
        <v>2.5504198962082367E-4</v>
      </c>
      <c r="HY921" s="25">
        <f>CY921</f>
        <v>65000</v>
      </c>
      <c r="HZ921" s="25">
        <f>CZ921</f>
        <v>83.333333333333329</v>
      </c>
      <c r="IA921" s="25">
        <f>DA921</f>
        <v>195000</v>
      </c>
    </row>
    <row r="922" spans="1:235" s="15" customFormat="1" x14ac:dyDescent="0.25">
      <c r="A922" s="31">
        <v>920</v>
      </c>
      <c r="B922" s="1">
        <v>149</v>
      </c>
      <c r="C922" s="1">
        <v>172</v>
      </c>
      <c r="D922" s="15" t="s">
        <v>2070</v>
      </c>
      <c r="E922" s="31">
        <v>4</v>
      </c>
      <c r="F922" s="15" t="s">
        <v>879</v>
      </c>
      <c r="G922" s="15" t="s">
        <v>2075</v>
      </c>
      <c r="H922" s="15" t="s">
        <v>818</v>
      </c>
      <c r="I922" s="1">
        <v>2018</v>
      </c>
      <c r="J922" s="15" t="s">
        <v>1257</v>
      </c>
      <c r="K922" s="1">
        <v>2015</v>
      </c>
      <c r="L922" s="15" t="s">
        <v>2076</v>
      </c>
      <c r="M922" s="15" t="s">
        <v>480</v>
      </c>
      <c r="N922" s="15" t="s">
        <v>23</v>
      </c>
      <c r="O922" s="31">
        <v>3</v>
      </c>
      <c r="P922" s="15">
        <v>36.68</v>
      </c>
      <c r="Q922" s="15">
        <v>117.07</v>
      </c>
      <c r="S922" s="15">
        <v>685</v>
      </c>
      <c r="T922" s="15">
        <v>14.7</v>
      </c>
      <c r="U922" s="15" t="s">
        <v>807</v>
      </c>
      <c r="V922" s="31">
        <v>2</v>
      </c>
      <c r="W922" s="15" t="s">
        <v>2077</v>
      </c>
      <c r="X922" s="15" t="s">
        <v>1316</v>
      </c>
      <c r="Y922" s="1">
        <v>2</v>
      </c>
      <c r="AC922" s="1"/>
      <c r="AD922" s="15">
        <v>14.11</v>
      </c>
      <c r="AM922" s="1">
        <v>2</v>
      </c>
      <c r="AN922" s="15">
        <v>1.34</v>
      </c>
      <c r="AQ922" s="1"/>
      <c r="AR922" s="1">
        <v>10</v>
      </c>
      <c r="BG922" s="15" t="s">
        <v>2078</v>
      </c>
      <c r="BI922" s="15">
        <f>216.85/1.74</f>
        <v>124.62643678160919</v>
      </c>
      <c r="BJ922" s="15">
        <v>24.81</v>
      </c>
      <c r="BK922" s="15">
        <v>2.99</v>
      </c>
      <c r="BL922" s="15">
        <v>4.72</v>
      </c>
      <c r="BS922" s="15">
        <v>30</v>
      </c>
      <c r="BT922" s="15">
        <f>BS922*2250</f>
        <v>67500</v>
      </c>
      <c r="BU922" s="15" t="s">
        <v>766</v>
      </c>
      <c r="BY922" s="15">
        <f>BT922</f>
        <v>67500</v>
      </c>
      <c r="BZ922" s="15">
        <f>BY922/1.1/1000</f>
        <v>61.36363636363636</v>
      </c>
      <c r="CA922" s="15">
        <f>BY922*2</f>
        <v>135000</v>
      </c>
      <c r="EZ922" s="15">
        <v>1.34</v>
      </c>
      <c r="FA922" s="15">
        <f>EZ922*0.01</f>
        <v>1.34E-2</v>
      </c>
      <c r="FB922" s="15">
        <f>FA922*SQRT(AR922)</f>
        <v>4.237452064625629E-2</v>
      </c>
      <c r="FC922" s="15">
        <v>1.33</v>
      </c>
      <c r="FD922" s="15">
        <f>FC922*0.01</f>
        <v>1.3300000000000001E-2</v>
      </c>
      <c r="FE922" s="15">
        <f>FD922*SQRT(AR922)</f>
        <v>4.2058292880239448E-2</v>
      </c>
      <c r="FF922" s="15">
        <f t="shared" si="830"/>
        <v>0.9925373134328358</v>
      </c>
      <c r="FG922" s="15">
        <f t="shared" si="831"/>
        <v>-1.0000000000000009E-2</v>
      </c>
      <c r="FH922" s="15">
        <f t="shared" si="832"/>
        <v>-7.490671729157572E-3</v>
      </c>
      <c r="FI922" s="15">
        <f>((FE922*FE922)/(AR922*FC922*FC922)+(FB922*FB922)/(AR922*EZ922*EZ922))</f>
        <v>2.0000000000000004E-4</v>
      </c>
      <c r="FX922" s="15">
        <v>12.66</v>
      </c>
      <c r="FY922" s="15">
        <v>0.86</v>
      </c>
      <c r="FZ922" s="15">
        <f>FY922*SQRT(AR922)</f>
        <v>2.7195587877448064</v>
      </c>
      <c r="GA922" s="15">
        <v>24.98</v>
      </c>
      <c r="GB922" s="15">
        <v>1.38</v>
      </c>
      <c r="GC922" s="15">
        <f>GB922*SQRT(AR922)</f>
        <v>4.3639431710323633</v>
      </c>
      <c r="GD922" s="15">
        <f t="shared" si="827"/>
        <v>1.9731437598736177</v>
      </c>
      <c r="GE922" s="15">
        <f t="shared" si="828"/>
        <v>12.32</v>
      </c>
      <c r="GF922" s="15">
        <f t="shared" si="829"/>
        <v>0.6796280879814014</v>
      </c>
      <c r="GG922" s="15">
        <f>((GC922*GC922)/(AR922*GA922*GA922)+(FZ922*FZ922)/(AR922*FX922*FX922))</f>
        <v>7.6664725557163329E-3</v>
      </c>
      <c r="HY922" s="15">
        <f>BY922</f>
        <v>67500</v>
      </c>
      <c r="HZ922" s="15">
        <f>BZ922</f>
        <v>61.36363636363636</v>
      </c>
      <c r="IA922" s="15">
        <f>CA922</f>
        <v>135000</v>
      </c>
    </row>
    <row r="923" spans="1:235" s="15" customFormat="1" x14ac:dyDescent="0.25">
      <c r="A923" s="31">
        <v>921</v>
      </c>
      <c r="B923" s="1">
        <v>149</v>
      </c>
      <c r="C923" s="1">
        <v>172</v>
      </c>
      <c r="D923" s="15" t="s">
        <v>2071</v>
      </c>
      <c r="E923" s="31">
        <v>6</v>
      </c>
      <c r="F923" s="15" t="s">
        <v>1155</v>
      </c>
      <c r="G923" s="15" t="s">
        <v>2075</v>
      </c>
      <c r="H923" s="15" t="s">
        <v>818</v>
      </c>
      <c r="I923" s="1">
        <v>2018</v>
      </c>
      <c r="J923" s="15" t="s">
        <v>1257</v>
      </c>
      <c r="K923" s="1">
        <v>2015</v>
      </c>
      <c r="L923" s="15" t="s">
        <v>2076</v>
      </c>
      <c r="M923" s="15" t="s">
        <v>480</v>
      </c>
      <c r="N923" s="15" t="s">
        <v>23</v>
      </c>
      <c r="O923" s="31">
        <v>3</v>
      </c>
      <c r="P923" s="15">
        <v>36.68</v>
      </c>
      <c r="Q923" s="15">
        <v>117.07</v>
      </c>
      <c r="S923" s="15">
        <v>685</v>
      </c>
      <c r="T923" s="15">
        <v>14.7</v>
      </c>
      <c r="U923" s="15" t="s">
        <v>807</v>
      </c>
      <c r="V923" s="31">
        <v>2</v>
      </c>
      <c r="W923" s="15" t="s">
        <v>2077</v>
      </c>
      <c r="X923" s="15" t="s">
        <v>1316</v>
      </c>
      <c r="Y923" s="1">
        <v>2</v>
      </c>
      <c r="AC923" s="1"/>
      <c r="AD923" s="15">
        <v>14.11</v>
      </c>
      <c r="AM923" s="1">
        <v>2</v>
      </c>
      <c r="AN923" s="15">
        <v>1.34</v>
      </c>
      <c r="AQ923" s="1"/>
      <c r="AR923" s="1">
        <v>10</v>
      </c>
      <c r="BG923" s="15" t="s">
        <v>2078</v>
      </c>
      <c r="BI923" s="15">
        <f>216.85/1.74</f>
        <v>124.62643678160919</v>
      </c>
      <c r="BJ923" s="15">
        <v>24.81</v>
      </c>
      <c r="BK923" s="15">
        <v>2.99</v>
      </c>
      <c r="BL923" s="15">
        <v>4.72</v>
      </c>
      <c r="BS923" s="15">
        <v>22.5</v>
      </c>
      <c r="BT923" s="15">
        <f>BS923*2250</f>
        <v>50625</v>
      </c>
      <c r="BU923" s="15" t="s">
        <v>766</v>
      </c>
      <c r="BY923" s="15">
        <f>BT923</f>
        <v>50625</v>
      </c>
      <c r="BZ923" s="15">
        <f>BY923/1.1/1000</f>
        <v>46.022727272727273</v>
      </c>
      <c r="CA923" s="15">
        <f>BY923*2</f>
        <v>101250</v>
      </c>
      <c r="CC923" s="15" t="s">
        <v>2079</v>
      </c>
      <c r="CE923" s="15">
        <v>7.5</v>
      </c>
      <c r="CF923" s="15">
        <f>CE923*2250</f>
        <v>16875</v>
      </c>
      <c r="CG923" s="15" t="s">
        <v>766</v>
      </c>
      <c r="CI923" s="15">
        <v>400</v>
      </c>
      <c r="CK923" s="15">
        <v>286.32</v>
      </c>
      <c r="CL923" s="15">
        <v>4.16</v>
      </c>
      <c r="CY923" s="25">
        <f>CF923</f>
        <v>16875</v>
      </c>
      <c r="CZ923" s="25">
        <f>CY923/0.78/1000</f>
        <v>21.634615384615383</v>
      </c>
      <c r="DA923" s="25">
        <f>CY923*3</f>
        <v>50625</v>
      </c>
      <c r="EW923" s="46">
        <f>AX923+BT923+CF923+DE923+DY923</f>
        <v>67500</v>
      </c>
      <c r="EX923" s="46">
        <f>BA923+BZ923+CZ923+DT923+ET923</f>
        <v>67.657342657342653</v>
      </c>
      <c r="EY923" s="46">
        <f>BB923+CA923+DA923+DU923+EU923</f>
        <v>151875</v>
      </c>
      <c r="EZ923" s="15">
        <v>1.34</v>
      </c>
      <c r="FA923" s="15">
        <f>EZ923*0.01</f>
        <v>1.34E-2</v>
      </c>
      <c r="FB923" s="15">
        <f>FA923*SQRT(AR923)</f>
        <v>4.237452064625629E-2</v>
      </c>
      <c r="FC923" s="15">
        <v>1.3</v>
      </c>
      <c r="FD923" s="15">
        <f>FC923*0.01</f>
        <v>1.3000000000000001E-2</v>
      </c>
      <c r="FE923" s="15">
        <f>FD923*SQRT(AR923)</f>
        <v>4.1109609582188934E-2</v>
      </c>
      <c r="FF923" s="15">
        <f t="shared" si="830"/>
        <v>0.97014925373134331</v>
      </c>
      <c r="FG923" s="15">
        <f t="shared" si="831"/>
        <v>-4.0000000000000036E-2</v>
      </c>
      <c r="FH923" s="15">
        <f t="shared" si="832"/>
        <v>-3.0305349495328981E-2</v>
      </c>
      <c r="FI923" s="15">
        <f>((FE923*FE923)/(AR923*FC923*FC923)+(FB923*FB923)/(AR923*EZ923*EZ923))</f>
        <v>2.0000000000000004E-4</v>
      </c>
      <c r="FX923" s="15">
        <v>12.66</v>
      </c>
      <c r="FY923" s="15">
        <v>0.86</v>
      </c>
      <c r="FZ923" s="15">
        <f>FY923*SQRT(AR923)</f>
        <v>2.7195587877448064</v>
      </c>
      <c r="GA923" s="15">
        <v>24.05</v>
      </c>
      <c r="GB923" s="15">
        <v>0.56999999999999995</v>
      </c>
      <c r="GC923" s="15">
        <f>GB923*SQRT(AR923)</f>
        <v>1.8024982662959761</v>
      </c>
      <c r="GD923" s="15">
        <f t="shared" si="827"/>
        <v>1.8996840442338072</v>
      </c>
      <c r="GE923" s="15">
        <f t="shared" si="828"/>
        <v>11.39</v>
      </c>
      <c r="GF923" s="15">
        <f t="shared" si="829"/>
        <v>0.64168757983573999</v>
      </c>
      <c r="GG923" s="15">
        <f>((GC923*GC923)/(AR923*GA923*GA923)+(FZ923*FZ923)/(AR923*FX923*FX923))</f>
        <v>5.1762709989515154E-3</v>
      </c>
      <c r="HY923" s="15">
        <f t="shared" ref="HY923:IA925" si="833">EW923</f>
        <v>67500</v>
      </c>
      <c r="HZ923" s="15">
        <f t="shared" si="833"/>
        <v>67.657342657342653</v>
      </c>
      <c r="IA923" s="15">
        <f t="shared" si="833"/>
        <v>151875</v>
      </c>
    </row>
    <row r="924" spans="1:235" s="15" customFormat="1" x14ac:dyDescent="0.25">
      <c r="A924" s="31">
        <v>922</v>
      </c>
      <c r="B924" s="1">
        <v>149</v>
      </c>
      <c r="C924" s="1">
        <v>172</v>
      </c>
      <c r="D924" s="15" t="s">
        <v>2072</v>
      </c>
      <c r="E924" s="31">
        <v>6</v>
      </c>
      <c r="F924" s="15" t="s">
        <v>1155</v>
      </c>
      <c r="G924" s="15" t="s">
        <v>2075</v>
      </c>
      <c r="H924" s="15" t="s">
        <v>818</v>
      </c>
      <c r="I924" s="1">
        <v>2018</v>
      </c>
      <c r="J924" s="15" t="s">
        <v>1257</v>
      </c>
      <c r="K924" s="1">
        <v>2015</v>
      </c>
      <c r="L924" s="15" t="s">
        <v>2076</v>
      </c>
      <c r="M924" s="15" t="s">
        <v>480</v>
      </c>
      <c r="N924" s="15" t="s">
        <v>23</v>
      </c>
      <c r="O924" s="31">
        <v>3</v>
      </c>
      <c r="P924" s="15">
        <v>36.68</v>
      </c>
      <c r="Q924" s="15">
        <v>117.07</v>
      </c>
      <c r="S924" s="15">
        <v>685</v>
      </c>
      <c r="T924" s="15">
        <v>14.7</v>
      </c>
      <c r="U924" s="15" t="s">
        <v>807</v>
      </c>
      <c r="V924" s="31">
        <v>2</v>
      </c>
      <c r="W924" s="15" t="s">
        <v>2077</v>
      </c>
      <c r="X924" s="15" t="s">
        <v>1316</v>
      </c>
      <c r="Y924" s="1">
        <v>2</v>
      </c>
      <c r="AC924" s="1"/>
      <c r="AD924" s="15">
        <v>14.11</v>
      </c>
      <c r="AM924" s="1">
        <v>2</v>
      </c>
      <c r="AN924" s="15">
        <v>1.34</v>
      </c>
      <c r="AQ924" s="1"/>
      <c r="AR924" s="1">
        <v>10</v>
      </c>
      <c r="BG924" s="15" t="s">
        <v>2078</v>
      </c>
      <c r="BI924" s="15">
        <f>216.85/1.74</f>
        <v>124.62643678160919</v>
      </c>
      <c r="BJ924" s="15">
        <v>24.81</v>
      </c>
      <c r="BK924" s="15">
        <v>2.99</v>
      </c>
      <c r="BL924" s="15">
        <v>4.72</v>
      </c>
      <c r="BS924" s="15">
        <v>15</v>
      </c>
      <c r="BT924" s="15">
        <f>BS924*2250</f>
        <v>33750</v>
      </c>
      <c r="BU924" s="15" t="s">
        <v>766</v>
      </c>
      <c r="BY924" s="15">
        <f>BT924</f>
        <v>33750</v>
      </c>
      <c r="BZ924" s="15">
        <f>BY924/1.1/1000</f>
        <v>30.68181818181818</v>
      </c>
      <c r="CA924" s="15">
        <f>BY924*2</f>
        <v>67500</v>
      </c>
      <c r="CC924" s="15" t="s">
        <v>2079</v>
      </c>
      <c r="CE924" s="15">
        <v>15</v>
      </c>
      <c r="CF924" s="15">
        <f>CE924*2250</f>
        <v>33750</v>
      </c>
      <c r="CG924" s="15" t="s">
        <v>766</v>
      </c>
      <c r="CI924" s="15">
        <v>400</v>
      </c>
      <c r="CK924" s="15">
        <v>286.32</v>
      </c>
      <c r="CL924" s="15">
        <v>4.16</v>
      </c>
      <c r="CY924" s="25">
        <f>CF924</f>
        <v>33750</v>
      </c>
      <c r="CZ924" s="25">
        <f>CY924/0.78/1000</f>
        <v>43.269230769230766</v>
      </c>
      <c r="DA924" s="25">
        <f>CY924*3</f>
        <v>101250</v>
      </c>
      <c r="EW924" s="46">
        <f>AX924+BT924+CF924+DE924+DY924</f>
        <v>67500</v>
      </c>
      <c r="EX924" s="46">
        <f>BA924+BZ924+CZ924+DT924+ET924</f>
        <v>73.951048951048946</v>
      </c>
      <c r="EY924" s="46">
        <f>BB924+CA924+DA924+DU924+EU924</f>
        <v>168750</v>
      </c>
      <c r="EZ924" s="15">
        <v>1.34</v>
      </c>
      <c r="FA924" s="15">
        <f>EZ924*0.01</f>
        <v>1.34E-2</v>
      </c>
      <c r="FB924" s="15">
        <f>FA924*SQRT(AR924)</f>
        <v>4.237452064625629E-2</v>
      </c>
      <c r="FC924" s="15">
        <v>1.28</v>
      </c>
      <c r="FD924" s="15">
        <f>FC924*0.01</f>
        <v>1.2800000000000001E-2</v>
      </c>
      <c r="FE924" s="15">
        <f>FD924*SQRT(AR924)</f>
        <v>4.0477154050155263E-2</v>
      </c>
      <c r="FF924" s="15">
        <f t="shared" si="830"/>
        <v>0.95522388059701491</v>
      </c>
      <c r="FG924" s="15">
        <f t="shared" si="831"/>
        <v>-6.0000000000000053E-2</v>
      </c>
      <c r="FH924" s="15">
        <f t="shared" si="832"/>
        <v>-4.5809536031294229E-2</v>
      </c>
      <c r="FI924" s="15">
        <f>((FE924*FE924)/(AR924*FC924*FC924)+(FB924*FB924)/(AR924*EZ924*EZ924))</f>
        <v>2.0000000000000004E-4</v>
      </c>
      <c r="FX924" s="15">
        <v>12.66</v>
      </c>
      <c r="FY924" s="15">
        <v>0.86</v>
      </c>
      <c r="FZ924" s="15">
        <f>FY924*SQRT(AR924)</f>
        <v>2.7195587877448064</v>
      </c>
      <c r="GA924" s="15">
        <v>19.579999999999998</v>
      </c>
      <c r="GB924" s="15">
        <v>1.06</v>
      </c>
      <c r="GC924" s="15">
        <f>GB924*SQRT(AR924)</f>
        <v>3.3520143197784824</v>
      </c>
      <c r="GD924" s="15">
        <f t="shared" si="827"/>
        <v>1.5466034755134279</v>
      </c>
      <c r="GE924" s="15">
        <f t="shared" si="828"/>
        <v>6.9199999999999982</v>
      </c>
      <c r="GF924" s="15">
        <f t="shared" si="829"/>
        <v>0.4360612203863341</v>
      </c>
      <c r="GG924" s="15">
        <f>((GC924*GC924)/(AR924*GA924*GA924)+(FZ924*FZ924)/(AR924*FX924*FX924))</f>
        <v>7.545352600795906E-3</v>
      </c>
      <c r="HY924" s="15">
        <f t="shared" si="833"/>
        <v>67500</v>
      </c>
      <c r="HZ924" s="15">
        <f t="shared" si="833"/>
        <v>73.951048951048946</v>
      </c>
      <c r="IA924" s="15">
        <f t="shared" si="833"/>
        <v>168750</v>
      </c>
    </row>
    <row r="925" spans="1:235" s="15" customFormat="1" x14ac:dyDescent="0.25">
      <c r="A925" s="31">
        <v>923</v>
      </c>
      <c r="B925" s="1">
        <v>149</v>
      </c>
      <c r="C925" s="1">
        <v>172</v>
      </c>
      <c r="D925" s="15" t="s">
        <v>2073</v>
      </c>
      <c r="E925" s="31">
        <v>6</v>
      </c>
      <c r="F925" s="15" t="s">
        <v>1155</v>
      </c>
      <c r="G925" s="15" t="s">
        <v>2075</v>
      </c>
      <c r="H925" s="15" t="s">
        <v>818</v>
      </c>
      <c r="I925" s="1">
        <v>2018</v>
      </c>
      <c r="J925" s="15" t="s">
        <v>1257</v>
      </c>
      <c r="K925" s="1">
        <v>2015</v>
      </c>
      <c r="L925" s="15" t="s">
        <v>2076</v>
      </c>
      <c r="M925" s="15" t="s">
        <v>480</v>
      </c>
      <c r="N925" s="15" t="s">
        <v>23</v>
      </c>
      <c r="O925" s="31">
        <v>3</v>
      </c>
      <c r="P925" s="15">
        <v>36.68</v>
      </c>
      <c r="Q925" s="15">
        <v>117.07</v>
      </c>
      <c r="S925" s="15">
        <v>685</v>
      </c>
      <c r="T925" s="15">
        <v>14.7</v>
      </c>
      <c r="U925" s="15" t="s">
        <v>807</v>
      </c>
      <c r="V925" s="31">
        <v>2</v>
      </c>
      <c r="W925" s="15" t="s">
        <v>2077</v>
      </c>
      <c r="X925" s="15" t="s">
        <v>1316</v>
      </c>
      <c r="Y925" s="1">
        <v>2</v>
      </c>
      <c r="AC925" s="1"/>
      <c r="AD925" s="15">
        <v>14.11</v>
      </c>
      <c r="AM925" s="1">
        <v>2</v>
      </c>
      <c r="AN925" s="15">
        <v>1.34</v>
      </c>
      <c r="AQ925" s="1"/>
      <c r="AR925" s="1">
        <v>10</v>
      </c>
      <c r="BG925" s="15" t="s">
        <v>2078</v>
      </c>
      <c r="BI925" s="15">
        <f>216.85/1.74</f>
        <v>124.62643678160919</v>
      </c>
      <c r="BJ925" s="15">
        <v>24.81</v>
      </c>
      <c r="BK925" s="15">
        <v>2.99</v>
      </c>
      <c r="BL925" s="15">
        <v>4.72</v>
      </c>
      <c r="BS925" s="15">
        <v>7.5</v>
      </c>
      <c r="BT925" s="15">
        <f>BS925*2250</f>
        <v>16875</v>
      </c>
      <c r="BU925" s="15" t="s">
        <v>766</v>
      </c>
      <c r="BY925" s="15">
        <f>BT925</f>
        <v>16875</v>
      </c>
      <c r="BZ925" s="15">
        <f>BY925/1.1/1000</f>
        <v>15.34090909090909</v>
      </c>
      <c r="CA925" s="15">
        <f>BY925*2</f>
        <v>33750</v>
      </c>
      <c r="CC925" s="15" t="s">
        <v>2079</v>
      </c>
      <c r="CE925" s="15">
        <v>22.5</v>
      </c>
      <c r="CF925" s="15">
        <f>CE925*2250</f>
        <v>50625</v>
      </c>
      <c r="CG925" s="15" t="s">
        <v>766</v>
      </c>
      <c r="CI925" s="15">
        <v>400</v>
      </c>
      <c r="CK925" s="15">
        <v>286.32</v>
      </c>
      <c r="CL925" s="15">
        <v>4.16</v>
      </c>
      <c r="CY925" s="25">
        <f>CF925</f>
        <v>50625</v>
      </c>
      <c r="CZ925" s="25">
        <f>CY925/0.78/1000</f>
        <v>64.903846153846146</v>
      </c>
      <c r="DA925" s="25">
        <f>CY925*3</f>
        <v>151875</v>
      </c>
      <c r="EW925" s="46">
        <f>AX925+BT925+CF925+DE925+DY925</f>
        <v>67500</v>
      </c>
      <c r="EX925" s="46">
        <f>BA925+BZ925+CZ925+DT925+ET925</f>
        <v>80.24475524475524</v>
      </c>
      <c r="EY925" s="46">
        <f>BB925+CA925+DA925+DU925+EU925</f>
        <v>185625</v>
      </c>
      <c r="EZ925" s="15">
        <v>1.34</v>
      </c>
      <c r="FA925" s="15">
        <f>EZ925*0.01</f>
        <v>1.34E-2</v>
      </c>
      <c r="FB925" s="15">
        <f>FA925*SQRT(AR925)</f>
        <v>4.237452064625629E-2</v>
      </c>
      <c r="FC925" s="15">
        <v>1.21</v>
      </c>
      <c r="FD925" s="15">
        <f>FC925*0.01</f>
        <v>1.21E-2</v>
      </c>
      <c r="FE925" s="15">
        <f>FD925*SQRT(AR925)</f>
        <v>3.8263559688037393E-2</v>
      </c>
      <c r="FF925" s="15">
        <f t="shared" si="830"/>
        <v>0.90298507462686561</v>
      </c>
      <c r="FG925" s="15">
        <f t="shared" si="831"/>
        <v>-0.13000000000000012</v>
      </c>
      <c r="FH925" s="15">
        <f t="shared" si="832"/>
        <v>-0.10204925435417034</v>
      </c>
      <c r="FI925" s="15">
        <f>((FE925*FE925)/(AR925*FC925*FC925)+(FB925*FB925)/(AR925*EZ925*EZ925))</f>
        <v>2.0000000000000004E-4</v>
      </c>
      <c r="FX925" s="15">
        <v>12.66</v>
      </c>
      <c r="FY925" s="15">
        <v>0.86</v>
      </c>
      <c r="FZ925" s="15">
        <f>FY925*SQRT(AR925)</f>
        <v>2.7195587877448064</v>
      </c>
      <c r="GA925" s="15">
        <v>18.41</v>
      </c>
      <c r="GB925" s="15">
        <v>2</v>
      </c>
      <c r="GC925" s="15">
        <f>GB925*SQRT(AR925)</f>
        <v>6.324555320336759</v>
      </c>
      <c r="GD925" s="15">
        <f t="shared" si="827"/>
        <v>1.4541864139020537</v>
      </c>
      <c r="GE925" s="15">
        <f t="shared" si="828"/>
        <v>5.75</v>
      </c>
      <c r="GF925" s="15">
        <f t="shared" si="829"/>
        <v>0.37444657852895613</v>
      </c>
      <c r="GG925" s="15">
        <f>((GC925*GC925)/(AR925*GA925*GA925)+(FZ925*FZ925)/(AR925*FX925*FX925))</f>
        <v>1.6416464584283991E-2</v>
      </c>
      <c r="HY925" s="15">
        <f t="shared" si="833"/>
        <v>67500</v>
      </c>
      <c r="HZ925" s="15">
        <f t="shared" si="833"/>
        <v>80.24475524475524</v>
      </c>
      <c r="IA925" s="15">
        <f t="shared" si="833"/>
        <v>185625</v>
      </c>
    </row>
    <row r="926" spans="1:235" s="15" customFormat="1" x14ac:dyDescent="0.25">
      <c r="A926" s="31">
        <v>924</v>
      </c>
      <c r="B926" s="1">
        <v>149</v>
      </c>
      <c r="C926" s="1">
        <v>172</v>
      </c>
      <c r="D926" s="15" t="s">
        <v>2074</v>
      </c>
      <c r="E926" s="31">
        <v>2</v>
      </c>
      <c r="F926" s="15" t="s">
        <v>777</v>
      </c>
      <c r="G926" s="15" t="s">
        <v>2075</v>
      </c>
      <c r="H926" s="15" t="s">
        <v>818</v>
      </c>
      <c r="I926" s="1">
        <v>2018</v>
      </c>
      <c r="J926" s="15" t="s">
        <v>1257</v>
      </c>
      <c r="K926" s="1">
        <v>2015</v>
      </c>
      <c r="L926" s="15" t="s">
        <v>2076</v>
      </c>
      <c r="M926" s="15" t="s">
        <v>480</v>
      </c>
      <c r="N926" s="15" t="s">
        <v>23</v>
      </c>
      <c r="O926" s="31">
        <v>3</v>
      </c>
      <c r="P926" s="15">
        <v>36.68</v>
      </c>
      <c r="Q926" s="15">
        <v>117.07</v>
      </c>
      <c r="S926" s="15">
        <v>685</v>
      </c>
      <c r="T926" s="15">
        <v>14.7</v>
      </c>
      <c r="U926" s="15" t="s">
        <v>807</v>
      </c>
      <c r="V926" s="31">
        <v>2</v>
      </c>
      <c r="W926" s="15" t="s">
        <v>2077</v>
      </c>
      <c r="X926" s="15" t="s">
        <v>1316</v>
      </c>
      <c r="Y926" s="1">
        <v>2</v>
      </c>
      <c r="AC926" s="1"/>
      <c r="AD926" s="15">
        <v>14.11</v>
      </c>
      <c r="AM926" s="1">
        <v>2</v>
      </c>
      <c r="AN926" s="15">
        <v>1.34</v>
      </c>
      <c r="AQ926" s="1"/>
      <c r="AR926" s="1">
        <v>10</v>
      </c>
      <c r="CC926" s="15" t="s">
        <v>2079</v>
      </c>
      <c r="CE926" s="15">
        <v>30</v>
      </c>
      <c r="CF926" s="15">
        <f>CE926*2250</f>
        <v>67500</v>
      </c>
      <c r="CG926" s="15" t="s">
        <v>766</v>
      </c>
      <c r="CI926" s="15">
        <v>400</v>
      </c>
      <c r="CK926" s="15">
        <v>286.32</v>
      </c>
      <c r="CL926" s="15">
        <v>4.16</v>
      </c>
      <c r="CY926" s="25">
        <f>CF926</f>
        <v>67500</v>
      </c>
      <c r="CZ926" s="25">
        <f>CY926/0.78/1000</f>
        <v>86.538461538461533</v>
      </c>
      <c r="DA926" s="25">
        <f>CY926*3</f>
        <v>202500</v>
      </c>
      <c r="EZ926" s="15">
        <v>1.34</v>
      </c>
      <c r="FA926" s="15">
        <f>EZ926*0.01</f>
        <v>1.34E-2</v>
      </c>
      <c r="FB926" s="15">
        <f>FA926*SQRT(AR926)</f>
        <v>4.237452064625629E-2</v>
      </c>
      <c r="FC926" s="15">
        <v>1.19</v>
      </c>
      <c r="FD926" s="15">
        <f>FC926*0.01</f>
        <v>1.1899999999999999E-2</v>
      </c>
      <c r="FE926" s="15">
        <f>FD926*SQRT(AR926)</f>
        <v>3.7631104156003715E-2</v>
      </c>
      <c r="FF926" s="15">
        <f t="shared" si="830"/>
        <v>0.88805970149253721</v>
      </c>
      <c r="FG926" s="15">
        <f t="shared" si="831"/>
        <v>-0.15000000000000013</v>
      </c>
      <c r="FH926" s="15">
        <f t="shared" si="832"/>
        <v>-0.11871630683938206</v>
      </c>
      <c r="FI926" s="15">
        <f>((FE926*FE926)/(AR926*FC926*FC926)+(FB926*FB926)/(AR926*EZ926*EZ926))</f>
        <v>2.0000000000000004E-4</v>
      </c>
      <c r="FX926" s="15">
        <v>12.66</v>
      </c>
      <c r="FY926" s="15">
        <v>0.86</v>
      </c>
      <c r="FZ926" s="15">
        <f>FY926*SQRT(AR926)</f>
        <v>2.7195587877448064</v>
      </c>
      <c r="GA926" s="15">
        <v>17.989999999999998</v>
      </c>
      <c r="GB926" s="15">
        <v>0.64</v>
      </c>
      <c r="GC926" s="15">
        <f>GB926*SQRT(AR926)</f>
        <v>2.0238577025077631</v>
      </c>
      <c r="GD926" s="15">
        <f t="shared" si="827"/>
        <v>1.4210110584518165</v>
      </c>
      <c r="GE926" s="15">
        <f t="shared" si="828"/>
        <v>5.3299999999999983</v>
      </c>
      <c r="GF926" s="15">
        <f t="shared" si="829"/>
        <v>0.35136863124641149</v>
      </c>
      <c r="GG926" s="15">
        <f>((GC926*GC926)/(AR926*GA926*GA926)+(FZ926*FZ926)/(AR926*FX926*FX926))</f>
        <v>5.8801548013612788E-3</v>
      </c>
      <c r="HY926" s="25">
        <f>CY926</f>
        <v>67500</v>
      </c>
      <c r="HZ926" s="25">
        <f>CZ926</f>
        <v>86.538461538461533</v>
      </c>
      <c r="IA926" s="25">
        <f>DA926</f>
        <v>202500</v>
      </c>
    </row>
    <row r="927" spans="1:235" s="15" customFormat="1" x14ac:dyDescent="0.25">
      <c r="A927" s="31">
        <v>925</v>
      </c>
      <c r="B927" s="1">
        <v>150</v>
      </c>
      <c r="C927" s="1">
        <v>173</v>
      </c>
      <c r="D927" s="15" t="s">
        <v>2080</v>
      </c>
      <c r="E927" s="31">
        <v>4</v>
      </c>
      <c r="F927" s="15" t="s">
        <v>879</v>
      </c>
      <c r="G927" s="15" t="s">
        <v>693</v>
      </c>
      <c r="H927" s="15" t="s">
        <v>818</v>
      </c>
      <c r="I927" s="1">
        <v>2021</v>
      </c>
      <c r="J927" s="15" t="s">
        <v>693</v>
      </c>
      <c r="K927" s="1" t="s">
        <v>2090</v>
      </c>
      <c r="L927" s="15" t="s">
        <v>2088</v>
      </c>
      <c r="M927" s="15" t="s">
        <v>480</v>
      </c>
      <c r="N927" s="15" t="s">
        <v>23</v>
      </c>
      <c r="O927" s="31">
        <v>2</v>
      </c>
      <c r="P927" s="15">
        <v>22.742999999999999</v>
      </c>
      <c r="Q927" s="15">
        <v>100.97</v>
      </c>
      <c r="R927" s="15">
        <v>1347</v>
      </c>
      <c r="S927" s="15">
        <v>1599</v>
      </c>
      <c r="T927" s="15">
        <v>18</v>
      </c>
      <c r="U927" s="15" t="s">
        <v>1893</v>
      </c>
      <c r="V927" s="31">
        <v>1</v>
      </c>
      <c r="W927" s="16" t="s">
        <v>2089</v>
      </c>
      <c r="X927" s="15" t="s">
        <v>924</v>
      </c>
      <c r="Y927" s="1">
        <v>7</v>
      </c>
      <c r="Z927" s="15">
        <v>4.6900000000000004</v>
      </c>
      <c r="AA927" s="15" t="s">
        <v>573</v>
      </c>
      <c r="AB927" s="15">
        <f t="shared" ref="AB927:AB954" si="834">Z927</f>
        <v>4.6900000000000004</v>
      </c>
      <c r="AC927" s="1">
        <v>2</v>
      </c>
      <c r="AD927" s="15">
        <v>20.8</v>
      </c>
      <c r="AM927" s="1">
        <v>1</v>
      </c>
      <c r="AP927" s="15" t="s">
        <v>697</v>
      </c>
      <c r="AQ927" s="1">
        <v>1</v>
      </c>
      <c r="AR927" s="1">
        <v>3</v>
      </c>
      <c r="BG927" s="15" t="s">
        <v>2091</v>
      </c>
      <c r="BI927" s="15">
        <f>450/1.78</f>
        <v>252.80898876404493</v>
      </c>
      <c r="BP927" s="16"/>
      <c r="BQ927" s="16"/>
      <c r="BR927" s="16"/>
      <c r="BS927" s="15">
        <v>2250</v>
      </c>
      <c r="BT927" s="15">
        <v>2250</v>
      </c>
      <c r="BU927" s="15" t="s">
        <v>766</v>
      </c>
      <c r="BY927" s="15">
        <f>BT927</f>
        <v>2250</v>
      </c>
      <c r="BZ927" s="15">
        <f>BY927/1.1/1000</f>
        <v>2.0454545454545454</v>
      </c>
      <c r="CA927" s="15">
        <f>BY927*2</f>
        <v>4500</v>
      </c>
      <c r="EZ927" s="16"/>
      <c r="FA927" s="16"/>
      <c r="FB927" s="16"/>
      <c r="FC927" s="16"/>
      <c r="FD927" s="16"/>
      <c r="FE927" s="16"/>
      <c r="FF927" s="16"/>
      <c r="FG927" s="16"/>
      <c r="FH927" s="16"/>
      <c r="FI927" s="16"/>
      <c r="FJ927" s="16"/>
      <c r="FK927" s="16">
        <f t="shared" ref="FK927:FK954" si="835">FM927</f>
        <v>4.8600000000000003</v>
      </c>
      <c r="FL927" s="16">
        <f t="shared" ref="FL927:FL954" si="836">FP927</f>
        <v>6.14</v>
      </c>
      <c r="FM927" s="15">
        <v>4.8600000000000003</v>
      </c>
      <c r="FN927" s="15">
        <f>FM927*0.05</f>
        <v>0.24300000000000002</v>
      </c>
      <c r="FO927" s="15">
        <f>FN927*SQRT(AR927)</f>
        <v>0.42088834623923721</v>
      </c>
      <c r="FP927" s="15">
        <v>6.14</v>
      </c>
      <c r="FQ927" s="15">
        <f>FP927*0.05</f>
        <v>0.307</v>
      </c>
      <c r="FR927" s="15">
        <f>FQ927*SQRT(AR927)</f>
        <v>0.53173959792364534</v>
      </c>
      <c r="FS927" s="15">
        <f t="shared" ref="FS927:FS957" si="837">FP927/FM927</f>
        <v>1.2633744855967077</v>
      </c>
      <c r="FT927" s="15">
        <f t="shared" ref="FT927:FT957" si="838">FP927-FM927</f>
        <v>1.2799999999999994</v>
      </c>
      <c r="FU927" s="15">
        <f t="shared" ref="FU927:FU957" si="839">LN(FP927)-LN(FM927)</f>
        <v>0.23378630424664859</v>
      </c>
      <c r="FV927" s="15">
        <f>((FR927*FR927)/(AR927*FP927*FP927)+(FO927*FO927)/(AR927*FM927*FM927))</f>
        <v>5.0000000000000001E-3</v>
      </c>
      <c r="HE927" s="15">
        <v>832</v>
      </c>
      <c r="HF927" s="15">
        <f>HE927*0.05</f>
        <v>41.6</v>
      </c>
      <c r="HG927" s="15">
        <f>HF927*SQRT(AR927)</f>
        <v>72.053313594865287</v>
      </c>
      <c r="HH927" s="15">
        <v>1105.7</v>
      </c>
      <c r="HI927" s="15">
        <f>HH927*0.05</f>
        <v>55.285000000000004</v>
      </c>
      <c r="HJ927" s="15">
        <f>HI927*SQRT(AR927)</f>
        <v>95.756428896445385</v>
      </c>
      <c r="HK927" s="15">
        <f t="shared" ref="HK927:HK947" si="840">HH927/HE927</f>
        <v>1.3289663461538461</v>
      </c>
      <c r="HL927" s="15">
        <f t="shared" ref="HL927:HL947" si="841">HH927-HE927</f>
        <v>273.70000000000005</v>
      </c>
      <c r="HM927" s="15">
        <f t="shared" ref="HM927:HM947" si="842">LN(HH927)-LN(HE927)</f>
        <v>0.28440145672714756</v>
      </c>
      <c r="HN927" s="15">
        <f>((HJ927*HJ927)/(AR927*HH927*HH927)+(HG927*HG927)/(AR927*HE927*HE927))</f>
        <v>4.9999999999999992E-3</v>
      </c>
      <c r="HP927" s="15" t="s">
        <v>766</v>
      </c>
      <c r="HV927" s="15">
        <f t="shared" ref="HV927:HV947" si="843">HX927/HW927/100</f>
        <v>158.22703764549502</v>
      </c>
      <c r="HW927" s="15">
        <f t="shared" ref="HW927:HW947" si="844">HM927</f>
        <v>0.28440145672714756</v>
      </c>
      <c r="HX927" s="15">
        <f>CA927</f>
        <v>4500</v>
      </c>
      <c r="HY927" s="15">
        <f>BY927</f>
        <v>2250</v>
      </c>
      <c r="HZ927" s="15">
        <f>BZ927</f>
        <v>2.0454545454545454</v>
      </c>
      <c r="IA927" s="15">
        <f>CA927</f>
        <v>4500</v>
      </c>
    </row>
    <row r="928" spans="1:235" s="15" customFormat="1" x14ac:dyDescent="0.25">
      <c r="A928" s="31">
        <v>926</v>
      </c>
      <c r="B928" s="1">
        <v>150</v>
      </c>
      <c r="C928" s="1">
        <v>173</v>
      </c>
      <c r="D928" s="15" t="s">
        <v>2081</v>
      </c>
      <c r="E928" s="31">
        <v>4</v>
      </c>
      <c r="F928" s="15" t="s">
        <v>879</v>
      </c>
      <c r="G928" s="15" t="s">
        <v>693</v>
      </c>
      <c r="H928" s="15" t="s">
        <v>818</v>
      </c>
      <c r="I928" s="1">
        <v>2021</v>
      </c>
      <c r="J928" s="15" t="s">
        <v>693</v>
      </c>
      <c r="K928" s="1" t="s">
        <v>2090</v>
      </c>
      <c r="L928" s="15" t="s">
        <v>2088</v>
      </c>
      <c r="M928" s="15" t="s">
        <v>480</v>
      </c>
      <c r="N928" s="15" t="s">
        <v>23</v>
      </c>
      <c r="O928" s="31">
        <v>2</v>
      </c>
      <c r="P928" s="15">
        <v>22.742999999999999</v>
      </c>
      <c r="Q928" s="15">
        <v>100.97</v>
      </c>
      <c r="R928" s="15">
        <v>1347</v>
      </c>
      <c r="S928" s="15">
        <v>1599</v>
      </c>
      <c r="T928" s="15">
        <v>18</v>
      </c>
      <c r="U928" s="15" t="s">
        <v>1893</v>
      </c>
      <c r="V928" s="31">
        <v>1</v>
      </c>
      <c r="W928" s="16" t="s">
        <v>2089</v>
      </c>
      <c r="X928" s="15" t="s">
        <v>924</v>
      </c>
      <c r="Y928" s="1">
        <v>7</v>
      </c>
      <c r="Z928" s="15">
        <v>4.6900000000000004</v>
      </c>
      <c r="AA928" s="15" t="s">
        <v>573</v>
      </c>
      <c r="AB928" s="15">
        <f t="shared" si="834"/>
        <v>4.6900000000000004</v>
      </c>
      <c r="AC928" s="1">
        <v>2</v>
      </c>
      <c r="AD928" s="15">
        <v>20.8</v>
      </c>
      <c r="AM928" s="1">
        <v>1</v>
      </c>
      <c r="AP928" s="15" t="s">
        <v>697</v>
      </c>
      <c r="AQ928" s="1">
        <v>1</v>
      </c>
      <c r="AR928" s="1">
        <v>3</v>
      </c>
      <c r="BG928" s="15" t="s">
        <v>2091</v>
      </c>
      <c r="BI928" s="15">
        <f>450/1.78</f>
        <v>252.80898876404493</v>
      </c>
      <c r="BP928" s="16"/>
      <c r="BQ928" s="16"/>
      <c r="BR928" s="16"/>
      <c r="BS928" s="15">
        <v>2250</v>
      </c>
      <c r="BT928" s="15">
        <v>2250</v>
      </c>
      <c r="BU928" s="15" t="s">
        <v>766</v>
      </c>
      <c r="BY928" s="15">
        <f>BT928</f>
        <v>2250</v>
      </c>
      <c r="BZ928" s="15">
        <f>BY928/1.1/1000</f>
        <v>2.0454545454545454</v>
      </c>
      <c r="CA928" s="15">
        <f>BY928*2</f>
        <v>4500</v>
      </c>
      <c r="EZ928" s="16"/>
      <c r="FA928" s="16"/>
      <c r="FB928" s="16"/>
      <c r="FC928" s="16"/>
      <c r="FD928" s="16"/>
      <c r="FE928" s="16"/>
      <c r="FF928" s="16"/>
      <c r="FG928" s="16"/>
      <c r="FH928" s="16"/>
      <c r="FI928" s="16"/>
      <c r="FJ928" s="16"/>
      <c r="FK928" s="16">
        <f t="shared" si="835"/>
        <v>4.3</v>
      </c>
      <c r="FL928" s="16">
        <f t="shared" si="836"/>
        <v>5</v>
      </c>
      <c r="FM928" s="15">
        <v>4.3</v>
      </c>
      <c r="FN928" s="15">
        <f>FM928*0.05</f>
        <v>0.215</v>
      </c>
      <c r="FO928" s="15">
        <f>FN928*SQRT(AR928)</f>
        <v>0.37239092362730858</v>
      </c>
      <c r="FP928" s="15">
        <v>5</v>
      </c>
      <c r="FQ928" s="15">
        <f>FP928*0.05</f>
        <v>0.25</v>
      </c>
      <c r="FR928" s="15">
        <f>FQ928*SQRT(AR928)</f>
        <v>0.4330127018922193</v>
      </c>
      <c r="FS928" s="15">
        <f t="shared" si="837"/>
        <v>1.1627906976744187</v>
      </c>
      <c r="FT928" s="15">
        <f t="shared" si="838"/>
        <v>0.70000000000000018</v>
      </c>
      <c r="FU928" s="15">
        <f t="shared" si="839"/>
        <v>0.15082288973458358</v>
      </c>
      <c r="FV928" s="15">
        <f>((FR928*FR928)/(AR928*FP928*FP928)+(FO928*FO928)/(AR928*FM928*FM928))</f>
        <v>4.9999999999999992E-3</v>
      </c>
      <c r="HE928" s="15">
        <v>1716</v>
      </c>
      <c r="HF928" s="15">
        <f>HE928*0.05</f>
        <v>85.800000000000011</v>
      </c>
      <c r="HG928" s="15">
        <f>HF928*SQRT(AR928)</f>
        <v>148.60995928940969</v>
      </c>
      <c r="HH928" s="15">
        <v>1645.8</v>
      </c>
      <c r="HI928" s="15">
        <f>HH928*0.05</f>
        <v>82.29</v>
      </c>
      <c r="HJ928" s="15">
        <f>HI928*SQRT(AR928)</f>
        <v>142.53046095484291</v>
      </c>
      <c r="HK928" s="15">
        <f t="shared" si="840"/>
        <v>0.95909090909090911</v>
      </c>
      <c r="HL928" s="15">
        <f t="shared" si="841"/>
        <v>-70.200000000000045</v>
      </c>
      <c r="HM928" s="15">
        <f t="shared" si="842"/>
        <v>-4.176941287629532E-2</v>
      </c>
      <c r="HN928" s="15">
        <f>((HJ928*HJ928)/(AR928*HH928*HH928)+(HG928*HG928)/(AR928*HE928*HE928))</f>
        <v>5.000000000000001E-3</v>
      </c>
      <c r="HP928" s="15" t="s">
        <v>766</v>
      </c>
      <c r="HV928" s="15">
        <f t="shared" si="843"/>
        <v>-1077.3433692561689</v>
      </c>
      <c r="HW928" s="15">
        <f t="shared" si="844"/>
        <v>-4.176941287629532E-2</v>
      </c>
      <c r="HX928" s="15">
        <f>CA928</f>
        <v>4500</v>
      </c>
      <c r="HY928" s="15">
        <f>BY928</f>
        <v>2250</v>
      </c>
      <c r="HZ928" s="15">
        <f>BZ928</f>
        <v>2.0454545454545454</v>
      </c>
      <c r="IA928" s="15">
        <f>CA928</f>
        <v>4500</v>
      </c>
    </row>
    <row r="929" spans="1:235" s="15" customFormat="1" x14ac:dyDescent="0.25">
      <c r="A929" s="31">
        <v>927</v>
      </c>
      <c r="B929" s="1">
        <v>151</v>
      </c>
      <c r="C929" s="1">
        <v>174</v>
      </c>
      <c r="D929" s="15" t="s">
        <v>2082</v>
      </c>
      <c r="E929" s="1">
        <v>1</v>
      </c>
      <c r="F929" s="15" t="s">
        <v>761</v>
      </c>
      <c r="G929" s="15" t="s">
        <v>2093</v>
      </c>
      <c r="H929" s="15" t="s">
        <v>2094</v>
      </c>
      <c r="I929" s="1">
        <v>2018</v>
      </c>
      <c r="J929" s="15" t="s">
        <v>1762</v>
      </c>
      <c r="K929" s="1">
        <v>2016</v>
      </c>
      <c r="L929" s="15" t="s">
        <v>2095</v>
      </c>
      <c r="M929" s="15" t="s">
        <v>2096</v>
      </c>
      <c r="N929" s="15" t="s">
        <v>23</v>
      </c>
      <c r="O929" s="31">
        <v>1</v>
      </c>
      <c r="P929" s="15">
        <v>5.65</v>
      </c>
      <c r="Q929" s="15">
        <v>100.42</v>
      </c>
      <c r="S929" s="15">
        <v>2500</v>
      </c>
      <c r="T929" s="15">
        <v>28</v>
      </c>
      <c r="U929" s="15" t="s">
        <v>807</v>
      </c>
      <c r="V929" s="31">
        <v>2</v>
      </c>
      <c r="W929" s="16" t="s">
        <v>1170</v>
      </c>
      <c r="X929" s="15" t="s">
        <v>689</v>
      </c>
      <c r="Y929" s="1">
        <v>1</v>
      </c>
      <c r="Z929" s="15">
        <v>3.76</v>
      </c>
      <c r="AA929" s="15" t="s">
        <v>573</v>
      </c>
      <c r="AB929" s="15">
        <f t="shared" si="834"/>
        <v>3.76</v>
      </c>
      <c r="AC929" s="1">
        <v>1</v>
      </c>
      <c r="AM929" s="1"/>
      <c r="AP929" s="15" t="s">
        <v>1185</v>
      </c>
      <c r="AQ929" s="1">
        <v>3</v>
      </c>
      <c r="AR929" s="1">
        <v>4</v>
      </c>
      <c r="AT929" s="15" t="s">
        <v>2097</v>
      </c>
      <c r="AW929" s="15">
        <v>4000</v>
      </c>
      <c r="AX929" s="15">
        <f>AW929*1.09</f>
        <v>4360</v>
      </c>
      <c r="AY929" s="15" t="s">
        <v>766</v>
      </c>
      <c r="AZ929" s="15">
        <f>AX929</f>
        <v>4360</v>
      </c>
      <c r="BA929" s="15">
        <f>AZ929/2.93/1000</f>
        <v>1.4880546075085324</v>
      </c>
      <c r="BB929" s="15">
        <f>AZ929*0.6</f>
        <v>2616</v>
      </c>
      <c r="BP929" s="16"/>
      <c r="BQ929" s="16"/>
      <c r="BR929" s="16"/>
      <c r="BU929" s="16"/>
      <c r="EZ929" s="16"/>
      <c r="FA929" s="16"/>
      <c r="FB929" s="16"/>
      <c r="FC929" s="16"/>
      <c r="FD929" s="16"/>
      <c r="FE929" s="16"/>
      <c r="FF929" s="16"/>
      <c r="FG929" s="16"/>
      <c r="FH929" s="16"/>
      <c r="FI929" s="16"/>
      <c r="FJ929" s="16"/>
      <c r="FK929" s="16">
        <f t="shared" si="835"/>
        <v>5.34</v>
      </c>
      <c r="FL929" s="16">
        <f t="shared" si="836"/>
        <v>5.83</v>
      </c>
      <c r="FM929" s="16">
        <v>5.34</v>
      </c>
      <c r="FN929" s="16">
        <v>0.01</v>
      </c>
      <c r="FO929" s="15">
        <f>FN929*SQRT(AR929)</f>
        <v>0.02</v>
      </c>
      <c r="FP929" s="15">
        <v>5.83</v>
      </c>
      <c r="FQ929" s="15">
        <v>0.01</v>
      </c>
      <c r="FR929" s="15">
        <f>FQ929*SQRT(AR929)</f>
        <v>0.02</v>
      </c>
      <c r="FS929" s="15">
        <f t="shared" si="837"/>
        <v>1.0917602996254683</v>
      </c>
      <c r="FT929" s="15">
        <f t="shared" si="838"/>
        <v>0.49000000000000021</v>
      </c>
      <c r="FU929" s="15">
        <f t="shared" si="839"/>
        <v>8.7791347390297592E-2</v>
      </c>
      <c r="FV929" s="15">
        <f>((FR929*FR929)/(AR929*FP929*FP929)+(FO929*FO929)/(AR929*FM929*FM929))</f>
        <v>6.4489893813518303E-6</v>
      </c>
      <c r="HE929" s="15">
        <v>33.75</v>
      </c>
      <c r="HF929" s="15">
        <f>HE929*0.01</f>
        <v>0.33750000000000002</v>
      </c>
      <c r="HG929" s="15">
        <f>HF929*SQRT(AR929)</f>
        <v>0.67500000000000004</v>
      </c>
      <c r="HH929" s="15">
        <v>53.1</v>
      </c>
      <c r="HI929" s="15">
        <f>HH929*0.01</f>
        <v>0.53100000000000003</v>
      </c>
      <c r="HJ929" s="15">
        <f>HI929*SQRT(AR929)</f>
        <v>1.0620000000000001</v>
      </c>
      <c r="HK929" s="15">
        <f t="shared" si="840"/>
        <v>1.5733333333333335</v>
      </c>
      <c r="HL929" s="15">
        <f t="shared" si="841"/>
        <v>19.350000000000001</v>
      </c>
      <c r="HM929" s="15">
        <f t="shared" si="842"/>
        <v>0.45319651092935453</v>
      </c>
      <c r="HN929" s="15">
        <f>((HJ929*HJ929)/(AR929*HH929*HH929)+(HG929*HG929)/(AR929*HE929*HE929))</f>
        <v>2.0000000000000004E-4</v>
      </c>
      <c r="HP929" s="15" t="s">
        <v>1186</v>
      </c>
      <c r="HV929" s="15">
        <f t="shared" si="843"/>
        <v>57.723304061530804</v>
      </c>
      <c r="HW929" s="15">
        <f t="shared" si="844"/>
        <v>0.45319651092935453</v>
      </c>
      <c r="HX929" s="15">
        <f>BB929</f>
        <v>2616</v>
      </c>
      <c r="HY929" s="15">
        <f>AZ929</f>
        <v>4360</v>
      </c>
      <c r="HZ929" s="15">
        <f>BA929</f>
        <v>1.4880546075085324</v>
      </c>
      <c r="IA929" s="15">
        <f>BB929</f>
        <v>2616</v>
      </c>
    </row>
    <row r="930" spans="1:235" s="15" customFormat="1" x14ac:dyDescent="0.25">
      <c r="A930" s="31">
        <v>928</v>
      </c>
      <c r="B930" s="1">
        <v>151</v>
      </c>
      <c r="C930" s="1">
        <v>174</v>
      </c>
      <c r="D930" s="15" t="s">
        <v>2083</v>
      </c>
      <c r="E930" s="1">
        <v>2</v>
      </c>
      <c r="F930" s="15" t="s">
        <v>777</v>
      </c>
      <c r="G930" s="15" t="s">
        <v>2093</v>
      </c>
      <c r="H930" s="15" t="s">
        <v>2094</v>
      </c>
      <c r="I930" s="1">
        <v>2018</v>
      </c>
      <c r="J930" s="15" t="s">
        <v>1762</v>
      </c>
      <c r="K930" s="1">
        <v>2016</v>
      </c>
      <c r="L930" s="15" t="s">
        <v>2095</v>
      </c>
      <c r="M930" s="15" t="s">
        <v>2096</v>
      </c>
      <c r="N930" s="15" t="s">
        <v>23</v>
      </c>
      <c r="O930" s="31">
        <v>1</v>
      </c>
      <c r="P930" s="15">
        <v>5.65</v>
      </c>
      <c r="Q930" s="15">
        <v>100.42</v>
      </c>
      <c r="S930" s="15">
        <v>2500</v>
      </c>
      <c r="T930" s="15">
        <v>28</v>
      </c>
      <c r="U930" s="15" t="s">
        <v>807</v>
      </c>
      <c r="V930" s="31">
        <v>2</v>
      </c>
      <c r="W930" s="16" t="s">
        <v>1170</v>
      </c>
      <c r="X930" s="15" t="s">
        <v>689</v>
      </c>
      <c r="Y930" s="1">
        <v>1</v>
      </c>
      <c r="Z930" s="15">
        <v>3.76</v>
      </c>
      <c r="AA930" s="15" t="s">
        <v>573</v>
      </c>
      <c r="AB930" s="15">
        <f t="shared" si="834"/>
        <v>3.76</v>
      </c>
      <c r="AC930" s="1">
        <v>1</v>
      </c>
      <c r="AM930" s="1"/>
      <c r="AP930" s="15" t="s">
        <v>1185</v>
      </c>
      <c r="AQ930" s="1">
        <v>3</v>
      </c>
      <c r="AR930" s="1">
        <v>4</v>
      </c>
      <c r="BP930" s="16"/>
      <c r="BQ930" s="16"/>
      <c r="BR930" s="16"/>
      <c r="BU930" s="16"/>
      <c r="CC930" s="15" t="s">
        <v>2098</v>
      </c>
      <c r="CE930" s="15">
        <v>4000</v>
      </c>
      <c r="CF930" s="15">
        <v>4000</v>
      </c>
      <c r="CG930" s="15" t="s">
        <v>766</v>
      </c>
      <c r="CY930" s="25">
        <f>CF930</f>
        <v>4000</v>
      </c>
      <c r="CZ930" s="25">
        <f>CY930/0.78/1000</f>
        <v>5.1282051282051277</v>
      </c>
      <c r="DA930" s="25">
        <f>CY930*3</f>
        <v>12000</v>
      </c>
      <c r="EZ930" s="16"/>
      <c r="FA930" s="16"/>
      <c r="FB930" s="16"/>
      <c r="FC930" s="16"/>
      <c r="FD930" s="16"/>
      <c r="FE930" s="16"/>
      <c r="FF930" s="16"/>
      <c r="FG930" s="16"/>
      <c r="FH930" s="16"/>
      <c r="FI930" s="16"/>
      <c r="FJ930" s="16"/>
      <c r="FK930" s="16">
        <f t="shared" si="835"/>
        <v>5.34</v>
      </c>
      <c r="FL930" s="16">
        <f t="shared" si="836"/>
        <v>6.32</v>
      </c>
      <c r="FM930" s="16">
        <v>5.34</v>
      </c>
      <c r="FN930" s="16">
        <v>0.01</v>
      </c>
      <c r="FO930" s="15">
        <f>FN930*SQRT(AR930)</f>
        <v>0.02</v>
      </c>
      <c r="FP930" s="15">
        <v>6.32</v>
      </c>
      <c r="FQ930" s="15">
        <v>0.02</v>
      </c>
      <c r="FR930" s="15">
        <f>FQ930*SQRT(AR930)</f>
        <v>0.04</v>
      </c>
      <c r="FS930" s="15">
        <f t="shared" si="837"/>
        <v>1.1835205992509363</v>
      </c>
      <c r="FT930" s="15">
        <f t="shared" si="838"/>
        <v>0.98000000000000043</v>
      </c>
      <c r="FU930" s="15">
        <f t="shared" si="839"/>
        <v>0.16849355518666265</v>
      </c>
      <c r="FV930" s="15">
        <f>((FR930*FR930)/(AR930*FP930*FP930)+(FO930*FO930)/(AR930*FM930*FM930))</f>
        <v>1.3521273155472118E-5</v>
      </c>
      <c r="HE930" s="15">
        <v>33.75</v>
      </c>
      <c r="HF930" s="15">
        <f>HE930*0.01</f>
        <v>0.33750000000000002</v>
      </c>
      <c r="HG930" s="15">
        <f>HF930*SQRT(AR930)</f>
        <v>0.67500000000000004</v>
      </c>
      <c r="HH930" s="15">
        <v>45.1</v>
      </c>
      <c r="HI930" s="15">
        <f>HH930*0.01</f>
        <v>0.45100000000000001</v>
      </c>
      <c r="HJ930" s="15">
        <f>HI930*SQRT(AR930)</f>
        <v>0.90200000000000002</v>
      </c>
      <c r="HK930" s="15">
        <f t="shared" si="840"/>
        <v>1.3362962962962963</v>
      </c>
      <c r="HL930" s="15">
        <f t="shared" si="841"/>
        <v>11.350000000000001</v>
      </c>
      <c r="HM930" s="15">
        <f t="shared" si="842"/>
        <v>0.28990182919009388</v>
      </c>
      <c r="HN930" s="15">
        <f>((HJ930*HJ930)/(AR930*HH930*HH930)+(HG930*HG930)/(AR930*HE930*HE930))</f>
        <v>2.0000000000000001E-4</v>
      </c>
      <c r="HP930" s="15" t="s">
        <v>1186</v>
      </c>
      <c r="HV930" s="15">
        <f t="shared" si="843"/>
        <v>413.93322813880496</v>
      </c>
      <c r="HW930" s="15">
        <f t="shared" si="844"/>
        <v>0.28990182919009388</v>
      </c>
      <c r="HX930" s="25">
        <f>DA930</f>
        <v>12000</v>
      </c>
      <c r="HY930" s="25">
        <f>CY930</f>
        <v>4000</v>
      </c>
      <c r="HZ930" s="25">
        <f>CZ930</f>
        <v>5.1282051282051277</v>
      </c>
      <c r="IA930" s="25">
        <f>DA930</f>
        <v>12000</v>
      </c>
    </row>
    <row r="931" spans="1:235" s="15" customFormat="1" x14ac:dyDescent="0.25">
      <c r="A931" s="31">
        <v>929</v>
      </c>
      <c r="B931" s="1">
        <v>151</v>
      </c>
      <c r="C931" s="1">
        <v>174</v>
      </c>
      <c r="D931" s="15" t="s">
        <v>2084</v>
      </c>
      <c r="E931" s="1">
        <v>4</v>
      </c>
      <c r="F931" s="15" t="s">
        <v>879</v>
      </c>
      <c r="G931" s="15" t="s">
        <v>2093</v>
      </c>
      <c r="H931" s="15" t="s">
        <v>2094</v>
      </c>
      <c r="I931" s="1">
        <v>2018</v>
      </c>
      <c r="J931" s="15" t="s">
        <v>1762</v>
      </c>
      <c r="K931" s="1">
        <v>2016</v>
      </c>
      <c r="L931" s="15" t="s">
        <v>2095</v>
      </c>
      <c r="M931" s="15" t="s">
        <v>2096</v>
      </c>
      <c r="N931" s="15" t="s">
        <v>23</v>
      </c>
      <c r="O931" s="31">
        <v>1</v>
      </c>
      <c r="P931" s="15">
        <v>5.65</v>
      </c>
      <c r="Q931" s="15">
        <v>100.42</v>
      </c>
      <c r="S931" s="15">
        <v>2500</v>
      </c>
      <c r="T931" s="15">
        <v>28</v>
      </c>
      <c r="U931" s="15" t="s">
        <v>807</v>
      </c>
      <c r="V931" s="31">
        <v>2</v>
      </c>
      <c r="W931" s="16" t="s">
        <v>1170</v>
      </c>
      <c r="X931" s="15" t="s">
        <v>689</v>
      </c>
      <c r="Y931" s="1">
        <v>1</v>
      </c>
      <c r="Z931" s="15">
        <v>3.76</v>
      </c>
      <c r="AA931" s="15" t="s">
        <v>573</v>
      </c>
      <c r="AB931" s="15">
        <f t="shared" si="834"/>
        <v>3.76</v>
      </c>
      <c r="AC931" s="1">
        <v>1</v>
      </c>
      <c r="AM931" s="1"/>
      <c r="AP931" s="15" t="s">
        <v>1185</v>
      </c>
      <c r="AQ931" s="1">
        <v>3</v>
      </c>
      <c r="AR931" s="1">
        <v>4</v>
      </c>
      <c r="BG931" s="15" t="s">
        <v>2099</v>
      </c>
      <c r="BP931" s="16"/>
      <c r="BQ931" s="16"/>
      <c r="BR931" s="16"/>
      <c r="BS931" s="15">
        <v>4000</v>
      </c>
      <c r="BT931" s="15">
        <v>4000</v>
      </c>
      <c r="BU931" s="15" t="s">
        <v>766</v>
      </c>
      <c r="BY931" s="15">
        <f>BT931</f>
        <v>4000</v>
      </c>
      <c r="BZ931" s="15">
        <f>BY931/1.1/1000</f>
        <v>3.6363636363636362</v>
      </c>
      <c r="CA931" s="15">
        <f>BY931*2</f>
        <v>8000</v>
      </c>
      <c r="EZ931" s="16"/>
      <c r="FA931" s="16"/>
      <c r="FB931" s="16"/>
      <c r="FC931" s="16"/>
      <c r="FD931" s="16"/>
      <c r="FE931" s="16"/>
      <c r="FF931" s="16"/>
      <c r="FG931" s="16"/>
      <c r="FH931" s="16"/>
      <c r="FI931" s="16"/>
      <c r="FJ931" s="16"/>
      <c r="FK931" s="16">
        <f t="shared" si="835"/>
        <v>5.34</v>
      </c>
      <c r="FL931" s="16">
        <f t="shared" si="836"/>
        <v>6.07</v>
      </c>
      <c r="FM931" s="16">
        <v>5.34</v>
      </c>
      <c r="FN931" s="16">
        <v>0.01</v>
      </c>
      <c r="FO931" s="15">
        <f>FN931*SQRT(AR931)</f>
        <v>0.02</v>
      </c>
      <c r="FP931" s="15">
        <v>6.07</v>
      </c>
      <c r="FQ931" s="15">
        <v>0.02</v>
      </c>
      <c r="FR931" s="15">
        <f>FQ931*SQRT(AR931)</f>
        <v>0.04</v>
      </c>
      <c r="FS931" s="15">
        <f t="shared" si="837"/>
        <v>1.1367041198501873</v>
      </c>
      <c r="FT931" s="15">
        <f t="shared" si="838"/>
        <v>0.73000000000000043</v>
      </c>
      <c r="FU931" s="15">
        <f t="shared" si="839"/>
        <v>0.12813295209930353</v>
      </c>
      <c r="FV931" s="15">
        <f>((FR931*FR931)/(AR931*FP931*FP931)+(FO931*FO931)/(AR931*FM931*FM931))</f>
        <v>1.4363171717345925E-5</v>
      </c>
      <c r="HE931" s="15">
        <v>33.75</v>
      </c>
      <c r="HF931" s="15">
        <f>HE931*0.01</f>
        <v>0.33750000000000002</v>
      </c>
      <c r="HG931" s="15">
        <f>HF931*SQRT(AR931)</f>
        <v>0.67500000000000004</v>
      </c>
      <c r="HH931" s="15">
        <v>44.54</v>
      </c>
      <c r="HI931" s="15">
        <f>HH931*0.01</f>
        <v>0.44540000000000002</v>
      </c>
      <c r="HJ931" s="15">
        <f>HI931*SQRT(AR931)</f>
        <v>0.89080000000000004</v>
      </c>
      <c r="HK931" s="15">
        <f t="shared" si="840"/>
        <v>1.3197037037037036</v>
      </c>
      <c r="HL931" s="15">
        <f t="shared" si="841"/>
        <v>10.79</v>
      </c>
      <c r="HM931" s="15">
        <f t="shared" si="842"/>
        <v>0.27740724451068255</v>
      </c>
      <c r="HN931" s="15">
        <f>((HJ931*HJ931)/(AR931*HH931*HH931)+(HG931*HG931)/(AR931*HE931*HE931))</f>
        <v>2.0000000000000004E-4</v>
      </c>
      <c r="HP931" s="15" t="s">
        <v>1186</v>
      </c>
      <c r="HV931" s="15">
        <f t="shared" si="843"/>
        <v>288.3846820262811</v>
      </c>
      <c r="HW931" s="15">
        <f t="shared" si="844"/>
        <v>0.27740724451068255</v>
      </c>
      <c r="HX931" s="15">
        <f>CA931</f>
        <v>8000</v>
      </c>
      <c r="HY931" s="15">
        <f>BY931</f>
        <v>4000</v>
      </c>
      <c r="HZ931" s="15">
        <f>BZ931</f>
        <v>3.6363636363636362</v>
      </c>
      <c r="IA931" s="15">
        <f>CA931</f>
        <v>8000</v>
      </c>
    </row>
    <row r="932" spans="1:235" s="15" customFormat="1" x14ac:dyDescent="0.25">
      <c r="A932" s="31">
        <v>930</v>
      </c>
      <c r="B932" s="1">
        <v>152</v>
      </c>
      <c r="C932" s="1">
        <v>175</v>
      </c>
      <c r="D932" s="15" t="s">
        <v>2085</v>
      </c>
      <c r="E932" s="31">
        <v>4</v>
      </c>
      <c r="F932" s="15" t="s">
        <v>879</v>
      </c>
      <c r="G932" s="15" t="s">
        <v>2432</v>
      </c>
      <c r="H932" s="15" t="s">
        <v>2433</v>
      </c>
      <c r="I932" s="1">
        <v>2020</v>
      </c>
      <c r="J932" s="15" t="s">
        <v>2434</v>
      </c>
      <c r="K932" s="1">
        <v>2019</v>
      </c>
      <c r="L932" s="15" t="s">
        <v>2435</v>
      </c>
      <c r="M932" s="15" t="s">
        <v>2101</v>
      </c>
      <c r="N932" s="15" t="s">
        <v>23</v>
      </c>
      <c r="O932" s="31">
        <v>3</v>
      </c>
      <c r="P932" s="15">
        <v>31.416</v>
      </c>
      <c r="Q932" s="15">
        <v>73.069999999999993</v>
      </c>
      <c r="U932" s="15" t="s">
        <v>807</v>
      </c>
      <c r="V932" s="31">
        <v>2</v>
      </c>
      <c r="W932" s="16" t="s">
        <v>1170</v>
      </c>
      <c r="X932" s="15" t="s">
        <v>729</v>
      </c>
      <c r="Y932" s="61">
        <v>11</v>
      </c>
      <c r="Z932" s="15">
        <v>7.71</v>
      </c>
      <c r="AA932" s="15" t="s">
        <v>573</v>
      </c>
      <c r="AB932" s="15">
        <f t="shared" si="834"/>
        <v>7.71</v>
      </c>
      <c r="AC932" s="1">
        <v>6</v>
      </c>
      <c r="AD932" s="15">
        <v>9.6999999999999993</v>
      </c>
      <c r="AF932" s="15">
        <v>3.57</v>
      </c>
      <c r="AJ932" s="15">
        <v>11</v>
      </c>
      <c r="AK932" s="15">
        <v>17</v>
      </c>
      <c r="AL932" s="15">
        <v>71</v>
      </c>
      <c r="AM932" s="1">
        <v>3</v>
      </c>
      <c r="AQ932" s="1"/>
      <c r="AR932" s="1">
        <v>4</v>
      </c>
      <c r="BF932" s="15">
        <v>8.73</v>
      </c>
      <c r="BJ932" s="15">
        <v>37.200000000000003</v>
      </c>
      <c r="BP932" s="16"/>
      <c r="BQ932" s="16"/>
      <c r="BR932" s="16"/>
      <c r="BS932" s="15">
        <v>2</v>
      </c>
      <c r="BT932" s="15">
        <f>BS932*10*2250</f>
        <v>45000</v>
      </c>
      <c r="BU932" s="15" t="s">
        <v>766</v>
      </c>
      <c r="BY932" s="15">
        <f>BT932</f>
        <v>45000</v>
      </c>
      <c r="BZ932" s="15">
        <f>BY932/1.1/1000</f>
        <v>40.909090909090907</v>
      </c>
      <c r="CA932" s="15">
        <f>BY932*2</f>
        <v>90000</v>
      </c>
      <c r="EZ932" s="16"/>
      <c r="FA932" s="16"/>
      <c r="FB932" s="16"/>
      <c r="FC932" s="16"/>
      <c r="FD932" s="16"/>
      <c r="FE932" s="16"/>
      <c r="FF932" s="16"/>
      <c r="FG932" s="16"/>
      <c r="FH932" s="16"/>
      <c r="FI932" s="16"/>
      <c r="FJ932" s="16"/>
      <c r="FK932" s="16">
        <f t="shared" si="835"/>
        <v>7.87</v>
      </c>
      <c r="FL932" s="16">
        <f t="shared" si="836"/>
        <v>8.06</v>
      </c>
      <c r="FM932" s="16">
        <v>7.87</v>
      </c>
      <c r="FN932" s="16">
        <v>0.1</v>
      </c>
      <c r="FO932" s="15">
        <f>FN932*SQRT(AR932)</f>
        <v>0.2</v>
      </c>
      <c r="FP932" s="15">
        <v>8.06</v>
      </c>
      <c r="FQ932" s="15">
        <v>0.1</v>
      </c>
      <c r="FR932" s="15">
        <f>FQ932*SQRT(AR932)</f>
        <v>0.2</v>
      </c>
      <c r="FS932" s="15">
        <f t="shared" si="837"/>
        <v>1.0241423125794156</v>
      </c>
      <c r="FT932" s="15">
        <f t="shared" si="838"/>
        <v>0.19000000000000039</v>
      </c>
      <c r="FU932" s="15">
        <f t="shared" si="839"/>
        <v>2.3855494089225271E-2</v>
      </c>
      <c r="FV932" s="15">
        <f>((FR932*FR932)/(AR932*FP932*FP932)+(FO932*FO932)/(AR932*FM932*FM932))</f>
        <v>3.1538699770571727E-4</v>
      </c>
      <c r="HE932" s="15">
        <v>10.199999999999999</v>
      </c>
      <c r="HF932" s="15">
        <v>0.5</v>
      </c>
      <c r="HG932" s="15">
        <f>HF932*SQRT(AR932)</f>
        <v>1</v>
      </c>
      <c r="HH932" s="15">
        <v>11.67</v>
      </c>
      <c r="HI932" s="15">
        <v>1.1000000000000001</v>
      </c>
      <c r="HJ932" s="15">
        <f>HI932*SQRT(AR932)</f>
        <v>2.2000000000000002</v>
      </c>
      <c r="HK932" s="15">
        <f t="shared" si="840"/>
        <v>1.1441176470588237</v>
      </c>
      <c r="HL932" s="15">
        <f t="shared" si="841"/>
        <v>1.4700000000000006</v>
      </c>
      <c r="HM932" s="15">
        <f t="shared" si="842"/>
        <v>0.13463372600823931</v>
      </c>
      <c r="HN932" s="15">
        <f>((HJ932*HJ932)/(AR932*HH932*HH932)+(HG932*HG932)/(AR932*HE932*HE932))</f>
        <v>1.1287640164344193E-2</v>
      </c>
      <c r="HP932" s="15" t="s">
        <v>809</v>
      </c>
      <c r="HV932" s="15">
        <f t="shared" si="843"/>
        <v>6684.803478921187</v>
      </c>
      <c r="HW932" s="15">
        <f t="shared" si="844"/>
        <v>0.13463372600823931</v>
      </c>
      <c r="HX932" s="15">
        <f>CA932</f>
        <v>90000</v>
      </c>
      <c r="HY932" s="15">
        <f>BY932</f>
        <v>45000</v>
      </c>
      <c r="HZ932" s="15">
        <f>BZ932</f>
        <v>40.909090909090907</v>
      </c>
      <c r="IA932" s="15">
        <f>CA932</f>
        <v>90000</v>
      </c>
    </row>
    <row r="933" spans="1:235" s="15" customFormat="1" x14ac:dyDescent="0.25">
      <c r="A933" s="31">
        <v>931</v>
      </c>
      <c r="B933" s="1">
        <v>152</v>
      </c>
      <c r="C933" s="1">
        <v>175</v>
      </c>
      <c r="D933" s="15" t="s">
        <v>2086</v>
      </c>
      <c r="E933" s="31">
        <v>6</v>
      </c>
      <c r="F933" s="15" t="s">
        <v>1155</v>
      </c>
      <c r="G933" s="15" t="s">
        <v>2432</v>
      </c>
      <c r="H933" s="15" t="s">
        <v>2433</v>
      </c>
      <c r="I933" s="1">
        <v>2020</v>
      </c>
      <c r="J933" s="15" t="s">
        <v>2434</v>
      </c>
      <c r="K933" s="1">
        <v>2019</v>
      </c>
      <c r="L933" s="15" t="s">
        <v>2435</v>
      </c>
      <c r="M933" s="15" t="s">
        <v>2101</v>
      </c>
      <c r="N933" s="15" t="s">
        <v>23</v>
      </c>
      <c r="O933" s="31">
        <v>3</v>
      </c>
      <c r="P933" s="15">
        <v>31.416</v>
      </c>
      <c r="Q933" s="15">
        <v>73.069999999999993</v>
      </c>
      <c r="U933" s="15" t="s">
        <v>807</v>
      </c>
      <c r="V933" s="31">
        <v>2</v>
      </c>
      <c r="W933" s="16" t="s">
        <v>1170</v>
      </c>
      <c r="X933" s="15" t="s">
        <v>729</v>
      </c>
      <c r="Y933" s="61">
        <v>11</v>
      </c>
      <c r="Z933" s="15">
        <v>7.71</v>
      </c>
      <c r="AA933" s="15" t="s">
        <v>573</v>
      </c>
      <c r="AB933" s="15">
        <f t="shared" si="834"/>
        <v>7.71</v>
      </c>
      <c r="AC933" s="1">
        <v>6</v>
      </c>
      <c r="AD933" s="15">
        <v>9.6999999999999993</v>
      </c>
      <c r="AF933" s="15">
        <v>3.57</v>
      </c>
      <c r="AJ933" s="15">
        <v>11</v>
      </c>
      <c r="AK933" s="15">
        <v>17</v>
      </c>
      <c r="AL933" s="15">
        <v>71</v>
      </c>
      <c r="AM933" s="1">
        <v>3</v>
      </c>
      <c r="AQ933" s="1"/>
      <c r="AR933" s="1">
        <v>4</v>
      </c>
      <c r="BF933" s="15">
        <v>8.81</v>
      </c>
      <c r="BJ933" s="15">
        <v>37.299999999999997</v>
      </c>
      <c r="BP933" s="16"/>
      <c r="BQ933" s="16"/>
      <c r="BR933" s="16"/>
      <c r="BS933" s="15">
        <v>1.5</v>
      </c>
      <c r="BT933" s="15">
        <f>BS933*10*2250</f>
        <v>33750</v>
      </c>
      <c r="BU933" s="15" t="s">
        <v>766</v>
      </c>
      <c r="BY933" s="15">
        <f>BT933</f>
        <v>33750</v>
      </c>
      <c r="BZ933" s="15">
        <f>BY933/1.1/1000</f>
        <v>30.68181818181818</v>
      </c>
      <c r="CA933" s="15">
        <f>BY933*2</f>
        <v>67500</v>
      </c>
      <c r="CE933" s="15">
        <v>0.5</v>
      </c>
      <c r="CF933" s="15">
        <f>CE933*10*2250</f>
        <v>11250</v>
      </c>
      <c r="CG933" s="15" t="s">
        <v>766</v>
      </c>
      <c r="CH933" s="15">
        <v>8.81</v>
      </c>
      <c r="CL933" s="15">
        <v>37.299999999999997</v>
      </c>
      <c r="CY933" s="25">
        <f t="shared" ref="CY933:CY940" si="845">CF933</f>
        <v>11250</v>
      </c>
      <c r="CZ933" s="25">
        <f t="shared" ref="CZ933:CZ940" si="846">CY933/0.78/1000</f>
        <v>14.423076923076922</v>
      </c>
      <c r="DA933" s="25">
        <f t="shared" ref="DA933:DA940" si="847">CY933*3</f>
        <v>33750</v>
      </c>
      <c r="EW933" s="46">
        <f>AX933+BT933+CF933+DE933+DY933</f>
        <v>45000</v>
      </c>
      <c r="EX933" s="46">
        <f>BA933+BZ933+CZ933+DT933+ET933</f>
        <v>45.1048951048951</v>
      </c>
      <c r="EY933" s="46">
        <f>BB933+CA933+DA933+DU933+EU933</f>
        <v>101250</v>
      </c>
      <c r="EZ933" s="16"/>
      <c r="FA933" s="16"/>
      <c r="FB933" s="16"/>
      <c r="FC933" s="16"/>
      <c r="FD933" s="16"/>
      <c r="FE933" s="16"/>
      <c r="FF933" s="16"/>
      <c r="FG933" s="16"/>
      <c r="FH933" s="16"/>
      <c r="FI933" s="16"/>
      <c r="FJ933" s="16"/>
      <c r="FK933" s="16">
        <f t="shared" si="835"/>
        <v>7.87</v>
      </c>
      <c r="FL933" s="16">
        <f t="shared" si="836"/>
        <v>8.1</v>
      </c>
      <c r="FM933" s="16">
        <v>7.87</v>
      </c>
      <c r="FN933" s="16">
        <v>0.1</v>
      </c>
      <c r="FO933" s="15">
        <f>FN933*SQRT(AR933)</f>
        <v>0.2</v>
      </c>
      <c r="FP933" s="15">
        <v>8.1</v>
      </c>
      <c r="FQ933" s="15">
        <v>0.1</v>
      </c>
      <c r="FR933" s="15">
        <f>FQ933*SQRT(AR933)</f>
        <v>0.2</v>
      </c>
      <c r="FS933" s="15">
        <f t="shared" si="837"/>
        <v>1.0292249047013977</v>
      </c>
      <c r="FT933" s="15">
        <f t="shared" si="838"/>
        <v>0.22999999999999954</v>
      </c>
      <c r="FU933" s="15">
        <f t="shared" si="839"/>
        <v>2.8805999249081449E-2</v>
      </c>
      <c r="FV933" s="15">
        <f>((FR933*FR933)/(AR933*FP933*FP933)+(FO933*FO933)/(AR933*FM933*FM933))</f>
        <v>3.1387043201609537E-4</v>
      </c>
      <c r="HE933" s="15">
        <v>10.199999999999999</v>
      </c>
      <c r="HF933" s="15">
        <v>0.5</v>
      </c>
      <c r="HG933" s="15">
        <f>HF933*SQRT(AR933)</f>
        <v>1</v>
      </c>
      <c r="HH933" s="15">
        <v>13.68</v>
      </c>
      <c r="HI933" s="15">
        <v>1.1000000000000001</v>
      </c>
      <c r="HJ933" s="15">
        <f>HI933*SQRT(AR933)</f>
        <v>2.2000000000000002</v>
      </c>
      <c r="HK933" s="15">
        <f t="shared" si="840"/>
        <v>1.3411764705882354</v>
      </c>
      <c r="HL933" s="15">
        <f t="shared" si="841"/>
        <v>3.4800000000000004</v>
      </c>
      <c r="HM933" s="15">
        <f t="shared" si="842"/>
        <v>0.29354719190417899</v>
      </c>
      <c r="HN933" s="15">
        <f>((HJ933*HJ933)/(AR933*HH933*HH933)+(HG933*HG933)/(AR933*HE933*HE933))</f>
        <v>8.86858660204678E-3</v>
      </c>
      <c r="HP933" s="15" t="s">
        <v>809</v>
      </c>
      <c r="HV933" s="15">
        <f t="shared" si="843"/>
        <v>3449.1898676738319</v>
      </c>
      <c r="HW933" s="15">
        <f t="shared" si="844"/>
        <v>0.29354719190417899</v>
      </c>
      <c r="HX933" s="15">
        <f>EY933</f>
        <v>101250</v>
      </c>
      <c r="HY933" s="15">
        <f t="shared" ref="HY933:IA935" si="848">EW933</f>
        <v>45000</v>
      </c>
      <c r="HZ933" s="15">
        <f t="shared" si="848"/>
        <v>45.1048951048951</v>
      </c>
      <c r="IA933" s="15">
        <f t="shared" si="848"/>
        <v>101250</v>
      </c>
    </row>
    <row r="934" spans="1:235" s="15" customFormat="1" x14ac:dyDescent="0.25">
      <c r="A934" s="31">
        <v>932</v>
      </c>
      <c r="B934" s="1">
        <v>152</v>
      </c>
      <c r="C934" s="1">
        <v>175</v>
      </c>
      <c r="D934" s="15" t="s">
        <v>2087</v>
      </c>
      <c r="E934" s="31">
        <v>6</v>
      </c>
      <c r="F934" s="15" t="s">
        <v>1155</v>
      </c>
      <c r="G934" s="15" t="s">
        <v>2432</v>
      </c>
      <c r="H934" s="15" t="s">
        <v>2433</v>
      </c>
      <c r="I934" s="1">
        <v>2020</v>
      </c>
      <c r="J934" s="15" t="s">
        <v>2434</v>
      </c>
      <c r="K934" s="1">
        <v>2019</v>
      </c>
      <c r="L934" s="15" t="s">
        <v>2435</v>
      </c>
      <c r="M934" s="15" t="s">
        <v>2101</v>
      </c>
      <c r="N934" s="15" t="s">
        <v>23</v>
      </c>
      <c r="O934" s="31">
        <v>3</v>
      </c>
      <c r="P934" s="15">
        <v>31.416</v>
      </c>
      <c r="Q934" s="15">
        <v>73.069999999999993</v>
      </c>
      <c r="U934" s="15" t="s">
        <v>807</v>
      </c>
      <c r="V934" s="31">
        <v>2</v>
      </c>
      <c r="W934" s="16" t="s">
        <v>1170</v>
      </c>
      <c r="X934" s="15" t="s">
        <v>729</v>
      </c>
      <c r="Y934" s="61">
        <v>11</v>
      </c>
      <c r="Z934" s="15">
        <v>7.71</v>
      </c>
      <c r="AA934" s="15" t="s">
        <v>573</v>
      </c>
      <c r="AB934" s="15">
        <f t="shared" si="834"/>
        <v>7.71</v>
      </c>
      <c r="AC934" s="1">
        <v>6</v>
      </c>
      <c r="AD934" s="15">
        <v>9.6999999999999993</v>
      </c>
      <c r="AF934" s="15">
        <v>3.57</v>
      </c>
      <c r="AJ934" s="15">
        <v>11</v>
      </c>
      <c r="AK934" s="15">
        <v>17</v>
      </c>
      <c r="AL934" s="15">
        <v>71</v>
      </c>
      <c r="AM934" s="1">
        <v>3</v>
      </c>
      <c r="AQ934" s="1"/>
      <c r="AR934" s="1">
        <v>4</v>
      </c>
      <c r="BF934" s="15">
        <v>8.49</v>
      </c>
      <c r="BJ934" s="15">
        <v>37.299999999999997</v>
      </c>
      <c r="BP934" s="16"/>
      <c r="BQ934" s="16"/>
      <c r="BR934" s="16"/>
      <c r="BS934" s="15">
        <v>1</v>
      </c>
      <c r="BT934" s="15">
        <f>BS934*10*2250</f>
        <v>22500</v>
      </c>
      <c r="BU934" s="15" t="s">
        <v>766</v>
      </c>
      <c r="BY934" s="15">
        <f>BT934</f>
        <v>22500</v>
      </c>
      <c r="BZ934" s="15">
        <f>BY934/1.1/1000</f>
        <v>20.454545454545453</v>
      </c>
      <c r="CA934" s="15">
        <f>BY934*2</f>
        <v>45000</v>
      </c>
      <c r="CE934" s="15">
        <v>1</v>
      </c>
      <c r="CF934" s="15">
        <f>CE934*10*2250</f>
        <v>22500</v>
      </c>
      <c r="CG934" s="15" t="s">
        <v>766</v>
      </c>
      <c r="CH934" s="15">
        <v>8.49</v>
      </c>
      <c r="CL934" s="15">
        <v>37.299999999999997</v>
      </c>
      <c r="CY934" s="25">
        <f t="shared" si="845"/>
        <v>22500</v>
      </c>
      <c r="CZ934" s="25">
        <f t="shared" si="846"/>
        <v>28.846153846153843</v>
      </c>
      <c r="DA934" s="25">
        <f t="shared" si="847"/>
        <v>67500</v>
      </c>
      <c r="EW934" s="46">
        <f>AX934+BT934+CF934+DE934+DY934</f>
        <v>45000</v>
      </c>
      <c r="EX934" s="46">
        <f>BA934+BZ934+CZ934+DT934+ET934</f>
        <v>49.300699300699293</v>
      </c>
      <c r="EY934" s="46">
        <f>BB934+CA934+DA934+DU934+EU934</f>
        <v>112500</v>
      </c>
      <c r="EZ934" s="16"/>
      <c r="FA934" s="16"/>
      <c r="FB934" s="16"/>
      <c r="FC934" s="16"/>
      <c r="FD934" s="16"/>
      <c r="FE934" s="16"/>
      <c r="FF934" s="16"/>
      <c r="FG934" s="16"/>
      <c r="FH934" s="16"/>
      <c r="FI934" s="16"/>
      <c r="FJ934" s="16"/>
      <c r="FK934" s="16">
        <f t="shared" si="835"/>
        <v>7.87</v>
      </c>
      <c r="FL934" s="16">
        <f t="shared" si="836"/>
        <v>8.2100000000000009</v>
      </c>
      <c r="FM934" s="16">
        <v>7.87</v>
      </c>
      <c r="FN934" s="16">
        <v>0.1</v>
      </c>
      <c r="FO934" s="15">
        <f>FN934*SQRT(AR934)</f>
        <v>0.2</v>
      </c>
      <c r="FP934" s="15">
        <v>8.2100000000000009</v>
      </c>
      <c r="FQ934" s="15">
        <v>0.1</v>
      </c>
      <c r="FR934" s="15">
        <f>FQ934*SQRT(AR934)</f>
        <v>0.2</v>
      </c>
      <c r="FS934" s="15">
        <f t="shared" si="837"/>
        <v>1.043202033036849</v>
      </c>
      <c r="FT934" s="15">
        <f t="shared" si="838"/>
        <v>0.34000000000000075</v>
      </c>
      <c r="FU934" s="15">
        <f t="shared" si="839"/>
        <v>4.2294861035025111E-2</v>
      </c>
      <c r="FV934" s="15">
        <f>((FR934*FR934)/(AR934*FP934*FP934)+(FO934*FO934)/(AR934*FM934*FM934))</f>
        <v>3.0981356946123677E-4</v>
      </c>
      <c r="HE934" s="15">
        <v>10.199999999999999</v>
      </c>
      <c r="HF934" s="15">
        <v>0.5</v>
      </c>
      <c r="HG934" s="15">
        <f>HF934*SQRT(AR934)</f>
        <v>1</v>
      </c>
      <c r="HH934" s="15">
        <v>15.35</v>
      </c>
      <c r="HI934" s="15">
        <v>1.1000000000000001</v>
      </c>
      <c r="HJ934" s="15">
        <f>HI934*SQRT(AR934)</f>
        <v>2.2000000000000002</v>
      </c>
      <c r="HK934" s="15">
        <f t="shared" si="840"/>
        <v>1.5049019607843137</v>
      </c>
      <c r="HL934" s="15">
        <f t="shared" si="841"/>
        <v>5.15</v>
      </c>
      <c r="HM934" s="15">
        <f t="shared" si="842"/>
        <v>0.40872775374298076</v>
      </c>
      <c r="HN934" s="15">
        <f>((HJ934*HJ934)/(AR934*HH934*HH934)+(HG934*HG934)/(AR934*HE934*HE934))</f>
        <v>7.5382549539756106E-3</v>
      </c>
      <c r="HP934" s="15" t="s">
        <v>809</v>
      </c>
      <c r="HV934" s="15">
        <f t="shared" si="843"/>
        <v>2752.4433799703042</v>
      </c>
      <c r="HW934" s="15">
        <f t="shared" si="844"/>
        <v>0.40872775374298076</v>
      </c>
      <c r="HX934" s="15">
        <f>EY934</f>
        <v>112500</v>
      </c>
      <c r="HY934" s="15">
        <f t="shared" si="848"/>
        <v>45000</v>
      </c>
      <c r="HZ934" s="15">
        <f t="shared" si="848"/>
        <v>49.300699300699293</v>
      </c>
      <c r="IA934" s="15">
        <f t="shared" si="848"/>
        <v>112500</v>
      </c>
    </row>
    <row r="935" spans="1:235" s="15" customFormat="1" x14ac:dyDescent="0.25">
      <c r="A935" s="31">
        <v>933</v>
      </c>
      <c r="B935" s="1">
        <v>152</v>
      </c>
      <c r="C935" s="1">
        <v>175</v>
      </c>
      <c r="D935" s="15" t="s">
        <v>2092</v>
      </c>
      <c r="E935" s="31">
        <v>6</v>
      </c>
      <c r="F935" s="15" t="s">
        <v>1155</v>
      </c>
      <c r="G935" s="15" t="s">
        <v>2432</v>
      </c>
      <c r="H935" s="15" t="s">
        <v>2433</v>
      </c>
      <c r="I935" s="1">
        <v>2020</v>
      </c>
      <c r="J935" s="15" t="s">
        <v>2434</v>
      </c>
      <c r="K935" s="1">
        <v>2019</v>
      </c>
      <c r="L935" s="15" t="s">
        <v>2435</v>
      </c>
      <c r="M935" s="15" t="s">
        <v>2101</v>
      </c>
      <c r="N935" s="15" t="s">
        <v>23</v>
      </c>
      <c r="O935" s="31">
        <v>3</v>
      </c>
      <c r="P935" s="15">
        <v>31.416</v>
      </c>
      <c r="Q935" s="15">
        <v>73.069999999999993</v>
      </c>
      <c r="U935" s="15" t="s">
        <v>807</v>
      </c>
      <c r="V935" s="31">
        <v>2</v>
      </c>
      <c r="W935" s="16" t="s">
        <v>1170</v>
      </c>
      <c r="X935" s="15" t="s">
        <v>729</v>
      </c>
      <c r="Y935" s="61">
        <v>11</v>
      </c>
      <c r="Z935" s="15">
        <v>7.71</v>
      </c>
      <c r="AA935" s="15" t="s">
        <v>573</v>
      </c>
      <c r="AB935" s="15">
        <f t="shared" si="834"/>
        <v>7.71</v>
      </c>
      <c r="AC935" s="1">
        <v>6</v>
      </c>
      <c r="AD935" s="15">
        <v>9.6999999999999993</v>
      </c>
      <c r="AF935" s="15">
        <v>3.57</v>
      </c>
      <c r="AJ935" s="15">
        <v>11</v>
      </c>
      <c r="AK935" s="15">
        <v>17</v>
      </c>
      <c r="AL935" s="15">
        <v>71</v>
      </c>
      <c r="AM935" s="1">
        <v>3</v>
      </c>
      <c r="AQ935" s="1"/>
      <c r="AR935" s="1">
        <v>4</v>
      </c>
      <c r="BP935" s="16"/>
      <c r="BQ935" s="16"/>
      <c r="BR935" s="16"/>
      <c r="BS935" s="15">
        <v>0.5</v>
      </c>
      <c r="BT935" s="15">
        <f>BS935*10*2250</f>
        <v>11250</v>
      </c>
      <c r="BU935" s="15" t="s">
        <v>766</v>
      </c>
      <c r="BY935" s="15">
        <f>BT935</f>
        <v>11250</v>
      </c>
      <c r="BZ935" s="15">
        <f>BY935/1.1/1000</f>
        <v>10.227272727272727</v>
      </c>
      <c r="CA935" s="15">
        <f>BY935*2</f>
        <v>22500</v>
      </c>
      <c r="CE935" s="15">
        <v>1.5</v>
      </c>
      <c r="CF935" s="15">
        <f>CE935*10*2250</f>
        <v>33750</v>
      </c>
      <c r="CG935" s="15" t="s">
        <v>766</v>
      </c>
      <c r="CH935" s="15">
        <v>9.01</v>
      </c>
      <c r="CL935" s="15">
        <v>46.6</v>
      </c>
      <c r="CY935" s="25">
        <f t="shared" si="845"/>
        <v>33750</v>
      </c>
      <c r="CZ935" s="25">
        <f t="shared" si="846"/>
        <v>43.269230769230766</v>
      </c>
      <c r="DA935" s="25">
        <f t="shared" si="847"/>
        <v>101250</v>
      </c>
      <c r="EW935" s="46">
        <f>AX935+BT935+CF935+DE935+DY935</f>
        <v>45000</v>
      </c>
      <c r="EX935" s="46">
        <f>BA935+BZ935+CZ935+DT935+ET935</f>
        <v>53.496503496503493</v>
      </c>
      <c r="EY935" s="46">
        <f>BB935+CA935+DA935+DU935+EU935</f>
        <v>123750</v>
      </c>
      <c r="EZ935" s="16"/>
      <c r="FA935" s="16"/>
      <c r="FB935" s="16"/>
      <c r="FC935" s="16"/>
      <c r="FD935" s="16"/>
      <c r="FE935" s="16"/>
      <c r="FF935" s="16"/>
      <c r="FG935" s="16"/>
      <c r="FH935" s="16"/>
      <c r="FI935" s="16"/>
      <c r="FJ935" s="16"/>
      <c r="FK935" s="16">
        <f t="shared" si="835"/>
        <v>7.87</v>
      </c>
      <c r="FL935" s="16">
        <f t="shared" si="836"/>
        <v>8.3699999999999992</v>
      </c>
      <c r="FM935" s="16">
        <v>7.87</v>
      </c>
      <c r="FN935" s="16">
        <v>0.1</v>
      </c>
      <c r="FO935" s="15">
        <f>FN935*SQRT(AR935)</f>
        <v>0.2</v>
      </c>
      <c r="FP935" s="15">
        <v>8.3699999999999992</v>
      </c>
      <c r="FQ935" s="15">
        <v>0.1</v>
      </c>
      <c r="FR935" s="15">
        <f>FQ935*SQRT(AR935)</f>
        <v>0.2</v>
      </c>
      <c r="FS935" s="15">
        <f t="shared" si="837"/>
        <v>1.0635324015247776</v>
      </c>
      <c r="FT935" s="15">
        <f t="shared" si="838"/>
        <v>0.49999999999999911</v>
      </c>
      <c r="FU935" s="15">
        <f t="shared" si="839"/>
        <v>6.1595822072072259E-2</v>
      </c>
      <c r="FV935" s="15">
        <f>((FR935*FR935)/(AR935*FP935*FP935)+(FO935*FO935)/(AR935*FM935*FM935))</f>
        <v>3.041957564626841E-4</v>
      </c>
      <c r="HE935" s="15">
        <v>10.199999999999999</v>
      </c>
      <c r="HF935" s="15">
        <v>0.5</v>
      </c>
      <c r="HG935" s="15">
        <f>HF935*SQRT(AR935)</f>
        <v>1</v>
      </c>
      <c r="HH935" s="15">
        <v>17.190000000000001</v>
      </c>
      <c r="HI935" s="15">
        <v>1.1000000000000001</v>
      </c>
      <c r="HJ935" s="15">
        <f>HI935*SQRT(AR935)</f>
        <v>2.2000000000000002</v>
      </c>
      <c r="HK935" s="15">
        <f t="shared" si="840"/>
        <v>1.6852941176470591</v>
      </c>
      <c r="HL935" s="15">
        <f t="shared" si="841"/>
        <v>6.990000000000002</v>
      </c>
      <c r="HM935" s="15">
        <f t="shared" si="842"/>
        <v>0.52194009910453287</v>
      </c>
      <c r="HN935" s="15">
        <f>((HJ935*HJ935)/(AR935*HH935*HH935)+(HG935*HG935)/(AR935*HE935*HE935))</f>
        <v>6.4977306493857094E-3</v>
      </c>
      <c r="HP935" s="15" t="s">
        <v>809</v>
      </c>
      <c r="HV935" s="15">
        <f t="shared" si="843"/>
        <v>2370.9617293691713</v>
      </c>
      <c r="HW935" s="15">
        <f t="shared" si="844"/>
        <v>0.52194009910453287</v>
      </c>
      <c r="HX935" s="15">
        <f>EY935</f>
        <v>123750</v>
      </c>
      <c r="HY935" s="15">
        <f t="shared" si="848"/>
        <v>45000</v>
      </c>
      <c r="HZ935" s="15">
        <f t="shared" si="848"/>
        <v>53.496503496503493</v>
      </c>
      <c r="IA935" s="15">
        <f t="shared" si="848"/>
        <v>123750</v>
      </c>
    </row>
    <row r="936" spans="1:235" s="15" customFormat="1" x14ac:dyDescent="0.25">
      <c r="A936" s="31">
        <v>934</v>
      </c>
      <c r="B936" s="1">
        <v>152</v>
      </c>
      <c r="C936" s="1">
        <v>175</v>
      </c>
      <c r="D936" s="15" t="s">
        <v>2100</v>
      </c>
      <c r="E936" s="31">
        <v>2</v>
      </c>
      <c r="F936" s="15" t="s">
        <v>777</v>
      </c>
      <c r="G936" s="15" t="s">
        <v>2432</v>
      </c>
      <c r="H936" s="15" t="s">
        <v>2433</v>
      </c>
      <c r="I936" s="1">
        <v>2020</v>
      </c>
      <c r="J936" s="15" t="s">
        <v>2434</v>
      </c>
      <c r="K936" s="1">
        <v>2019</v>
      </c>
      <c r="L936" s="15" t="s">
        <v>2435</v>
      </c>
      <c r="M936" s="15" t="s">
        <v>2101</v>
      </c>
      <c r="N936" s="15" t="s">
        <v>23</v>
      </c>
      <c r="O936" s="31">
        <v>3</v>
      </c>
      <c r="P936" s="15">
        <v>31.416</v>
      </c>
      <c r="Q936" s="15">
        <v>73.069999999999993</v>
      </c>
      <c r="U936" s="15" t="s">
        <v>807</v>
      </c>
      <c r="V936" s="31">
        <v>2</v>
      </c>
      <c r="W936" s="16" t="s">
        <v>1170</v>
      </c>
      <c r="X936" s="15" t="s">
        <v>729</v>
      </c>
      <c r="Y936" s="61">
        <v>11</v>
      </c>
      <c r="Z936" s="15">
        <v>7.71</v>
      </c>
      <c r="AA936" s="15" t="s">
        <v>573</v>
      </c>
      <c r="AB936" s="15">
        <f t="shared" si="834"/>
        <v>7.71</v>
      </c>
      <c r="AC936" s="1">
        <v>6</v>
      </c>
      <c r="AD936" s="15">
        <v>9.6999999999999993</v>
      </c>
      <c r="AF936" s="15">
        <v>3.57</v>
      </c>
      <c r="AJ936" s="15">
        <v>11</v>
      </c>
      <c r="AK936" s="15">
        <v>17</v>
      </c>
      <c r="AL936" s="15">
        <v>71</v>
      </c>
      <c r="AM936" s="1">
        <v>3</v>
      </c>
      <c r="AQ936" s="1"/>
      <c r="AR936" s="1">
        <v>4</v>
      </c>
      <c r="BP936" s="16"/>
      <c r="BQ936" s="16"/>
      <c r="BR936" s="16"/>
      <c r="BU936" s="16"/>
      <c r="CE936" s="15">
        <v>2</v>
      </c>
      <c r="CF936" s="15">
        <f>CE936*10*2250</f>
        <v>45000</v>
      </c>
      <c r="CG936" s="15" t="s">
        <v>766</v>
      </c>
      <c r="CH936" s="15">
        <v>8.74</v>
      </c>
      <c r="CL936" s="15">
        <v>18.600000000000001</v>
      </c>
      <c r="CY936" s="25">
        <f t="shared" si="845"/>
        <v>45000</v>
      </c>
      <c r="CZ936" s="25">
        <f t="shared" si="846"/>
        <v>57.692307692307686</v>
      </c>
      <c r="DA936" s="25">
        <f t="shared" si="847"/>
        <v>135000</v>
      </c>
      <c r="EZ936" s="16"/>
      <c r="FA936" s="16"/>
      <c r="FB936" s="16"/>
      <c r="FC936" s="16"/>
      <c r="FD936" s="16"/>
      <c r="FE936" s="16"/>
      <c r="FF936" s="16"/>
      <c r="FG936" s="16"/>
      <c r="FH936" s="16"/>
      <c r="FI936" s="16"/>
      <c r="FJ936" s="16"/>
      <c r="FK936" s="16">
        <f t="shared" si="835"/>
        <v>7.87</v>
      </c>
      <c r="FL936" s="16">
        <f t="shared" si="836"/>
        <v>8.44</v>
      </c>
      <c r="FM936" s="16">
        <v>7.87</v>
      </c>
      <c r="FN936" s="16">
        <v>0.1</v>
      </c>
      <c r="FO936" s="15">
        <f>FN936*SQRT(AR936)</f>
        <v>0.2</v>
      </c>
      <c r="FP936" s="15">
        <v>8.44</v>
      </c>
      <c r="FQ936" s="15">
        <v>0.1</v>
      </c>
      <c r="FR936" s="15">
        <f>FQ936*SQRT(AR936)</f>
        <v>0.2</v>
      </c>
      <c r="FS936" s="15">
        <f t="shared" si="837"/>
        <v>1.0724269377382465</v>
      </c>
      <c r="FT936" s="15">
        <f t="shared" si="838"/>
        <v>0.5699999999999994</v>
      </c>
      <c r="FU936" s="15">
        <f t="shared" si="839"/>
        <v>6.9924246178553862E-2</v>
      </c>
      <c r="FV936" s="15">
        <f>((FR936*FR936)/(AR936*FP936*FP936)+(FO936*FO936)/(AR936*FM936*FM936))</f>
        <v>3.0183783169552474E-4</v>
      </c>
      <c r="HE936" s="15">
        <v>10.199999999999999</v>
      </c>
      <c r="HF936" s="15">
        <v>0.5</v>
      </c>
      <c r="HG936" s="15">
        <f>HF936*SQRT(AR936)</f>
        <v>1</v>
      </c>
      <c r="HH936" s="15">
        <v>18.68</v>
      </c>
      <c r="HI936" s="15">
        <v>1.1000000000000001</v>
      </c>
      <c r="HJ936" s="15">
        <f>HI936*SQRT(AR936)</f>
        <v>2.2000000000000002</v>
      </c>
      <c r="HK936" s="15">
        <f t="shared" si="840"/>
        <v>1.831372549019608</v>
      </c>
      <c r="HL936" s="15">
        <f t="shared" si="841"/>
        <v>8.48</v>
      </c>
      <c r="HM936" s="15">
        <f t="shared" si="842"/>
        <v>0.60506571251047125</v>
      </c>
      <c r="HN936" s="15">
        <f>((HJ936*HJ936)/(AR936*HH936*HH936)+(HG936*HG936)/(AR936*HE936*HE936))</f>
        <v>5.870542970202659E-3</v>
      </c>
      <c r="HP936" s="15" t="s">
        <v>809</v>
      </c>
      <c r="HV936" s="15">
        <f t="shared" si="843"/>
        <v>2231.1626193438237</v>
      </c>
      <c r="HW936" s="15">
        <f t="shared" si="844"/>
        <v>0.60506571251047125</v>
      </c>
      <c r="HX936" s="25">
        <f>DA936</f>
        <v>135000</v>
      </c>
      <c r="HY936" s="25">
        <f>CY936</f>
        <v>45000</v>
      </c>
      <c r="HZ936" s="25">
        <f>CZ936</f>
        <v>57.692307692307686</v>
      </c>
      <c r="IA936" s="25">
        <f>DA936</f>
        <v>135000</v>
      </c>
    </row>
    <row r="937" spans="1:235" s="15" customFormat="1" x14ac:dyDescent="0.25">
      <c r="A937" s="31">
        <v>935</v>
      </c>
      <c r="B937" s="1">
        <v>153</v>
      </c>
      <c r="C937" s="1">
        <v>176</v>
      </c>
      <c r="D937" s="15" t="s">
        <v>2102</v>
      </c>
      <c r="E937" s="31">
        <v>2</v>
      </c>
      <c r="F937" s="15" t="s">
        <v>777</v>
      </c>
      <c r="G937" s="15" t="s">
        <v>2106</v>
      </c>
      <c r="H937" s="15" t="s">
        <v>812</v>
      </c>
      <c r="I937" s="1">
        <v>2016</v>
      </c>
      <c r="J937" s="15" t="s">
        <v>2107</v>
      </c>
      <c r="K937" s="1">
        <v>2016</v>
      </c>
      <c r="L937" s="15" t="s">
        <v>2108</v>
      </c>
      <c r="M937" s="15" t="s">
        <v>480</v>
      </c>
      <c r="N937" s="15" t="s">
        <v>23</v>
      </c>
      <c r="O937" s="31">
        <v>2</v>
      </c>
      <c r="P937" s="15">
        <v>19.989999999999998</v>
      </c>
      <c r="Q937" s="15">
        <v>110.31</v>
      </c>
      <c r="S937" s="15">
        <v>2067</v>
      </c>
      <c r="T937" s="15">
        <v>24</v>
      </c>
      <c r="U937" s="15" t="s">
        <v>807</v>
      </c>
      <c r="V937" s="31">
        <v>2</v>
      </c>
      <c r="W937" s="16" t="s">
        <v>1149</v>
      </c>
      <c r="X937" s="15" t="s">
        <v>2109</v>
      </c>
      <c r="Y937" s="1">
        <v>3</v>
      </c>
      <c r="Z937" s="15">
        <v>5.22</v>
      </c>
      <c r="AA937" s="15" t="s">
        <v>573</v>
      </c>
      <c r="AB937" s="15">
        <f t="shared" si="834"/>
        <v>5.22</v>
      </c>
      <c r="AC937" s="1">
        <v>3</v>
      </c>
      <c r="AD937" s="15">
        <v>18.3</v>
      </c>
      <c r="AM937" s="1">
        <v>1</v>
      </c>
      <c r="AP937" s="15" t="s">
        <v>697</v>
      </c>
      <c r="AQ937" s="1">
        <v>1</v>
      </c>
      <c r="AR937" s="1">
        <v>3</v>
      </c>
      <c r="BP937" s="16"/>
      <c r="BQ937" s="16"/>
      <c r="BR937" s="16"/>
      <c r="BU937" s="16"/>
      <c r="CC937" s="15" t="s">
        <v>2110</v>
      </c>
      <c r="CE937" s="15">
        <v>5</v>
      </c>
      <c r="CF937" s="15">
        <f>CE937*2250</f>
        <v>11250</v>
      </c>
      <c r="CG937" s="15" t="s">
        <v>766</v>
      </c>
      <c r="CI937" s="15">
        <v>300</v>
      </c>
      <c r="CY937" s="25">
        <f t="shared" si="845"/>
        <v>11250</v>
      </c>
      <c r="CZ937" s="25">
        <f t="shared" si="846"/>
        <v>14.423076923076922</v>
      </c>
      <c r="DA937" s="25">
        <f t="shared" si="847"/>
        <v>33750</v>
      </c>
      <c r="EZ937" s="16"/>
      <c r="FA937" s="16"/>
      <c r="FB937" s="16"/>
      <c r="FC937" s="16"/>
      <c r="FD937" s="16"/>
      <c r="FE937" s="16"/>
      <c r="FF937" s="16"/>
      <c r="FG937" s="16"/>
      <c r="FH937" s="16"/>
      <c r="FI937" s="16"/>
      <c r="FJ937" s="16"/>
      <c r="FK937" s="16">
        <f t="shared" si="835"/>
        <v>4.67</v>
      </c>
      <c r="FL937" s="16">
        <f t="shared" si="836"/>
        <v>4.76</v>
      </c>
      <c r="FM937" s="16">
        <v>4.67</v>
      </c>
      <c r="FN937" s="15">
        <v>0.04</v>
      </c>
      <c r="FO937" s="15">
        <f>FN937*SQRT(AR937)</f>
        <v>6.9282032302755092E-2</v>
      </c>
      <c r="FP937" s="15">
        <v>4.76</v>
      </c>
      <c r="FQ937" s="15">
        <v>0.03</v>
      </c>
      <c r="FR937" s="15">
        <f>FQ937*SQRT(AR937)</f>
        <v>5.1961524227066312E-2</v>
      </c>
      <c r="FS937" s="15">
        <f t="shared" si="837"/>
        <v>1.019271948608137</v>
      </c>
      <c r="FT937" s="15">
        <f t="shared" si="838"/>
        <v>8.9999999999999858E-2</v>
      </c>
      <c r="FU937" s="15">
        <f t="shared" si="839"/>
        <v>1.9088596562522708E-2</v>
      </c>
      <c r="FV937" s="15">
        <f>((FR937*FR937)/(AR937*FP937*FP937)+(FO937*FO937)/(AR937*FM937*FM937))</f>
        <v>1.1308631489438803E-4</v>
      </c>
      <c r="HE937" s="15">
        <v>60.16</v>
      </c>
      <c r="HF937" s="15">
        <f t="shared" ref="HF937:HF943" si="849">HE937*0.05</f>
        <v>3.008</v>
      </c>
      <c r="HG937" s="15">
        <f>HF937*SQRT(AR937)</f>
        <v>5.2100088291671822</v>
      </c>
      <c r="HH937" s="15">
        <v>65.849999999999994</v>
      </c>
      <c r="HI937" s="15">
        <v>4</v>
      </c>
      <c r="HJ937" s="15">
        <f>HI937*SQRT(AR937)</f>
        <v>6.9282032302755088</v>
      </c>
      <c r="HK937" s="15">
        <f t="shared" si="840"/>
        <v>1.0945811170212765</v>
      </c>
      <c r="HL937" s="15">
        <f t="shared" si="841"/>
        <v>5.6899999999999977</v>
      </c>
      <c r="HM937" s="15">
        <f t="shared" si="842"/>
        <v>9.0371748547705799E-2</v>
      </c>
      <c r="HN937" s="15">
        <f>((HJ937*HJ937)/(AR937*HH937*HH937)+(HG937*HG937)/(AR937*HE937*HE937))</f>
        <v>6.1898475574073981E-3</v>
      </c>
      <c r="HP937" s="15" t="s">
        <v>809</v>
      </c>
      <c r="HV937" s="15">
        <f t="shared" si="843"/>
        <v>3734.5741940783537</v>
      </c>
      <c r="HW937" s="15">
        <f t="shared" si="844"/>
        <v>9.0371748547705799E-2</v>
      </c>
      <c r="HX937" s="25">
        <f>DA937</f>
        <v>33750</v>
      </c>
      <c r="HY937" s="25">
        <f>CY937</f>
        <v>11250</v>
      </c>
      <c r="HZ937" s="25">
        <f>CZ937</f>
        <v>14.423076923076922</v>
      </c>
      <c r="IA937" s="25">
        <f>DA937</f>
        <v>33750</v>
      </c>
    </row>
    <row r="938" spans="1:235" s="15" customFormat="1" x14ac:dyDescent="0.25">
      <c r="A938" s="31">
        <v>936</v>
      </c>
      <c r="B938" s="1">
        <v>153</v>
      </c>
      <c r="C938" s="1">
        <v>176</v>
      </c>
      <c r="D938" s="15" t="s">
        <v>2103</v>
      </c>
      <c r="E938" s="31">
        <v>2</v>
      </c>
      <c r="F938" s="15" t="s">
        <v>777</v>
      </c>
      <c r="G938" s="15" t="s">
        <v>2106</v>
      </c>
      <c r="H938" s="15" t="s">
        <v>812</v>
      </c>
      <c r="I938" s="1">
        <v>2016</v>
      </c>
      <c r="J938" s="15" t="s">
        <v>2107</v>
      </c>
      <c r="K938" s="1">
        <v>2016</v>
      </c>
      <c r="L938" s="15" t="s">
        <v>2108</v>
      </c>
      <c r="M938" s="15" t="s">
        <v>480</v>
      </c>
      <c r="N938" s="15" t="s">
        <v>23</v>
      </c>
      <c r="O938" s="31">
        <v>2</v>
      </c>
      <c r="P938" s="15">
        <v>19.989999999999998</v>
      </c>
      <c r="Q938" s="15">
        <v>110.31</v>
      </c>
      <c r="S938" s="15">
        <v>2067</v>
      </c>
      <c r="T938" s="15">
        <v>24</v>
      </c>
      <c r="U938" s="15" t="s">
        <v>807</v>
      </c>
      <c r="V938" s="31">
        <v>2</v>
      </c>
      <c r="W938" s="16" t="s">
        <v>1899</v>
      </c>
      <c r="X938" s="15" t="s">
        <v>2109</v>
      </c>
      <c r="Y938" s="1">
        <v>3</v>
      </c>
      <c r="Z938" s="15">
        <v>5.22</v>
      </c>
      <c r="AA938" s="15" t="s">
        <v>573</v>
      </c>
      <c r="AB938" s="15">
        <f t="shared" si="834"/>
        <v>5.22</v>
      </c>
      <c r="AC938" s="1">
        <v>3</v>
      </c>
      <c r="AD938" s="15">
        <v>18.3</v>
      </c>
      <c r="AM938" s="1">
        <v>1</v>
      </c>
      <c r="AP938" s="15" t="s">
        <v>697</v>
      </c>
      <c r="AQ938" s="1">
        <v>1</v>
      </c>
      <c r="AR938" s="1">
        <v>3</v>
      </c>
      <c r="BP938" s="16"/>
      <c r="BQ938" s="16"/>
      <c r="BR938" s="16"/>
      <c r="BU938" s="16"/>
      <c r="CC938" s="15" t="s">
        <v>2110</v>
      </c>
      <c r="CE938" s="15">
        <v>10</v>
      </c>
      <c r="CF938" s="15">
        <f>CE938*2250</f>
        <v>22500</v>
      </c>
      <c r="CG938" s="15" t="s">
        <v>766</v>
      </c>
      <c r="CI938" s="15">
        <v>300</v>
      </c>
      <c r="CY938" s="25">
        <f t="shared" si="845"/>
        <v>22500</v>
      </c>
      <c r="CZ938" s="25">
        <f t="shared" si="846"/>
        <v>28.846153846153843</v>
      </c>
      <c r="DA938" s="25">
        <f t="shared" si="847"/>
        <v>67500</v>
      </c>
      <c r="EZ938" s="16"/>
      <c r="FA938" s="16"/>
      <c r="FB938" s="16"/>
      <c r="FC938" s="16"/>
      <c r="FD938" s="16"/>
      <c r="FE938" s="16"/>
      <c r="FF938" s="16"/>
      <c r="FG938" s="16"/>
      <c r="FH938" s="16"/>
      <c r="FI938" s="16"/>
      <c r="FJ938" s="16"/>
      <c r="FK938" s="16">
        <f t="shared" si="835"/>
        <v>4.67</v>
      </c>
      <c r="FL938" s="16">
        <f t="shared" si="836"/>
        <v>4.92</v>
      </c>
      <c r="FM938" s="16">
        <v>4.67</v>
      </c>
      <c r="FN938" s="15">
        <v>0.04</v>
      </c>
      <c r="FO938" s="15">
        <f>FN938*SQRT(AR938)</f>
        <v>6.9282032302755092E-2</v>
      </c>
      <c r="FP938" s="15">
        <v>4.92</v>
      </c>
      <c r="FQ938" s="15">
        <v>0.03</v>
      </c>
      <c r="FR938" s="15">
        <f>FQ938*SQRT(AR938)</f>
        <v>5.1961524227066312E-2</v>
      </c>
      <c r="FS938" s="15">
        <f t="shared" si="837"/>
        <v>1.0535331905781584</v>
      </c>
      <c r="FT938" s="15">
        <f t="shared" si="838"/>
        <v>0.25</v>
      </c>
      <c r="FU938" s="15">
        <f t="shared" si="839"/>
        <v>5.2149458823410821E-2</v>
      </c>
      <c r="FV938" s="15">
        <f>((FR938*FR938)/(AR938*FP938*FP938)+(FO938*FO938)/(AR938*FM938*FM938))</f>
        <v>1.1054479368430131E-4</v>
      </c>
      <c r="HE938" s="15">
        <v>60.16</v>
      </c>
      <c r="HF938" s="15">
        <f t="shared" si="849"/>
        <v>3.008</v>
      </c>
      <c r="HG938" s="15">
        <f>HF938*SQRT(AR938)</f>
        <v>5.2100088291671822</v>
      </c>
      <c r="HH938" s="15">
        <v>67.599999999999994</v>
      </c>
      <c r="HI938" s="15">
        <v>3.7</v>
      </c>
      <c r="HJ938" s="15">
        <f>HI938*SQRT(AR938)</f>
        <v>6.4085879880048457</v>
      </c>
      <c r="HK938" s="15">
        <f t="shared" si="840"/>
        <v>1.1236702127659575</v>
      </c>
      <c r="HL938" s="15">
        <f t="shared" si="841"/>
        <v>7.4399999999999977</v>
      </c>
      <c r="HM938" s="15">
        <f t="shared" si="842"/>
        <v>0.11660030340733396</v>
      </c>
      <c r="HN938" s="15">
        <f>((HJ938*HJ938)/(AR938*HH938*HH938)+(HG938*HG938)/(AR938*HE938*HE938))</f>
        <v>5.4957809600504181E-3</v>
      </c>
      <c r="HP938" s="15" t="s">
        <v>809</v>
      </c>
      <c r="HV938" s="15">
        <f t="shared" si="843"/>
        <v>5789.007234757707</v>
      </c>
      <c r="HW938" s="15">
        <f t="shared" si="844"/>
        <v>0.11660030340733396</v>
      </c>
      <c r="HX938" s="25">
        <f>DA938</f>
        <v>67500</v>
      </c>
      <c r="HY938" s="25">
        <f>CY938</f>
        <v>22500</v>
      </c>
      <c r="HZ938" s="25">
        <f>CZ938</f>
        <v>28.846153846153843</v>
      </c>
      <c r="IA938" s="25">
        <f>DA938</f>
        <v>67500</v>
      </c>
    </row>
    <row r="939" spans="1:235" s="15" customFormat="1" x14ac:dyDescent="0.25">
      <c r="A939" s="31">
        <v>937</v>
      </c>
      <c r="B939" s="1">
        <v>153</v>
      </c>
      <c r="C939" s="1">
        <v>176</v>
      </c>
      <c r="D939" s="15" t="s">
        <v>2104</v>
      </c>
      <c r="E939" s="31">
        <v>2</v>
      </c>
      <c r="F939" s="15" t="s">
        <v>777</v>
      </c>
      <c r="G939" s="15" t="s">
        <v>2106</v>
      </c>
      <c r="H939" s="15" t="s">
        <v>812</v>
      </c>
      <c r="I939" s="1">
        <v>2016</v>
      </c>
      <c r="J939" s="15" t="s">
        <v>2107</v>
      </c>
      <c r="K939" s="1">
        <v>2016</v>
      </c>
      <c r="L939" s="15" t="s">
        <v>2108</v>
      </c>
      <c r="M939" s="15" t="s">
        <v>480</v>
      </c>
      <c r="N939" s="15" t="s">
        <v>23</v>
      </c>
      <c r="O939" s="31">
        <v>2</v>
      </c>
      <c r="P939" s="15">
        <v>19.989999999999998</v>
      </c>
      <c r="Q939" s="15">
        <v>110.31</v>
      </c>
      <c r="S939" s="15">
        <v>2067</v>
      </c>
      <c r="T939" s="15">
        <v>24</v>
      </c>
      <c r="U939" s="15" t="s">
        <v>807</v>
      </c>
      <c r="V939" s="31">
        <v>2</v>
      </c>
      <c r="W939" s="16" t="s">
        <v>1994</v>
      </c>
      <c r="X939" s="15" t="s">
        <v>2109</v>
      </c>
      <c r="Y939" s="1">
        <v>3</v>
      </c>
      <c r="Z939" s="15">
        <v>5.22</v>
      </c>
      <c r="AA939" s="15" t="s">
        <v>573</v>
      </c>
      <c r="AB939" s="15">
        <f t="shared" si="834"/>
        <v>5.22</v>
      </c>
      <c r="AC939" s="1">
        <v>3</v>
      </c>
      <c r="AD939" s="15">
        <v>18.3</v>
      </c>
      <c r="AM939" s="1">
        <v>1</v>
      </c>
      <c r="AP939" s="15" t="s">
        <v>697</v>
      </c>
      <c r="AQ939" s="1">
        <v>1</v>
      </c>
      <c r="AR939" s="1">
        <v>3</v>
      </c>
      <c r="BP939" s="16"/>
      <c r="BQ939" s="16"/>
      <c r="BR939" s="16"/>
      <c r="BU939" s="16"/>
      <c r="CC939" s="15" t="s">
        <v>2110</v>
      </c>
      <c r="CE939" s="15">
        <v>20</v>
      </c>
      <c r="CF939" s="15">
        <f>CE939*2250</f>
        <v>45000</v>
      </c>
      <c r="CG939" s="15" t="s">
        <v>766</v>
      </c>
      <c r="CI939" s="15">
        <v>300</v>
      </c>
      <c r="CY939" s="25">
        <f t="shared" si="845"/>
        <v>45000</v>
      </c>
      <c r="CZ939" s="25">
        <f t="shared" si="846"/>
        <v>57.692307692307686</v>
      </c>
      <c r="DA939" s="25">
        <f t="shared" si="847"/>
        <v>135000</v>
      </c>
      <c r="EZ939" s="16"/>
      <c r="FA939" s="16"/>
      <c r="FB939" s="16"/>
      <c r="FC939" s="16"/>
      <c r="FD939" s="16"/>
      <c r="FE939" s="16"/>
      <c r="FF939" s="16"/>
      <c r="FG939" s="16"/>
      <c r="FH939" s="16"/>
      <c r="FI939" s="16"/>
      <c r="FJ939" s="16"/>
      <c r="FK939" s="16">
        <f t="shared" si="835"/>
        <v>4.67</v>
      </c>
      <c r="FL939" s="16">
        <f t="shared" si="836"/>
        <v>5.16</v>
      </c>
      <c r="FM939" s="16">
        <v>4.67</v>
      </c>
      <c r="FN939" s="15">
        <v>0.04</v>
      </c>
      <c r="FO939" s="15">
        <f>FN939*SQRT(AR939)</f>
        <v>6.9282032302755092E-2</v>
      </c>
      <c r="FP939" s="15">
        <v>5.16</v>
      </c>
      <c r="FQ939" s="15">
        <v>0.03</v>
      </c>
      <c r="FR939" s="15">
        <f>FQ939*SQRT(AR939)</f>
        <v>5.1961524227066312E-2</v>
      </c>
      <c r="FS939" s="15">
        <f t="shared" si="837"/>
        <v>1.1049250535331907</v>
      </c>
      <c r="FT939" s="15">
        <f t="shared" si="838"/>
        <v>0.49000000000000021</v>
      </c>
      <c r="FU939" s="15">
        <f t="shared" si="839"/>
        <v>9.9777507812665478E-2</v>
      </c>
      <c r="FV939" s="15">
        <f>((FR939*FR939)/(AR939*FP939*FP939)+(FO939*FO939)/(AR939*FM939*FM939))</f>
        <v>1.0716659899797634E-4</v>
      </c>
      <c r="HE939" s="15">
        <v>60.16</v>
      </c>
      <c r="HF939" s="15">
        <f t="shared" si="849"/>
        <v>3.008</v>
      </c>
      <c r="HG939" s="15">
        <f>HF939*SQRT(AR939)</f>
        <v>5.2100088291671822</v>
      </c>
      <c r="HH939" s="15">
        <v>75.900000000000006</v>
      </c>
      <c r="HI939" s="15">
        <v>3.8</v>
      </c>
      <c r="HJ939" s="15">
        <f>HI939*SQRT(AR939)</f>
        <v>6.5817930687617334</v>
      </c>
      <c r="HK939" s="15">
        <f t="shared" si="840"/>
        <v>1.2616356382978724</v>
      </c>
      <c r="HL939" s="15">
        <f t="shared" si="841"/>
        <v>15.740000000000009</v>
      </c>
      <c r="HM939" s="15">
        <f t="shared" si="842"/>
        <v>0.23240900476000004</v>
      </c>
      <c r="HN939" s="15">
        <f>((HJ939*HJ939)/(AR939*HH939*HH939)+(HG939*HG939)/(AR939*HE939*HE939))</f>
        <v>5.0065919549507776E-3</v>
      </c>
      <c r="HP939" s="15" t="s">
        <v>809</v>
      </c>
      <c r="HV939" s="15">
        <f t="shared" si="843"/>
        <v>5808.7250164600719</v>
      </c>
      <c r="HW939" s="15">
        <f t="shared" si="844"/>
        <v>0.23240900476000004</v>
      </c>
      <c r="HX939" s="25">
        <f>DA939</f>
        <v>135000</v>
      </c>
      <c r="HY939" s="25">
        <f>CY939</f>
        <v>45000</v>
      </c>
      <c r="HZ939" s="25">
        <f>CZ939</f>
        <v>57.692307692307686</v>
      </c>
      <c r="IA939" s="25">
        <f>DA939</f>
        <v>135000</v>
      </c>
    </row>
    <row r="940" spans="1:235" s="15" customFormat="1" x14ac:dyDescent="0.25">
      <c r="A940" s="31">
        <v>938</v>
      </c>
      <c r="B940" s="1">
        <v>153</v>
      </c>
      <c r="C940" s="1">
        <v>176</v>
      </c>
      <c r="D940" s="15" t="s">
        <v>2105</v>
      </c>
      <c r="E940" s="31">
        <v>2</v>
      </c>
      <c r="F940" s="15" t="s">
        <v>777</v>
      </c>
      <c r="G940" s="15" t="s">
        <v>2106</v>
      </c>
      <c r="H940" s="15" t="s">
        <v>812</v>
      </c>
      <c r="I940" s="1">
        <v>2016</v>
      </c>
      <c r="J940" s="15" t="s">
        <v>2107</v>
      </c>
      <c r="K940" s="1">
        <v>2016</v>
      </c>
      <c r="L940" s="15" t="s">
        <v>2108</v>
      </c>
      <c r="M940" s="15" t="s">
        <v>480</v>
      </c>
      <c r="N940" s="15" t="s">
        <v>23</v>
      </c>
      <c r="O940" s="31">
        <v>2</v>
      </c>
      <c r="P940" s="15">
        <v>19.989999999999998</v>
      </c>
      <c r="Q940" s="15">
        <v>110.31</v>
      </c>
      <c r="S940" s="15">
        <v>2067</v>
      </c>
      <c r="T940" s="15">
        <v>24</v>
      </c>
      <c r="U940" s="15" t="s">
        <v>807</v>
      </c>
      <c r="V940" s="31">
        <v>2</v>
      </c>
      <c r="W940" s="16" t="s">
        <v>1898</v>
      </c>
      <c r="X940" s="15" t="s">
        <v>2109</v>
      </c>
      <c r="Y940" s="1">
        <v>3</v>
      </c>
      <c r="Z940" s="15">
        <v>5.22</v>
      </c>
      <c r="AA940" s="15" t="s">
        <v>573</v>
      </c>
      <c r="AB940" s="15">
        <f t="shared" si="834"/>
        <v>5.22</v>
      </c>
      <c r="AC940" s="1">
        <v>3</v>
      </c>
      <c r="AD940" s="15">
        <v>18.3</v>
      </c>
      <c r="AM940" s="1">
        <v>1</v>
      </c>
      <c r="AP940" s="15" t="s">
        <v>697</v>
      </c>
      <c r="AQ940" s="1">
        <v>1</v>
      </c>
      <c r="AR940" s="1">
        <v>3</v>
      </c>
      <c r="BP940" s="16"/>
      <c r="BQ940" s="16"/>
      <c r="BR940" s="16"/>
      <c r="BU940" s="16"/>
      <c r="CC940" s="15" t="s">
        <v>2110</v>
      </c>
      <c r="CE940" s="15">
        <v>30</v>
      </c>
      <c r="CF940" s="15">
        <f>CE940*2250</f>
        <v>67500</v>
      </c>
      <c r="CG940" s="15" t="s">
        <v>766</v>
      </c>
      <c r="CI940" s="15">
        <v>300</v>
      </c>
      <c r="CY940" s="25">
        <f t="shared" si="845"/>
        <v>67500</v>
      </c>
      <c r="CZ940" s="25">
        <f t="shared" si="846"/>
        <v>86.538461538461533</v>
      </c>
      <c r="DA940" s="25">
        <f t="shared" si="847"/>
        <v>202500</v>
      </c>
      <c r="EZ940" s="16"/>
      <c r="FA940" s="16"/>
      <c r="FB940" s="16"/>
      <c r="FC940" s="16"/>
      <c r="FD940" s="16"/>
      <c r="FE940" s="16"/>
      <c r="FF940" s="16"/>
      <c r="FG940" s="16"/>
      <c r="FH940" s="16"/>
      <c r="FI940" s="16"/>
      <c r="FJ940" s="16"/>
      <c r="FK940" s="16">
        <f t="shared" si="835"/>
        <v>4.67</v>
      </c>
      <c r="FL940" s="16">
        <f t="shared" si="836"/>
        <v>5.35</v>
      </c>
      <c r="FM940" s="16">
        <v>4.67</v>
      </c>
      <c r="FN940" s="15">
        <v>0.04</v>
      </c>
      <c r="FO940" s="15">
        <f>FN940*SQRT(AR940)</f>
        <v>6.9282032302755092E-2</v>
      </c>
      <c r="FP940" s="15">
        <v>5.35</v>
      </c>
      <c r="FQ940" s="15">
        <v>0.03</v>
      </c>
      <c r="FR940" s="15">
        <f>FQ940*SQRT(AR940)</f>
        <v>5.1961524227066312E-2</v>
      </c>
      <c r="FS940" s="15">
        <f t="shared" si="837"/>
        <v>1.145610278372591</v>
      </c>
      <c r="FT940" s="15">
        <f t="shared" si="838"/>
        <v>0.67999999999999972</v>
      </c>
      <c r="FU940" s="15">
        <f t="shared" si="839"/>
        <v>0.13593748922710924</v>
      </c>
      <c r="FV940" s="15">
        <f>((FR940*FR940)/(AR940*FP940*FP940)+(FO940*FO940)/(AR940*FM940*FM940))</f>
        <v>1.0480833805085794E-4</v>
      </c>
      <c r="HE940" s="15">
        <v>60.16</v>
      </c>
      <c r="HF940" s="15">
        <f t="shared" si="849"/>
        <v>3.008</v>
      </c>
      <c r="HG940" s="15">
        <f>HF940*SQRT(AR940)</f>
        <v>5.2100088291671822</v>
      </c>
      <c r="HH940" s="15">
        <v>87.27</v>
      </c>
      <c r="HI940" s="15">
        <v>4.5</v>
      </c>
      <c r="HJ940" s="15">
        <f>HI940*SQRT(AR940)</f>
        <v>7.7942286340599471</v>
      </c>
      <c r="HK940" s="15">
        <f t="shared" si="840"/>
        <v>1.4506316489361701</v>
      </c>
      <c r="HL940" s="15">
        <f t="shared" si="841"/>
        <v>27.11</v>
      </c>
      <c r="HM940" s="15">
        <f t="shared" si="842"/>
        <v>0.37199908153363559</v>
      </c>
      <c r="HN940" s="15">
        <f>((HJ940*HJ940)/(AR940*HH940*HH940)+(HG940*HG940)/(AR940*HE940*HE940))</f>
        <v>5.1588575822523498E-3</v>
      </c>
      <c r="HP940" s="15" t="s">
        <v>809</v>
      </c>
      <c r="HV940" s="15">
        <f t="shared" si="843"/>
        <v>5443.5618272269912</v>
      </c>
      <c r="HW940" s="15">
        <f t="shared" si="844"/>
        <v>0.37199908153363559</v>
      </c>
      <c r="HX940" s="25">
        <f>DA940</f>
        <v>202500</v>
      </c>
      <c r="HY940" s="25">
        <f>CY940</f>
        <v>67500</v>
      </c>
      <c r="HZ940" s="25">
        <f>CZ940</f>
        <v>86.538461538461533</v>
      </c>
      <c r="IA940" s="25">
        <f>DA940</f>
        <v>202500</v>
      </c>
    </row>
    <row r="941" spans="1:235" s="15" customFormat="1" x14ac:dyDescent="0.25">
      <c r="A941" s="31">
        <v>939</v>
      </c>
      <c r="B941" s="1">
        <v>154</v>
      </c>
      <c r="C941" s="1">
        <v>177</v>
      </c>
      <c r="D941" s="15" t="s">
        <v>2111</v>
      </c>
      <c r="E941" s="1">
        <v>1</v>
      </c>
      <c r="F941" s="15" t="s">
        <v>2114</v>
      </c>
      <c r="G941" s="15" t="s">
        <v>2117</v>
      </c>
      <c r="H941" s="15" t="s">
        <v>941</v>
      </c>
      <c r="I941" s="1">
        <v>2017</v>
      </c>
      <c r="J941" s="15" t="s">
        <v>942</v>
      </c>
      <c r="K941" s="1">
        <v>2016</v>
      </c>
      <c r="L941" s="15" t="s">
        <v>2116</v>
      </c>
      <c r="M941" s="15" t="s">
        <v>480</v>
      </c>
      <c r="N941" s="15" t="s">
        <v>23</v>
      </c>
      <c r="O941" s="31">
        <v>2</v>
      </c>
      <c r="P941" s="15">
        <v>24.68</v>
      </c>
      <c r="Q941" s="15">
        <v>113.6</v>
      </c>
      <c r="S941" s="15">
        <v>1665</v>
      </c>
      <c r="T941" s="15">
        <v>19.600000000000001</v>
      </c>
      <c r="U941" s="15" t="s">
        <v>549</v>
      </c>
      <c r="V941" s="31">
        <v>1</v>
      </c>
      <c r="W941" s="16" t="s">
        <v>1170</v>
      </c>
      <c r="X941" s="15" t="s">
        <v>689</v>
      </c>
      <c r="Y941" s="1">
        <v>1</v>
      </c>
      <c r="Z941" s="15">
        <v>5.54</v>
      </c>
      <c r="AA941" s="15" t="s">
        <v>574</v>
      </c>
      <c r="AB941" s="15">
        <f t="shared" si="834"/>
        <v>5.54</v>
      </c>
      <c r="AC941" s="1">
        <v>4</v>
      </c>
      <c r="AD941" s="15">
        <v>28.3</v>
      </c>
      <c r="AM941" s="1">
        <v>1</v>
      </c>
      <c r="AP941" s="15" t="s">
        <v>1185</v>
      </c>
      <c r="AQ941" s="1">
        <v>3</v>
      </c>
      <c r="AR941" s="1">
        <v>3</v>
      </c>
      <c r="AW941" s="15">
        <v>2000</v>
      </c>
      <c r="AX941" s="15">
        <f>AW941*1.35</f>
        <v>2700</v>
      </c>
      <c r="AY941" s="15" t="s">
        <v>766</v>
      </c>
      <c r="AZ941" s="15">
        <f>AX941</f>
        <v>2700</v>
      </c>
      <c r="BA941" s="15">
        <f>AZ941/2.93/1000</f>
        <v>0.92150170648464158</v>
      </c>
      <c r="BB941" s="15">
        <f>AZ941*0.6</f>
        <v>1620</v>
      </c>
      <c r="BP941" s="16"/>
      <c r="BQ941" s="16"/>
      <c r="BR941" s="16"/>
      <c r="BU941" s="16"/>
      <c r="EZ941" s="16"/>
      <c r="FA941" s="16"/>
      <c r="FB941" s="16"/>
      <c r="FC941" s="16"/>
      <c r="FD941" s="16"/>
      <c r="FE941" s="16"/>
      <c r="FF941" s="16"/>
      <c r="FG941" s="16"/>
      <c r="FH941" s="16"/>
      <c r="FI941" s="16"/>
      <c r="FJ941" s="16"/>
      <c r="FK941" s="16">
        <f t="shared" si="835"/>
        <v>5.53</v>
      </c>
      <c r="FL941" s="16">
        <f t="shared" si="836"/>
        <v>6.04</v>
      </c>
      <c r="FM941" s="16">
        <v>5.53</v>
      </c>
      <c r="FN941" s="15">
        <v>0.1</v>
      </c>
      <c r="FO941" s="15">
        <f>FN941*SQRT(AR941)</f>
        <v>0.17320508075688773</v>
      </c>
      <c r="FP941" s="15">
        <v>6.04</v>
      </c>
      <c r="FQ941" s="15">
        <v>0.15</v>
      </c>
      <c r="FR941" s="15">
        <f>FQ941*SQRT(AR941)</f>
        <v>0.25980762113533157</v>
      </c>
      <c r="FS941" s="15">
        <f t="shared" si="837"/>
        <v>1.0922242314647377</v>
      </c>
      <c r="FT941" s="15">
        <f t="shared" si="838"/>
        <v>0.50999999999999979</v>
      </c>
      <c r="FU941" s="15">
        <f t="shared" si="839"/>
        <v>8.821619641248013E-2</v>
      </c>
      <c r="FV941" s="15">
        <f>((FR941*FR941)/(AR941*FP941*FP941)+(FO941*FO941)/(AR941*FM941*FM941))</f>
        <v>9.4375075977992651E-4</v>
      </c>
      <c r="HE941" s="15">
        <v>7468</v>
      </c>
      <c r="HF941" s="15">
        <f t="shared" si="849"/>
        <v>373.40000000000003</v>
      </c>
      <c r="HG941" s="15">
        <f>HF941*SQRT(AR941)</f>
        <v>646.74777154621881</v>
      </c>
      <c r="HH941" s="15">
        <v>7571</v>
      </c>
      <c r="HI941" s="15">
        <f>HH941*0.05</f>
        <v>378.55</v>
      </c>
      <c r="HJ941" s="15">
        <f>HI941*SQRT(AR941)</f>
        <v>655.66783320519846</v>
      </c>
      <c r="HK941" s="15">
        <f t="shared" si="840"/>
        <v>1.0137921799678629</v>
      </c>
      <c r="HL941" s="15">
        <f t="shared" si="841"/>
        <v>103</v>
      </c>
      <c r="HM941" s="15">
        <f t="shared" si="842"/>
        <v>1.3697933441694232E-2</v>
      </c>
      <c r="HN941" s="15">
        <f>((HJ941*HJ941)/(AR941*HH941*HH941)+(HG941*HG941)/(AR941*HE941*HE941))</f>
        <v>5.0000000000000001E-3</v>
      </c>
      <c r="HP941" s="15" t="s">
        <v>766</v>
      </c>
      <c r="HV941" s="15">
        <f t="shared" si="843"/>
        <v>1182.6601486243096</v>
      </c>
      <c r="HW941" s="15">
        <f t="shared" si="844"/>
        <v>1.3697933441694232E-2</v>
      </c>
      <c r="HX941" s="15">
        <f>BB941</f>
        <v>1620</v>
      </c>
      <c r="HY941" s="15">
        <f>AZ941</f>
        <v>2700</v>
      </c>
      <c r="HZ941" s="15">
        <f>BA941</f>
        <v>0.92150170648464158</v>
      </c>
      <c r="IA941" s="15">
        <f>BB941</f>
        <v>1620</v>
      </c>
    </row>
    <row r="942" spans="1:235" s="15" customFormat="1" x14ac:dyDescent="0.25">
      <c r="A942" s="31">
        <v>940</v>
      </c>
      <c r="B942" s="1">
        <v>154</v>
      </c>
      <c r="C942" s="1">
        <v>177</v>
      </c>
      <c r="D942" s="15" t="s">
        <v>2112</v>
      </c>
      <c r="E942" s="1">
        <v>2</v>
      </c>
      <c r="F942" s="15" t="s">
        <v>943</v>
      </c>
      <c r="G942" s="15" t="s">
        <v>2117</v>
      </c>
      <c r="H942" s="15" t="s">
        <v>941</v>
      </c>
      <c r="I942" s="1">
        <v>2017</v>
      </c>
      <c r="J942" s="15" t="s">
        <v>942</v>
      </c>
      <c r="K942" s="1">
        <v>2016</v>
      </c>
      <c r="L942" s="15" t="s">
        <v>2116</v>
      </c>
      <c r="M942" s="15" t="s">
        <v>480</v>
      </c>
      <c r="N942" s="15" t="s">
        <v>23</v>
      </c>
      <c r="O942" s="31">
        <v>2</v>
      </c>
      <c r="P942" s="15">
        <v>24.68</v>
      </c>
      <c r="Q942" s="15">
        <v>113.6</v>
      </c>
      <c r="S942" s="15">
        <v>1665</v>
      </c>
      <c r="T942" s="15">
        <v>19.600000000000001</v>
      </c>
      <c r="U942" s="15" t="s">
        <v>549</v>
      </c>
      <c r="V942" s="31">
        <v>1</v>
      </c>
      <c r="W942" s="16" t="s">
        <v>1170</v>
      </c>
      <c r="X942" s="15" t="s">
        <v>689</v>
      </c>
      <c r="Y942" s="1">
        <v>1</v>
      </c>
      <c r="Z942" s="15">
        <v>5.54</v>
      </c>
      <c r="AA942" s="15" t="s">
        <v>574</v>
      </c>
      <c r="AB942" s="15">
        <f t="shared" si="834"/>
        <v>5.54</v>
      </c>
      <c r="AC942" s="1">
        <v>4</v>
      </c>
      <c r="AD942" s="15">
        <v>28.3</v>
      </c>
      <c r="AM942" s="1">
        <v>1</v>
      </c>
      <c r="AP942" s="15" t="s">
        <v>1185</v>
      </c>
      <c r="AQ942" s="1">
        <v>3</v>
      </c>
      <c r="AR942" s="1">
        <v>3</v>
      </c>
      <c r="BP942" s="16"/>
      <c r="BQ942" s="16"/>
      <c r="BR942" s="16"/>
      <c r="BU942" s="16"/>
      <c r="CC942" s="15" t="s">
        <v>947</v>
      </c>
      <c r="CE942" s="15">
        <v>20</v>
      </c>
      <c r="CF942" s="15">
        <f>CE942*1000</f>
        <v>20000</v>
      </c>
      <c r="CG942" s="15" t="s">
        <v>766</v>
      </c>
      <c r="CH942" s="15">
        <v>7.34</v>
      </c>
      <c r="CI942" s="15" t="s">
        <v>948</v>
      </c>
      <c r="CK942" s="15">
        <v>786</v>
      </c>
      <c r="CP942" s="15">
        <v>11.9</v>
      </c>
      <c r="CY942" s="25">
        <f>CF942</f>
        <v>20000</v>
      </c>
      <c r="CZ942" s="25">
        <f>CY942/0.78/1000</f>
        <v>25.641025641025642</v>
      </c>
      <c r="DA942" s="25">
        <f>CY942*3</f>
        <v>60000</v>
      </c>
      <c r="EZ942" s="16"/>
      <c r="FA942" s="16"/>
      <c r="FB942" s="16"/>
      <c r="FC942" s="16"/>
      <c r="FD942" s="16"/>
      <c r="FE942" s="16"/>
      <c r="FF942" s="16"/>
      <c r="FG942" s="16"/>
      <c r="FH942" s="16"/>
      <c r="FI942" s="16"/>
      <c r="FJ942" s="16"/>
      <c r="FK942" s="16">
        <f t="shared" si="835"/>
        <v>5.53</v>
      </c>
      <c r="FL942" s="16">
        <f t="shared" si="836"/>
        <v>5.62</v>
      </c>
      <c r="FM942" s="16">
        <v>5.53</v>
      </c>
      <c r="FN942" s="15">
        <v>0.1</v>
      </c>
      <c r="FO942" s="15">
        <f>FN942*SQRT(AR942)</f>
        <v>0.17320508075688773</v>
      </c>
      <c r="FP942" s="15">
        <v>5.62</v>
      </c>
      <c r="FQ942" s="15">
        <v>0.14000000000000001</v>
      </c>
      <c r="FR942" s="15">
        <f>FQ942*SQRT(AR942)</f>
        <v>0.24248711305964282</v>
      </c>
      <c r="FS942" s="15">
        <f t="shared" si="837"/>
        <v>1.0162748643761301</v>
      </c>
      <c r="FT942" s="15">
        <f t="shared" si="838"/>
        <v>8.9999999999999858E-2</v>
      </c>
      <c r="FU942" s="15">
        <f t="shared" si="839"/>
        <v>1.6143848371356295E-2</v>
      </c>
      <c r="FV942" s="15">
        <f>((FR942*FR942)/(AR942*FP942*FP942)+(FO942*FO942)/(AR942*FM942*FM942))</f>
        <v>9.4756101112027514E-4</v>
      </c>
      <c r="HE942" s="15">
        <v>7468</v>
      </c>
      <c r="HF942" s="15">
        <f t="shared" si="849"/>
        <v>373.40000000000003</v>
      </c>
      <c r="HG942" s="15">
        <f>HF942*SQRT(AR942)</f>
        <v>646.74777154621881</v>
      </c>
      <c r="HH942" s="15">
        <v>7746</v>
      </c>
      <c r="HI942" s="15">
        <f>HH942*0.05</f>
        <v>387.3</v>
      </c>
      <c r="HJ942" s="15">
        <f>HI942*SQRT(AR942)</f>
        <v>670.82327777142621</v>
      </c>
      <c r="HK942" s="15">
        <f t="shared" si="840"/>
        <v>1.0372254954472415</v>
      </c>
      <c r="HL942" s="15">
        <f t="shared" si="841"/>
        <v>278</v>
      </c>
      <c r="HM942" s="15">
        <f t="shared" si="842"/>
        <v>3.6549355413084683E-2</v>
      </c>
      <c r="HN942" s="15">
        <f>((HJ942*HJ942)/(AR942*HH942*HH942)+(HG942*HG942)/(AR942*HE942*HE942))</f>
        <v>5.000000000000001E-3</v>
      </c>
      <c r="HP942" s="15" t="s">
        <v>766</v>
      </c>
      <c r="HV942" s="15">
        <f t="shared" si="843"/>
        <v>16416.158184425869</v>
      </c>
      <c r="HW942" s="15">
        <f t="shared" si="844"/>
        <v>3.6549355413084683E-2</v>
      </c>
      <c r="HX942" s="25">
        <f>DA942</f>
        <v>60000</v>
      </c>
      <c r="HY942" s="25">
        <f>CY942</f>
        <v>20000</v>
      </c>
      <c r="HZ942" s="25">
        <f>CZ942</f>
        <v>25.641025641025642</v>
      </c>
      <c r="IA942" s="25">
        <f>DA942</f>
        <v>60000</v>
      </c>
    </row>
    <row r="943" spans="1:235" s="15" customFormat="1" x14ac:dyDescent="0.25">
      <c r="A943" s="31">
        <v>941</v>
      </c>
      <c r="B943" s="1">
        <v>154</v>
      </c>
      <c r="C943" s="1">
        <v>177</v>
      </c>
      <c r="D943" s="15" t="s">
        <v>2113</v>
      </c>
      <c r="E943" s="1">
        <v>6</v>
      </c>
      <c r="F943" s="15" t="s">
        <v>2115</v>
      </c>
      <c r="G943" s="15" t="s">
        <v>2117</v>
      </c>
      <c r="H943" s="15" t="s">
        <v>941</v>
      </c>
      <c r="I943" s="1">
        <v>2017</v>
      </c>
      <c r="J943" s="15" t="s">
        <v>942</v>
      </c>
      <c r="K943" s="1">
        <v>2016</v>
      </c>
      <c r="L943" s="15" t="s">
        <v>2116</v>
      </c>
      <c r="M943" s="15" t="s">
        <v>480</v>
      </c>
      <c r="N943" s="15" t="s">
        <v>23</v>
      </c>
      <c r="O943" s="31">
        <v>2</v>
      </c>
      <c r="P943" s="15">
        <v>24.68</v>
      </c>
      <c r="Q943" s="15">
        <v>113.6</v>
      </c>
      <c r="S943" s="15">
        <v>1665</v>
      </c>
      <c r="T943" s="15">
        <v>19.600000000000001</v>
      </c>
      <c r="U943" s="15" t="s">
        <v>549</v>
      </c>
      <c r="V943" s="31">
        <v>1</v>
      </c>
      <c r="W943" s="16" t="s">
        <v>1170</v>
      </c>
      <c r="X943" s="15" t="s">
        <v>689</v>
      </c>
      <c r="Y943" s="1">
        <v>1</v>
      </c>
      <c r="Z943" s="15">
        <v>5.54</v>
      </c>
      <c r="AA943" s="15" t="s">
        <v>574</v>
      </c>
      <c r="AB943" s="15">
        <f t="shared" si="834"/>
        <v>5.54</v>
      </c>
      <c r="AC943" s="1">
        <v>4</v>
      </c>
      <c r="AD943" s="15">
        <v>28.3</v>
      </c>
      <c r="AM943" s="1">
        <v>1</v>
      </c>
      <c r="AP943" s="15" t="s">
        <v>1185</v>
      </c>
      <c r="AQ943" s="1">
        <v>3</v>
      </c>
      <c r="AR943" s="1">
        <v>3</v>
      </c>
      <c r="AW943" s="15">
        <v>2000</v>
      </c>
      <c r="AX943" s="15">
        <f>AW943*1.35</f>
        <v>2700</v>
      </c>
      <c r="AY943" s="15" t="s">
        <v>766</v>
      </c>
      <c r="AZ943" s="15">
        <f t="shared" ref="AZ943:AZ955" si="850">AX943</f>
        <v>2700</v>
      </c>
      <c r="BA943" s="15">
        <f t="shared" ref="BA943:BA955" si="851">AZ943/2.93/1000</f>
        <v>0.92150170648464158</v>
      </c>
      <c r="BB943" s="15">
        <f t="shared" ref="BB943:BB955" si="852">AZ943*0.6</f>
        <v>1620</v>
      </c>
      <c r="BP943" s="16"/>
      <c r="BQ943" s="16"/>
      <c r="BR943" s="16"/>
      <c r="BU943" s="16"/>
      <c r="CC943" s="15" t="s">
        <v>947</v>
      </c>
      <c r="CE943" s="15">
        <v>20</v>
      </c>
      <c r="CF943" s="15">
        <f>CE943*1000</f>
        <v>20000</v>
      </c>
      <c r="CG943" s="15" t="s">
        <v>766</v>
      </c>
      <c r="CH943" s="15">
        <v>7.34</v>
      </c>
      <c r="CI943" s="15" t="s">
        <v>948</v>
      </c>
      <c r="CK943" s="15">
        <v>786</v>
      </c>
      <c r="CP943" s="15">
        <v>11.9</v>
      </c>
      <c r="CY943" s="25">
        <f>CF943</f>
        <v>20000</v>
      </c>
      <c r="CZ943" s="25">
        <f>CY943/0.78/1000</f>
        <v>25.641025641025642</v>
      </c>
      <c r="DA943" s="25">
        <f>CY943*3</f>
        <v>60000</v>
      </c>
      <c r="EW943" s="46">
        <f>AX943+BT943+CF943+DE943+DY943</f>
        <v>22700</v>
      </c>
      <c r="EX943" s="46">
        <f>BA943+BZ943+CZ943+DT943+ET943</f>
        <v>26.562527347510283</v>
      </c>
      <c r="EY943" s="46">
        <f>BB943+CA943+DA943+DU943+EU943</f>
        <v>61620</v>
      </c>
      <c r="EZ943" s="16"/>
      <c r="FA943" s="16"/>
      <c r="FB943" s="16"/>
      <c r="FC943" s="16"/>
      <c r="FD943" s="16"/>
      <c r="FE943" s="16"/>
      <c r="FF943" s="16"/>
      <c r="FG943" s="16"/>
      <c r="FH943" s="16"/>
      <c r="FI943" s="16"/>
      <c r="FJ943" s="16"/>
      <c r="FK943" s="16">
        <f t="shared" si="835"/>
        <v>5.53</v>
      </c>
      <c r="FL943" s="16">
        <f t="shared" si="836"/>
        <v>6.08</v>
      </c>
      <c r="FM943" s="16">
        <v>5.53</v>
      </c>
      <c r="FN943" s="15">
        <v>0.1</v>
      </c>
      <c r="FO943" s="15">
        <f>FN943*SQRT(AR943)</f>
        <v>0.17320508075688773</v>
      </c>
      <c r="FP943" s="15">
        <v>6.08</v>
      </c>
      <c r="FQ943" s="15">
        <v>0.15</v>
      </c>
      <c r="FR943" s="15">
        <f>FQ943*SQRT(AR943)</f>
        <v>0.25980762113533157</v>
      </c>
      <c r="FS943" s="15">
        <f t="shared" si="837"/>
        <v>1.0994575045207957</v>
      </c>
      <c r="FT943" s="15">
        <f t="shared" si="838"/>
        <v>0.54999999999999982</v>
      </c>
      <c r="FU943" s="15">
        <f t="shared" si="839"/>
        <v>9.4816880443832297E-2</v>
      </c>
      <c r="FV943" s="15">
        <f>((FR943*FR943)/(AR943*FP943*FP943)+(FO943*FO943)/(AR943*FM943*FM943))</f>
        <v>9.3566233234696774E-4</v>
      </c>
      <c r="HE943" s="15">
        <v>7468</v>
      </c>
      <c r="HF943" s="15">
        <f t="shared" si="849"/>
        <v>373.40000000000003</v>
      </c>
      <c r="HG943" s="15">
        <f>HF943*SQRT(AR943)</f>
        <v>646.74777154621881</v>
      </c>
      <c r="HH943" s="15">
        <v>7744</v>
      </c>
      <c r="HI943" s="15">
        <f>HH943*0.05</f>
        <v>387.20000000000005</v>
      </c>
      <c r="HJ943" s="15">
        <f>HI943*SQRT(AR943)</f>
        <v>670.65007269066928</v>
      </c>
      <c r="HK943" s="15">
        <f t="shared" si="840"/>
        <v>1.0369576861274772</v>
      </c>
      <c r="HL943" s="15">
        <f t="shared" si="841"/>
        <v>276</v>
      </c>
      <c r="HM943" s="15">
        <f t="shared" si="842"/>
        <v>3.6291124294800525E-2</v>
      </c>
      <c r="HN943" s="15">
        <f>((HJ943*HJ943)/(AR943*HH943*HH943)+(HG943*HG943)/(AR943*HE943*HE943))</f>
        <v>5.0000000000000001E-3</v>
      </c>
      <c r="HP943" s="15" t="s">
        <v>766</v>
      </c>
      <c r="HV943" s="15">
        <f t="shared" si="843"/>
        <v>16979.358230802558</v>
      </c>
      <c r="HW943" s="15">
        <f t="shared" si="844"/>
        <v>3.6291124294800525E-2</v>
      </c>
      <c r="HX943" s="15">
        <f>EY943</f>
        <v>61620</v>
      </c>
      <c r="HY943" s="15">
        <f>EW943</f>
        <v>22700</v>
      </c>
      <c r="HZ943" s="15">
        <f>EX943</f>
        <v>26.562527347510283</v>
      </c>
      <c r="IA943" s="15">
        <f>EY943</f>
        <v>61620</v>
      </c>
    </row>
    <row r="944" spans="1:235" s="15" customFormat="1" x14ac:dyDescent="0.25">
      <c r="A944" s="31">
        <v>942</v>
      </c>
      <c r="B944" s="1">
        <v>155</v>
      </c>
      <c r="C944" s="1">
        <v>178</v>
      </c>
      <c r="D944" s="15" t="s">
        <v>2118</v>
      </c>
      <c r="E944" s="1">
        <v>1</v>
      </c>
      <c r="F944" s="15" t="s">
        <v>2114</v>
      </c>
      <c r="G944" s="15" t="s">
        <v>2122</v>
      </c>
      <c r="H944" s="15" t="s">
        <v>812</v>
      </c>
      <c r="I944" s="1">
        <v>2021</v>
      </c>
      <c r="J944" s="15" t="s">
        <v>2124</v>
      </c>
      <c r="K944" s="1" t="s">
        <v>2024</v>
      </c>
      <c r="L944" s="15" t="s">
        <v>2123</v>
      </c>
      <c r="M944" s="15" t="s">
        <v>480</v>
      </c>
      <c r="N944" s="15" t="s">
        <v>23</v>
      </c>
      <c r="O944" s="31">
        <v>2</v>
      </c>
      <c r="P944" s="15">
        <v>24.34</v>
      </c>
      <c r="Q944" s="15">
        <v>117.31</v>
      </c>
      <c r="S944" s="15">
        <v>1660</v>
      </c>
      <c r="T944" s="15">
        <v>23.58</v>
      </c>
      <c r="U944" s="15" t="s">
        <v>549</v>
      </c>
      <c r="V944" s="31">
        <v>1</v>
      </c>
      <c r="W944" s="16" t="s">
        <v>1153</v>
      </c>
      <c r="X944" s="15" t="s">
        <v>2125</v>
      </c>
      <c r="Y944" s="1">
        <v>2</v>
      </c>
      <c r="Z944" s="15">
        <v>4.04</v>
      </c>
      <c r="AA944" s="15" t="s">
        <v>574</v>
      </c>
      <c r="AB944" s="15">
        <f t="shared" si="834"/>
        <v>4.04</v>
      </c>
      <c r="AC944" s="1">
        <v>1</v>
      </c>
      <c r="AD944" s="15">
        <v>16.7</v>
      </c>
      <c r="AF944" s="15">
        <v>8.41</v>
      </c>
      <c r="AH944" s="15">
        <v>27.71</v>
      </c>
      <c r="AM944" s="1">
        <v>3</v>
      </c>
      <c r="AN944" s="15">
        <v>1.1499999999999999</v>
      </c>
      <c r="AP944" s="15" t="s">
        <v>697</v>
      </c>
      <c r="AQ944" s="1">
        <v>1</v>
      </c>
      <c r="AR944" s="1">
        <v>4</v>
      </c>
      <c r="AT944" s="15" t="s">
        <v>576</v>
      </c>
      <c r="AW944" s="15">
        <v>4000</v>
      </c>
      <c r="AX944" s="15">
        <v>4000</v>
      </c>
      <c r="AY944" s="15" t="s">
        <v>766</v>
      </c>
      <c r="AZ944" s="15">
        <f t="shared" si="850"/>
        <v>4000</v>
      </c>
      <c r="BA944" s="15">
        <f t="shared" si="851"/>
        <v>1.3651877133105801</v>
      </c>
      <c r="BB944" s="15">
        <f t="shared" si="852"/>
        <v>2400</v>
      </c>
      <c r="BP944" s="16"/>
      <c r="BQ944" s="16"/>
      <c r="BR944" s="16"/>
      <c r="BU944" s="16"/>
      <c r="EZ944" s="15">
        <v>1.2</v>
      </c>
      <c r="FA944" s="15">
        <v>0.01</v>
      </c>
      <c r="FB944" s="15">
        <f>FA944*SQRT(AR944)</f>
        <v>0.02</v>
      </c>
      <c r="FC944" s="15">
        <v>1.19</v>
      </c>
      <c r="FD944" s="15">
        <v>0.01</v>
      </c>
      <c r="FE944" s="15">
        <f>FD944*SQRT(AR944)</f>
        <v>0.02</v>
      </c>
      <c r="FF944" s="15">
        <f>FC944/EZ944</f>
        <v>0.9916666666666667</v>
      </c>
      <c r="FG944" s="15">
        <f>FC944-EZ944</f>
        <v>-1.0000000000000009E-2</v>
      </c>
      <c r="FH944" s="15">
        <f>LN(FC944)-LN(EZ944)</f>
        <v>-8.3682496705166087E-3</v>
      </c>
      <c r="FI944" s="15">
        <f>((FE944*FE944)/(AR944*FC944*FC944)+(FB944*FB944)/(AR944*EZ944*EZ944))</f>
        <v>1.4006092633131684E-4</v>
      </c>
      <c r="FJ944" s="16"/>
      <c r="FK944" s="16">
        <f t="shared" si="835"/>
        <v>4.1500000000000004</v>
      </c>
      <c r="FL944" s="16">
        <f t="shared" si="836"/>
        <v>4.5</v>
      </c>
      <c r="FM944" s="16">
        <v>4.1500000000000004</v>
      </c>
      <c r="FN944" s="16">
        <v>0.04</v>
      </c>
      <c r="FO944" s="15">
        <f>FN944*SQRT(AR944)</f>
        <v>0.08</v>
      </c>
      <c r="FP944" s="15">
        <v>4.5</v>
      </c>
      <c r="FQ944" s="15">
        <v>0.13</v>
      </c>
      <c r="FR944" s="15">
        <f>FQ944*SQRT(AR944)</f>
        <v>0.26</v>
      </c>
      <c r="FS944" s="15">
        <f t="shared" si="837"/>
        <v>1.0843373493975903</v>
      </c>
      <c r="FT944" s="15">
        <f t="shared" si="838"/>
        <v>0.34999999999999964</v>
      </c>
      <c r="FU944" s="15">
        <f t="shared" si="839"/>
        <v>8.0969062533667202E-2</v>
      </c>
      <c r="FV944" s="15">
        <f>((FR944*FR944)/(AR944*FP944*FP944)+(FO944*FO944)/(AR944*FM944*FM944))</f>
        <v>9.2746962862606168E-4</v>
      </c>
      <c r="FX944" s="15">
        <v>16.7</v>
      </c>
      <c r="FY944" s="15">
        <v>1.8</v>
      </c>
      <c r="FZ944" s="15">
        <f>FY944*SQRT(AR944)</f>
        <v>3.6</v>
      </c>
      <c r="GA944" s="15">
        <v>16.920000000000002</v>
      </c>
      <c r="GB944" s="15">
        <v>0.94</v>
      </c>
      <c r="GC944" s="15">
        <f>GB944*SQRT(AR944)</f>
        <v>1.88</v>
      </c>
      <c r="GD944" s="15">
        <f t="shared" ref="GD944:GD950" si="853">GA944/FX944</f>
        <v>1.0131736526946109</v>
      </c>
      <c r="GE944" s="15">
        <f t="shared" ref="GE944:GE950" si="854">GA944-FX944</f>
        <v>0.22000000000000242</v>
      </c>
      <c r="GF944" s="15">
        <f t="shared" ref="GF944:GF950" si="855">LN(GA944)-LN(FX944)</f>
        <v>1.3087634755367894E-2</v>
      </c>
      <c r="GG944" s="15">
        <f>((GC944*GC944)/(AR944*GA944*GA944)+(FZ944*FZ944)/(AR944*FX944*FX944))</f>
        <v>1.4703903348769306E-2</v>
      </c>
      <c r="GI944" s="15">
        <v>8.11</v>
      </c>
      <c r="GJ944" s="15">
        <v>0.26</v>
      </c>
      <c r="GK944" s="15">
        <f>GJ944*SQRT(AR944)</f>
        <v>0.52</v>
      </c>
      <c r="GL944" s="15">
        <v>9.17</v>
      </c>
      <c r="GM944" s="15">
        <v>0.26</v>
      </c>
      <c r="GN944" s="15">
        <f>GM944*SQRT(AR944)</f>
        <v>0.52</v>
      </c>
      <c r="GO944" s="15">
        <f t="shared" ref="GO944:GO950" si="856">GL944/GI944</f>
        <v>1.1307028360049323</v>
      </c>
      <c r="GP944" s="15">
        <f t="shared" ref="GP944:GP950" si="857">GL944-GI944</f>
        <v>1.0600000000000005</v>
      </c>
      <c r="GQ944" s="15">
        <f t="shared" ref="GQ944:GQ950" si="858">LN(GL944)-LN(GI944)</f>
        <v>0.12283941814105193</v>
      </c>
      <c r="GR944" s="15">
        <f>((GN944*GN944)/(AR944*GL944*GL944)+(GK944*GK944)/(AR944*GI944*GI944))</f>
        <v>1.8317025180069279E-3</v>
      </c>
      <c r="GT944" s="15">
        <v>28.71</v>
      </c>
      <c r="GU944" s="15">
        <v>0.53</v>
      </c>
      <c r="GV944" s="15">
        <f>GU944*SQRT(AR944)</f>
        <v>1.06</v>
      </c>
      <c r="GW944" s="15">
        <v>46.71</v>
      </c>
      <c r="GX944" s="15">
        <f>GW944*0.01</f>
        <v>0.46710000000000002</v>
      </c>
      <c r="GY944" s="15">
        <f>GX944*SQRT(AR944)</f>
        <v>0.93420000000000003</v>
      </c>
      <c r="GZ944" s="15">
        <f t="shared" ref="GZ944:GZ950" si="859">GW944/GT944</f>
        <v>1.6269592476489028</v>
      </c>
      <c r="HA944" s="15">
        <f t="shared" ref="HA944:HA950" si="860">GW944-GT944</f>
        <v>18</v>
      </c>
      <c r="HB944" s="15">
        <f t="shared" ref="HB944:HB950" si="861">LN(GW944)-LN(GT944)</f>
        <v>0.48671278038104404</v>
      </c>
      <c r="HC944" s="15">
        <f>((GY944*GY944)/(AR944*GW944*GW944)+(GV944*GV944)/(AR944*GT944*GT944))</f>
        <v>4.4078883212310231E-4</v>
      </c>
      <c r="HE944" s="15">
        <v>42630</v>
      </c>
      <c r="HF944" s="15">
        <f>HE944*0.1</f>
        <v>4263</v>
      </c>
      <c r="HG944" s="15">
        <f>HF944*SQRT(AR944)</f>
        <v>8526</v>
      </c>
      <c r="HH944" s="15">
        <v>48730</v>
      </c>
      <c r="HI944" s="15">
        <f>HJ944/2</f>
        <v>2770</v>
      </c>
      <c r="HJ944" s="15">
        <v>5540</v>
      </c>
      <c r="HK944" s="15">
        <f t="shared" si="840"/>
        <v>1.1430917194463992</v>
      </c>
      <c r="HL944" s="15">
        <f t="shared" si="841"/>
        <v>6100</v>
      </c>
      <c r="HM944" s="15">
        <f t="shared" si="842"/>
        <v>0.13373662607829573</v>
      </c>
      <c r="HN944" s="15">
        <f>((HJ944*HJ944)/(AR944*HH944*HH944)+(HG944*HG944)/(AR944*HE944*HE944))</f>
        <v>1.3231221391916131E-2</v>
      </c>
      <c r="HP944" s="15" t="s">
        <v>766</v>
      </c>
      <c r="HV944" s="15">
        <f t="shared" si="843"/>
        <v>179.4571966093213</v>
      </c>
      <c r="HW944" s="15">
        <f t="shared" si="844"/>
        <v>0.13373662607829573</v>
      </c>
      <c r="HX944" s="15">
        <f>BB944</f>
        <v>2400</v>
      </c>
      <c r="HY944" s="15">
        <f>AZ944</f>
        <v>4000</v>
      </c>
      <c r="HZ944" s="15">
        <f>BA944</f>
        <v>1.3651877133105801</v>
      </c>
      <c r="IA944" s="15">
        <f>BB944</f>
        <v>2400</v>
      </c>
    </row>
    <row r="945" spans="1:235" s="15" customFormat="1" x14ac:dyDescent="0.25">
      <c r="A945" s="31">
        <v>943</v>
      </c>
      <c r="B945" s="1">
        <v>155</v>
      </c>
      <c r="C945" s="1">
        <v>178</v>
      </c>
      <c r="D945" s="15" t="s">
        <v>2119</v>
      </c>
      <c r="E945" s="1">
        <v>1</v>
      </c>
      <c r="F945" s="15" t="s">
        <v>2114</v>
      </c>
      <c r="G945" s="15" t="s">
        <v>2122</v>
      </c>
      <c r="H945" s="15" t="s">
        <v>812</v>
      </c>
      <c r="I945" s="1">
        <v>2021</v>
      </c>
      <c r="J945" s="15" t="s">
        <v>2124</v>
      </c>
      <c r="K945" s="1" t="s">
        <v>2024</v>
      </c>
      <c r="L945" s="15" t="s">
        <v>2123</v>
      </c>
      <c r="M945" s="15" t="s">
        <v>480</v>
      </c>
      <c r="N945" s="15" t="s">
        <v>23</v>
      </c>
      <c r="O945" s="31">
        <v>2</v>
      </c>
      <c r="P945" s="15">
        <v>24.34</v>
      </c>
      <c r="Q945" s="15">
        <v>117.31</v>
      </c>
      <c r="S945" s="15">
        <v>1660</v>
      </c>
      <c r="T945" s="15">
        <v>23.58</v>
      </c>
      <c r="U945" s="15" t="s">
        <v>549</v>
      </c>
      <c r="V945" s="31">
        <v>1</v>
      </c>
      <c r="W945" s="16" t="s">
        <v>1153</v>
      </c>
      <c r="X945" s="15" t="s">
        <v>2125</v>
      </c>
      <c r="Y945" s="1">
        <v>2</v>
      </c>
      <c r="Z945" s="15">
        <v>4.04</v>
      </c>
      <c r="AA945" s="15" t="s">
        <v>574</v>
      </c>
      <c r="AB945" s="15">
        <f t="shared" si="834"/>
        <v>4.04</v>
      </c>
      <c r="AC945" s="1">
        <v>1</v>
      </c>
      <c r="AD945" s="15">
        <v>16.7</v>
      </c>
      <c r="AF945" s="15">
        <v>8.41</v>
      </c>
      <c r="AH945" s="15">
        <v>27.71</v>
      </c>
      <c r="AM945" s="1">
        <v>3</v>
      </c>
      <c r="AN945" s="15">
        <v>1.1499999999999999</v>
      </c>
      <c r="AP945" s="15" t="s">
        <v>697</v>
      </c>
      <c r="AQ945" s="1">
        <v>1</v>
      </c>
      <c r="AR945" s="1">
        <v>4</v>
      </c>
      <c r="AT945" s="15" t="s">
        <v>576</v>
      </c>
      <c r="AW945" s="15">
        <v>4000</v>
      </c>
      <c r="AX945" s="15">
        <v>4000</v>
      </c>
      <c r="AY945" s="15" t="s">
        <v>766</v>
      </c>
      <c r="AZ945" s="15">
        <f t="shared" si="850"/>
        <v>4000</v>
      </c>
      <c r="BA945" s="15">
        <f t="shared" si="851"/>
        <v>1.3651877133105801</v>
      </c>
      <c r="BB945" s="15">
        <f t="shared" si="852"/>
        <v>2400</v>
      </c>
      <c r="BP945" s="16"/>
      <c r="BQ945" s="16"/>
      <c r="BR945" s="16"/>
      <c r="BU945" s="16"/>
      <c r="EZ945" s="16">
        <v>1.18</v>
      </c>
      <c r="FA945" s="15">
        <v>0.01</v>
      </c>
      <c r="FB945" s="15">
        <f>FA945*SQRT(AR945)</f>
        <v>0.02</v>
      </c>
      <c r="FC945" s="16">
        <v>1.2</v>
      </c>
      <c r="FD945" s="15">
        <v>0.01</v>
      </c>
      <c r="FE945" s="15">
        <f>FD945*SQRT(AR945)</f>
        <v>0.02</v>
      </c>
      <c r="FF945" s="15">
        <f>FC945/EZ945</f>
        <v>1.0169491525423728</v>
      </c>
      <c r="FG945" s="15">
        <f>FC945-EZ945</f>
        <v>2.0000000000000018E-2</v>
      </c>
      <c r="FH945" s="15">
        <f>LN(FC945)-LN(EZ945)</f>
        <v>1.6807118316381264E-2</v>
      </c>
      <c r="FI945" s="15">
        <f>((FE945*FE945)/(AR945*FC945*FC945)+(FB945*FB945)/(AR945*EZ945*EZ945))</f>
        <v>1.4126288742060073E-4</v>
      </c>
      <c r="FJ945" s="16"/>
      <c r="FK945" s="16">
        <f t="shared" si="835"/>
        <v>4.2699999999999996</v>
      </c>
      <c r="FL945" s="16">
        <f t="shared" si="836"/>
        <v>4.46</v>
      </c>
      <c r="FM945" s="15">
        <v>4.2699999999999996</v>
      </c>
      <c r="FN945" s="15">
        <v>0.11</v>
      </c>
      <c r="FO945" s="15">
        <f>FN945*SQRT(AR945)</f>
        <v>0.22</v>
      </c>
      <c r="FP945" s="15">
        <v>4.46</v>
      </c>
      <c r="FQ945" s="15">
        <v>0.15</v>
      </c>
      <c r="FR945" s="15">
        <f>FQ945*SQRT(AR945)</f>
        <v>0.3</v>
      </c>
      <c r="FS945" s="15">
        <f t="shared" si="837"/>
        <v>1.044496487119438</v>
      </c>
      <c r="FT945" s="15">
        <f t="shared" si="838"/>
        <v>0.19000000000000039</v>
      </c>
      <c r="FU945" s="15">
        <f t="shared" si="839"/>
        <v>4.3534938791439659E-2</v>
      </c>
      <c r="FV945" s="15">
        <f>((FR945*FR945)/(AR945*FP945*FP945)+(FO945*FO945)/(AR945*FM945*FM945))</f>
        <v>1.7947662445664822E-3</v>
      </c>
      <c r="FX945" s="15">
        <v>16.7</v>
      </c>
      <c r="FY945" s="15">
        <v>1.8</v>
      </c>
      <c r="FZ945" s="15">
        <f>FY945*SQRT(AR945)</f>
        <v>3.6</v>
      </c>
      <c r="GA945" s="15">
        <v>16.73</v>
      </c>
      <c r="GB945" s="15">
        <v>1.3</v>
      </c>
      <c r="GC945" s="15">
        <f>GB945*SQRT(AR945)</f>
        <v>2.6</v>
      </c>
      <c r="GD945" s="15">
        <f t="shared" si="853"/>
        <v>1.0017964071856289</v>
      </c>
      <c r="GE945" s="15">
        <f t="shared" si="854"/>
        <v>3.0000000000001137E-2</v>
      </c>
      <c r="GF945" s="15">
        <f t="shared" si="855"/>
        <v>1.7947955760231338E-3</v>
      </c>
      <c r="GG945" s="15">
        <f>((GC945*GC945)/(AR945*GA945*GA945)+(FZ945*FZ945)/(AR945*FX945*FX945))</f>
        <v>1.7655507425512081E-2</v>
      </c>
      <c r="GI945" s="15">
        <v>8.0500000000000007</v>
      </c>
      <c r="GJ945" s="15">
        <v>0.24</v>
      </c>
      <c r="GK945" s="15">
        <f>GJ945*SQRT(AR945)</f>
        <v>0.48</v>
      </c>
      <c r="GL945" s="15">
        <v>9.23</v>
      </c>
      <c r="GM945" s="15">
        <v>0.27</v>
      </c>
      <c r="GN945" s="15">
        <f>GM945*SQRT(AR945)</f>
        <v>0.54</v>
      </c>
      <c r="GO945" s="15">
        <f t="shared" si="856"/>
        <v>1.146583850931677</v>
      </c>
      <c r="GP945" s="15">
        <f t="shared" si="857"/>
        <v>1.1799999999999997</v>
      </c>
      <c r="GQ945" s="15">
        <f t="shared" si="858"/>
        <v>0.13678695708428856</v>
      </c>
      <c r="GR945" s="15">
        <f>((GN945*GN945)/(AR945*GL945*GL945)+(GK945*GK945)/(AR945*GI945*GI945))</f>
        <v>1.7445597082352787E-3</v>
      </c>
      <c r="GT945" s="15">
        <v>32.799999999999997</v>
      </c>
      <c r="GU945" s="15">
        <v>0.42</v>
      </c>
      <c r="GV945" s="15">
        <f>GU945*SQRT(AR945)</f>
        <v>0.84</v>
      </c>
      <c r="GW945" s="15">
        <v>47.3</v>
      </c>
      <c r="GX945" s="15">
        <v>0.66</v>
      </c>
      <c r="GY945" s="15">
        <f>GX945*SQRT(AR945)</f>
        <v>1.32</v>
      </c>
      <c r="GZ945" s="15">
        <f t="shared" si="859"/>
        <v>1.4420731707317074</v>
      </c>
      <c r="HA945" s="15">
        <f t="shared" si="860"/>
        <v>14.5</v>
      </c>
      <c r="HB945" s="15">
        <f t="shared" si="861"/>
        <v>0.36608178010778936</v>
      </c>
      <c r="HC945" s="15">
        <f>((GY945*GY945)/(AR945*GW945*GW945)+(GV945*GV945)/(AR945*GT945*GT945))</f>
        <v>3.5866473959427565E-4</v>
      </c>
      <c r="HE945" s="15">
        <v>46990</v>
      </c>
      <c r="HF945" s="15">
        <f>HE945*0.1</f>
        <v>4699</v>
      </c>
      <c r="HG945" s="15">
        <f>HF945*SQRT(AR945)</f>
        <v>9398</v>
      </c>
      <c r="HH945" s="15">
        <v>57190</v>
      </c>
      <c r="HI945" s="15">
        <f>HJ945/2</f>
        <v>4155</v>
      </c>
      <c r="HJ945" s="15">
        <v>8310</v>
      </c>
      <c r="HK945" s="15">
        <f t="shared" si="840"/>
        <v>1.2170674611619494</v>
      </c>
      <c r="HL945" s="15">
        <f t="shared" si="841"/>
        <v>10200</v>
      </c>
      <c r="HM945" s="15">
        <f t="shared" si="842"/>
        <v>0.19644424481250056</v>
      </c>
      <c r="HN945" s="15">
        <f>((HJ945*HJ945)/(AR945*HH945*HH945)+(HG945*HG945)/(AR945*HE945*HE945))</f>
        <v>1.5278394712367194E-2</v>
      </c>
      <c r="HP945" s="15" t="s">
        <v>766</v>
      </c>
      <c r="HV945" s="15">
        <f t="shared" si="843"/>
        <v>122.17206985578629</v>
      </c>
      <c r="HW945" s="15">
        <f t="shared" si="844"/>
        <v>0.19644424481250056</v>
      </c>
      <c r="HX945" s="15">
        <f>BB945</f>
        <v>2400</v>
      </c>
      <c r="HY945" s="15">
        <f>AZ945</f>
        <v>4000</v>
      </c>
      <c r="HZ945" s="15">
        <f>BA945</f>
        <v>1.3651877133105801</v>
      </c>
      <c r="IA945" s="15">
        <f>BB945</f>
        <v>2400</v>
      </c>
    </row>
    <row r="946" spans="1:235" s="15" customFormat="1" ht="13.2" customHeight="1" x14ac:dyDescent="0.25">
      <c r="A946" s="31">
        <v>944</v>
      </c>
      <c r="B946" s="1">
        <v>155</v>
      </c>
      <c r="C946" s="1">
        <v>178</v>
      </c>
      <c r="D946" s="15" t="s">
        <v>2120</v>
      </c>
      <c r="E946" s="1">
        <v>1</v>
      </c>
      <c r="F946" s="15" t="s">
        <v>2114</v>
      </c>
      <c r="G946" s="17" t="s">
        <v>2132</v>
      </c>
      <c r="H946" s="15" t="s">
        <v>812</v>
      </c>
      <c r="I946" s="1">
        <v>2021</v>
      </c>
      <c r="J946" s="15" t="s">
        <v>2124</v>
      </c>
      <c r="K946" s="1" t="s">
        <v>2024</v>
      </c>
      <c r="L946" s="15" t="s">
        <v>2123</v>
      </c>
      <c r="M946" s="15" t="s">
        <v>480</v>
      </c>
      <c r="N946" s="15" t="s">
        <v>23</v>
      </c>
      <c r="O946" s="31">
        <v>2</v>
      </c>
      <c r="P946" s="15">
        <v>24.34</v>
      </c>
      <c r="Q946" s="15">
        <v>117.31</v>
      </c>
      <c r="S946" s="15">
        <v>1660</v>
      </c>
      <c r="T946" s="15">
        <v>23.58</v>
      </c>
      <c r="U946" s="15" t="s">
        <v>549</v>
      </c>
      <c r="V946" s="31">
        <v>1</v>
      </c>
      <c r="W946" s="16" t="s">
        <v>1153</v>
      </c>
      <c r="X946" s="15" t="s">
        <v>2125</v>
      </c>
      <c r="Y946" s="1">
        <v>2</v>
      </c>
      <c r="Z946" s="15">
        <v>4.04</v>
      </c>
      <c r="AA946" s="15" t="s">
        <v>574</v>
      </c>
      <c r="AB946" s="15">
        <f t="shared" si="834"/>
        <v>4.04</v>
      </c>
      <c r="AC946" s="1">
        <v>1</v>
      </c>
      <c r="AD946" s="15">
        <v>16.7</v>
      </c>
      <c r="AF946" s="15">
        <v>8.41</v>
      </c>
      <c r="AH946" s="15">
        <v>27.71</v>
      </c>
      <c r="AM946" s="1">
        <v>3</v>
      </c>
      <c r="AN946" s="15">
        <v>1.1499999999999999</v>
      </c>
      <c r="AP946" s="15" t="s">
        <v>697</v>
      </c>
      <c r="AQ946" s="1">
        <v>1</v>
      </c>
      <c r="AR946" s="1">
        <v>4</v>
      </c>
      <c r="AT946" s="15" t="s">
        <v>576</v>
      </c>
      <c r="AW946" s="15">
        <v>4000</v>
      </c>
      <c r="AX946" s="15">
        <v>4000</v>
      </c>
      <c r="AY946" s="15" t="s">
        <v>766</v>
      </c>
      <c r="AZ946" s="15">
        <f t="shared" si="850"/>
        <v>4000</v>
      </c>
      <c r="BA946" s="15">
        <f t="shared" si="851"/>
        <v>1.3651877133105801</v>
      </c>
      <c r="BB946" s="15">
        <f t="shared" si="852"/>
        <v>2400</v>
      </c>
      <c r="BP946" s="16"/>
      <c r="BQ946" s="16"/>
      <c r="BR946" s="16"/>
      <c r="BU946" s="16"/>
      <c r="EZ946" s="16">
        <v>1.19</v>
      </c>
      <c r="FA946" s="15">
        <v>0.01</v>
      </c>
      <c r="FB946" s="15">
        <f>FA946*SQRT(AR946)</f>
        <v>0.02</v>
      </c>
      <c r="FC946" s="16">
        <v>1.18</v>
      </c>
      <c r="FD946" s="15">
        <v>0.01</v>
      </c>
      <c r="FE946" s="15">
        <f>FD946*SQRT(AR946)</f>
        <v>0.02</v>
      </c>
      <c r="FF946" s="15">
        <f>FC946/EZ946</f>
        <v>0.99159663865546221</v>
      </c>
      <c r="FG946" s="15">
        <f>FC946-EZ946</f>
        <v>-1.0000000000000009E-2</v>
      </c>
      <c r="FH946" s="15">
        <f>LN(FC946)-LN(EZ946)</f>
        <v>-8.4388686458646556E-3</v>
      </c>
      <c r="FI946" s="15">
        <f>((FE946*FE946)/(AR946*FC946*FC946)+(FB946*FB946)/(AR946*EZ946*EZ946))</f>
        <v>1.424349248630287E-4</v>
      </c>
      <c r="FJ946" s="16"/>
      <c r="FK946" s="16">
        <f t="shared" si="835"/>
        <v>4.05</v>
      </c>
      <c r="FL946" s="16">
        <f t="shared" si="836"/>
        <v>5.0999999999999996</v>
      </c>
      <c r="FM946" s="15">
        <v>4.05</v>
      </c>
      <c r="FN946" s="15">
        <v>0.04</v>
      </c>
      <c r="FO946" s="15">
        <f>FN946*SQRT(AR946)</f>
        <v>0.08</v>
      </c>
      <c r="FP946" s="15">
        <v>5.0999999999999996</v>
      </c>
      <c r="FQ946" s="15">
        <v>0.14000000000000001</v>
      </c>
      <c r="FR946" s="15">
        <f>FQ946*SQRT(AR946)</f>
        <v>0.28000000000000003</v>
      </c>
      <c r="FS946" s="15">
        <f t="shared" si="837"/>
        <v>1.2592592592592593</v>
      </c>
      <c r="FT946" s="15">
        <f t="shared" si="838"/>
        <v>1.0499999999999998</v>
      </c>
      <c r="FU946" s="15">
        <f t="shared" si="839"/>
        <v>0.23052365861183222</v>
      </c>
      <c r="FV946" s="15">
        <f>((FR946*FR946)/(AR946*FP946*FP946)+(FO946*FO946)/(AR946*FM946*FM946))</f>
        <v>8.5110243026713915E-4</v>
      </c>
      <c r="FX946" s="15">
        <v>16.7</v>
      </c>
      <c r="FY946" s="15">
        <v>1.8</v>
      </c>
      <c r="FZ946" s="15">
        <f>FY946*SQRT(AR946)</f>
        <v>3.6</v>
      </c>
      <c r="GA946" s="15">
        <v>17.100000000000001</v>
      </c>
      <c r="GB946" s="15">
        <v>1.2</v>
      </c>
      <c r="GC946" s="15">
        <f>GB946*SQRT(AR946)</f>
        <v>2.4</v>
      </c>
      <c r="GD946" s="15">
        <f t="shared" si="853"/>
        <v>1.0239520958083834</v>
      </c>
      <c r="GE946" s="15">
        <f t="shared" si="854"/>
        <v>0.40000000000000213</v>
      </c>
      <c r="GF946" s="15">
        <f t="shared" si="855"/>
        <v>2.3669744085904831E-2</v>
      </c>
      <c r="GG946" s="15">
        <f>((GC946*GC946)/(AR946*GA946*GA946)+(FZ946*FZ946)/(AR946*FX946*FX946))</f>
        <v>1.6542075777892795E-2</v>
      </c>
      <c r="GI946" s="15">
        <v>8.3800000000000008</v>
      </c>
      <c r="GJ946" s="15">
        <v>0.43</v>
      </c>
      <c r="GK946" s="15">
        <f>GJ946*SQRT(AR946)</f>
        <v>0.86</v>
      </c>
      <c r="GL946" s="15">
        <v>9.68</v>
      </c>
      <c r="GM946" s="15">
        <v>0.22</v>
      </c>
      <c r="GN946" s="15">
        <f>GM946*SQRT(AR946)</f>
        <v>0.44</v>
      </c>
      <c r="GO946" s="15">
        <f t="shared" si="856"/>
        <v>1.1551312649164676</v>
      </c>
      <c r="GP946" s="15">
        <f t="shared" si="857"/>
        <v>1.2999999999999989</v>
      </c>
      <c r="GQ946" s="15">
        <f t="shared" si="858"/>
        <v>0.14421398679449382</v>
      </c>
      <c r="GR946" s="15">
        <f>((GN946*GN946)/(AR946*GL946*GL946)+(GK946*GK946)/(AR946*GI946*GI946))</f>
        <v>3.1495168899171437E-3</v>
      </c>
      <c r="GT946" s="15">
        <v>30.5</v>
      </c>
      <c r="GU946" s="15">
        <v>0.69</v>
      </c>
      <c r="GV946" s="15">
        <f>GU946*SQRT(AR946)</f>
        <v>1.38</v>
      </c>
      <c r="GW946" s="15">
        <v>54.52</v>
      </c>
      <c r="GX946" s="15">
        <v>0.56999999999999995</v>
      </c>
      <c r="GY946" s="15">
        <f>GX946*SQRT(AR946)</f>
        <v>1.1399999999999999</v>
      </c>
      <c r="GZ946" s="15">
        <f t="shared" si="859"/>
        <v>1.7875409836065574</v>
      </c>
      <c r="HA946" s="15">
        <f t="shared" si="860"/>
        <v>24.020000000000003</v>
      </c>
      <c r="HB946" s="15">
        <f t="shared" si="861"/>
        <v>0.58084092321496605</v>
      </c>
      <c r="HC946" s="15">
        <f>((GY946*GY946)/(AR946*GW946*GW946)+(GV946*GV946)/(AR946*GT946*GT946))</f>
        <v>6.2110239751268922E-4</v>
      </c>
      <c r="HE946" s="15">
        <v>52010</v>
      </c>
      <c r="HF946" s="15">
        <v>4516</v>
      </c>
      <c r="HG946" s="15">
        <f>HF946*SQRT(AR946)</f>
        <v>9032</v>
      </c>
      <c r="HH946" s="15">
        <v>54920</v>
      </c>
      <c r="HI946" s="15">
        <f>HJ946/2</f>
        <v>2945</v>
      </c>
      <c r="HJ946" s="15">
        <v>5890</v>
      </c>
      <c r="HK946" s="15">
        <f t="shared" si="840"/>
        <v>1.0559507786964046</v>
      </c>
      <c r="HL946" s="15">
        <f t="shared" si="841"/>
        <v>2910</v>
      </c>
      <c r="HM946" s="15">
        <f t="shared" si="842"/>
        <v>5.4441573114790032E-2</v>
      </c>
      <c r="HN946" s="15">
        <f>((HJ946*HJ946)/(AR946*HH946*HH946)+(HG946*HG946)/(AR946*HE946*HE946))</f>
        <v>1.0414829043305703E-2</v>
      </c>
      <c r="HP946" s="15" t="s">
        <v>766</v>
      </c>
      <c r="HV946" s="15">
        <f t="shared" si="843"/>
        <v>440.83957584025012</v>
      </c>
      <c r="HW946" s="15">
        <f t="shared" si="844"/>
        <v>5.4441573114790032E-2</v>
      </c>
      <c r="HX946" s="15">
        <f>BB946</f>
        <v>2400</v>
      </c>
      <c r="HY946" s="15">
        <f>AZ946</f>
        <v>4000</v>
      </c>
      <c r="HZ946" s="15">
        <f>BA946</f>
        <v>1.3651877133105801</v>
      </c>
      <c r="IA946" s="15">
        <f>BB946</f>
        <v>2400</v>
      </c>
    </row>
    <row r="947" spans="1:235" s="15" customFormat="1" x14ac:dyDescent="0.25">
      <c r="A947" s="31">
        <v>945</v>
      </c>
      <c r="B947" s="1">
        <v>155</v>
      </c>
      <c r="C947" s="1">
        <v>178</v>
      </c>
      <c r="D947" s="15" t="s">
        <v>2121</v>
      </c>
      <c r="E947" s="1">
        <v>1</v>
      </c>
      <c r="F947" s="15" t="s">
        <v>2114</v>
      </c>
      <c r="G947" s="15" t="s">
        <v>2122</v>
      </c>
      <c r="H947" s="15" t="s">
        <v>812</v>
      </c>
      <c r="I947" s="1">
        <v>2021</v>
      </c>
      <c r="J947" s="15" t="s">
        <v>2124</v>
      </c>
      <c r="K947" s="1" t="s">
        <v>2024</v>
      </c>
      <c r="L947" s="15" t="s">
        <v>2123</v>
      </c>
      <c r="M947" s="15" t="s">
        <v>480</v>
      </c>
      <c r="N947" s="15" t="s">
        <v>23</v>
      </c>
      <c r="O947" s="31">
        <v>2</v>
      </c>
      <c r="P947" s="15">
        <v>24.34</v>
      </c>
      <c r="Q947" s="15">
        <v>117.31</v>
      </c>
      <c r="S947" s="15">
        <v>1660</v>
      </c>
      <c r="T947" s="15">
        <v>23.58</v>
      </c>
      <c r="U947" s="15" t="s">
        <v>549</v>
      </c>
      <c r="V947" s="31">
        <v>1</v>
      </c>
      <c r="W947" s="16" t="s">
        <v>1153</v>
      </c>
      <c r="X947" s="15" t="s">
        <v>2125</v>
      </c>
      <c r="Y947" s="1">
        <v>2</v>
      </c>
      <c r="Z947" s="15">
        <v>4.04</v>
      </c>
      <c r="AA947" s="15" t="s">
        <v>574</v>
      </c>
      <c r="AB947" s="15">
        <f t="shared" si="834"/>
        <v>4.04</v>
      </c>
      <c r="AC947" s="1">
        <v>1</v>
      </c>
      <c r="AD947" s="15">
        <v>16.7</v>
      </c>
      <c r="AF947" s="15">
        <v>8.41</v>
      </c>
      <c r="AH947" s="15">
        <v>27.71</v>
      </c>
      <c r="AM947" s="1">
        <v>3</v>
      </c>
      <c r="AN947" s="15">
        <v>1.1499999999999999</v>
      </c>
      <c r="AP947" s="15" t="s">
        <v>697</v>
      </c>
      <c r="AQ947" s="1">
        <v>1</v>
      </c>
      <c r="AR947" s="1">
        <v>4</v>
      </c>
      <c r="AT947" s="15" t="s">
        <v>576</v>
      </c>
      <c r="AW947" s="15">
        <v>4000</v>
      </c>
      <c r="AX947" s="15">
        <v>4000</v>
      </c>
      <c r="AY947" s="15" t="s">
        <v>766</v>
      </c>
      <c r="AZ947" s="15">
        <f t="shared" si="850"/>
        <v>4000</v>
      </c>
      <c r="BA947" s="15">
        <f t="shared" si="851"/>
        <v>1.3651877133105801</v>
      </c>
      <c r="BB947" s="15">
        <f t="shared" si="852"/>
        <v>2400</v>
      </c>
      <c r="BP947" s="16"/>
      <c r="BQ947" s="16"/>
      <c r="BR947" s="16"/>
      <c r="BU947" s="16"/>
      <c r="EZ947" s="16">
        <v>1.19</v>
      </c>
      <c r="FA947" s="15">
        <v>0.01</v>
      </c>
      <c r="FB947" s="15">
        <f>FA947*SQRT(AR947)</f>
        <v>0.02</v>
      </c>
      <c r="FC947" s="16">
        <v>1.2</v>
      </c>
      <c r="FD947" s="15">
        <v>0.01</v>
      </c>
      <c r="FE947" s="15">
        <f>FD947*SQRT(AR947)</f>
        <v>0.02</v>
      </c>
      <c r="FF947" s="15">
        <f>FC947/EZ947</f>
        <v>1.0084033613445378</v>
      </c>
      <c r="FG947" s="15">
        <f>FC947-EZ947</f>
        <v>1.0000000000000009E-2</v>
      </c>
      <c r="FH947" s="15">
        <f>LN(FC947)-LN(EZ947)</f>
        <v>8.3682496705166087E-3</v>
      </c>
      <c r="FI947" s="15">
        <f>((FE947*FE947)/(AR947*FC947*FC947)+(FB947*FB947)/(AR947*EZ947*EZ947))</f>
        <v>1.4006092633131684E-4</v>
      </c>
      <c r="FJ947" s="16"/>
      <c r="FK947" s="16">
        <f t="shared" si="835"/>
        <v>4.2</v>
      </c>
      <c r="FL947" s="16">
        <f t="shared" si="836"/>
        <v>5.14</v>
      </c>
      <c r="FM947" s="15">
        <v>4.2</v>
      </c>
      <c r="FN947" s="15">
        <v>0.09</v>
      </c>
      <c r="FO947" s="15">
        <f>FN947*SQRT(AR947)</f>
        <v>0.18</v>
      </c>
      <c r="FP947" s="15">
        <v>5.14</v>
      </c>
      <c r="FQ947" s="15">
        <v>0.13</v>
      </c>
      <c r="FR947" s="15">
        <f>FQ947*SQRT(AR947)</f>
        <v>0.26</v>
      </c>
      <c r="FS947" s="15">
        <f t="shared" si="837"/>
        <v>1.2238095238095237</v>
      </c>
      <c r="FT947" s="15">
        <f t="shared" si="838"/>
        <v>0.9399999999999995</v>
      </c>
      <c r="FU947" s="15">
        <f t="shared" si="839"/>
        <v>0.20196855417775095</v>
      </c>
      <c r="FV947" s="15">
        <f>((FR947*FR947)/(AR947*FP947*FP947)+(FO947*FO947)/(AR947*FM947*FM947))</f>
        <v>1.0988602772029797E-3</v>
      </c>
      <c r="FX947" s="15">
        <v>16.7</v>
      </c>
      <c r="FY947" s="15">
        <v>1.8</v>
      </c>
      <c r="FZ947" s="15">
        <f>FY947*SQRT(AR947)</f>
        <v>3.6</v>
      </c>
      <c r="GA947" s="15">
        <v>17.02</v>
      </c>
      <c r="GB947" s="15">
        <v>1.5</v>
      </c>
      <c r="GC947" s="15">
        <f>GB947*SQRT(AR947)</f>
        <v>3</v>
      </c>
      <c r="GD947" s="15">
        <f t="shared" si="853"/>
        <v>1.0191616766467066</v>
      </c>
      <c r="GE947" s="15">
        <f t="shared" si="854"/>
        <v>0.32000000000000028</v>
      </c>
      <c r="GF947" s="15">
        <f t="shared" si="855"/>
        <v>1.8980403722518524E-2</v>
      </c>
      <c r="GG947" s="15">
        <f>((GC947*GC947)/(AR947*GA947*GA947)+(FZ947*FZ947)/(AR947*FX947*FX947))</f>
        <v>1.9384664254091258E-2</v>
      </c>
      <c r="GI947" s="15">
        <v>8.2899999999999991</v>
      </c>
      <c r="GJ947" s="15">
        <v>0.39</v>
      </c>
      <c r="GK947" s="15">
        <f>GJ947*SQRT(AR947)</f>
        <v>0.78</v>
      </c>
      <c r="GL947" s="15">
        <v>9.52</v>
      </c>
      <c r="GM947" s="15">
        <v>0.24</v>
      </c>
      <c r="GN947" s="15">
        <f>GM947*SQRT(AR947)</f>
        <v>0.48</v>
      </c>
      <c r="GO947" s="15">
        <f t="shared" si="856"/>
        <v>1.1483715319662244</v>
      </c>
      <c r="GP947" s="15">
        <f t="shared" si="857"/>
        <v>1.2300000000000004</v>
      </c>
      <c r="GQ947" s="15">
        <f t="shared" si="858"/>
        <v>0.13834487965607067</v>
      </c>
      <c r="GR947" s="15">
        <f>((GN947*GN947)/(AR947*GL947*GL947)+(GK947*GK947)/(AR947*GI947*GI947))</f>
        <v>2.8487457451690816E-3</v>
      </c>
      <c r="GT947" s="15">
        <v>36.619999999999997</v>
      </c>
      <c r="GU947" s="15">
        <v>0.63</v>
      </c>
      <c r="GV947" s="15">
        <f>GU947*SQRT(AR947)</f>
        <v>1.26</v>
      </c>
      <c r="GW947" s="15">
        <v>62.23</v>
      </c>
      <c r="GX947" s="15">
        <v>0.71</v>
      </c>
      <c r="GY947" s="15">
        <f>GX947*SQRT(AR947)</f>
        <v>1.42</v>
      </c>
      <c r="GZ947" s="15">
        <f t="shared" si="859"/>
        <v>1.6993446204259968</v>
      </c>
      <c r="HA947" s="15">
        <f t="shared" si="860"/>
        <v>25.61</v>
      </c>
      <c r="HB947" s="15">
        <f t="shared" si="861"/>
        <v>0.53024265933476178</v>
      </c>
      <c r="HC947" s="15">
        <f>((GY947*GY947)/(AR947*GW947*GW947)+(GV947*GV947)/(AR947*GT947*GT947))</f>
        <v>4.2613962462979089E-4</v>
      </c>
      <c r="HE947" s="15">
        <v>54090</v>
      </c>
      <c r="HF947" s="15">
        <v>3516</v>
      </c>
      <c r="HG947" s="15">
        <f>HF947*SQRT(AR947)</f>
        <v>7032</v>
      </c>
      <c r="HH947" s="15">
        <v>59680</v>
      </c>
      <c r="HI947" s="15">
        <f>HJ947/2</f>
        <v>1965</v>
      </c>
      <c r="HJ947" s="15">
        <v>3930</v>
      </c>
      <c r="HK947" s="15">
        <f t="shared" si="840"/>
        <v>1.1033462747273064</v>
      </c>
      <c r="HL947" s="15">
        <f t="shared" si="841"/>
        <v>5590</v>
      </c>
      <c r="HM947" s="15">
        <f t="shared" si="842"/>
        <v>9.8347630012169063E-2</v>
      </c>
      <c r="HN947" s="15">
        <f>((HJ947*HJ947)/(AR947*HH947*HH947)+(HG947*HG947)/(AR947*HE947*HE947))</f>
        <v>5.3094558651648072E-3</v>
      </c>
      <c r="HP947" s="15" t="s">
        <v>766</v>
      </c>
      <c r="HV947" s="15">
        <f t="shared" si="843"/>
        <v>244.032316762797</v>
      </c>
      <c r="HW947" s="15">
        <f t="shared" si="844"/>
        <v>9.8347630012169063E-2</v>
      </c>
      <c r="HX947" s="15">
        <f>BB947</f>
        <v>2400</v>
      </c>
      <c r="HY947" s="15">
        <f>AZ947</f>
        <v>4000</v>
      </c>
      <c r="HZ947" s="15">
        <f>BA947</f>
        <v>1.3651877133105801</v>
      </c>
      <c r="IA947" s="15">
        <f>BB947</f>
        <v>2400</v>
      </c>
    </row>
    <row r="948" spans="1:235" s="15" customFormat="1" x14ac:dyDescent="0.25">
      <c r="A948" s="31">
        <v>946</v>
      </c>
      <c r="B948" s="1">
        <v>156</v>
      </c>
      <c r="C948" s="1">
        <v>179</v>
      </c>
      <c r="D948" s="15" t="s">
        <v>2127</v>
      </c>
      <c r="E948" s="1">
        <v>1</v>
      </c>
      <c r="F948" s="15" t="s">
        <v>2114</v>
      </c>
      <c r="G948" s="15" t="s">
        <v>2126</v>
      </c>
      <c r="H948" s="15" t="s">
        <v>812</v>
      </c>
      <c r="I948" s="1">
        <v>2021</v>
      </c>
      <c r="J948" s="15" t="s">
        <v>2131</v>
      </c>
      <c r="K948" s="1">
        <v>2019</v>
      </c>
      <c r="L948" s="15" t="s">
        <v>2123</v>
      </c>
      <c r="M948" s="15" t="s">
        <v>480</v>
      </c>
      <c r="N948" s="15" t="s">
        <v>23</v>
      </c>
      <c r="O948" s="31">
        <v>2</v>
      </c>
      <c r="P948" s="15">
        <v>26.09</v>
      </c>
      <c r="Q948" s="15">
        <v>119.25</v>
      </c>
      <c r="S948" s="15">
        <v>1558</v>
      </c>
      <c r="T948" s="15">
        <v>22</v>
      </c>
      <c r="U948" s="15" t="s">
        <v>807</v>
      </c>
      <c r="V948" s="31">
        <v>2</v>
      </c>
      <c r="W948" s="16" t="s">
        <v>1169</v>
      </c>
      <c r="X948" s="15" t="s">
        <v>532</v>
      </c>
      <c r="Y948" s="1"/>
      <c r="Z948" s="15">
        <v>4.5</v>
      </c>
      <c r="AA948" s="15" t="s">
        <v>574</v>
      </c>
      <c r="AB948" s="15">
        <f t="shared" si="834"/>
        <v>4.5</v>
      </c>
      <c r="AC948" s="1">
        <v>1</v>
      </c>
      <c r="AD948" s="15">
        <v>13.78</v>
      </c>
      <c r="AF948" s="15">
        <v>5.79</v>
      </c>
      <c r="AH948" s="15">
        <v>29.35</v>
      </c>
      <c r="AM948" s="1">
        <v>3</v>
      </c>
      <c r="AN948" s="15">
        <v>1.1299999999999999</v>
      </c>
      <c r="AP948" s="15" t="s">
        <v>697</v>
      </c>
      <c r="AQ948" s="1">
        <v>1</v>
      </c>
      <c r="AR948" s="1">
        <v>4</v>
      </c>
      <c r="AT948" s="15" t="s">
        <v>576</v>
      </c>
      <c r="AW948" s="15">
        <v>2000</v>
      </c>
      <c r="AX948" s="15">
        <v>2000</v>
      </c>
      <c r="AY948" s="15" t="s">
        <v>766</v>
      </c>
      <c r="AZ948" s="15">
        <f t="shared" si="850"/>
        <v>2000</v>
      </c>
      <c r="BA948" s="15">
        <f t="shared" si="851"/>
        <v>0.68259385665529004</v>
      </c>
      <c r="BB948" s="15">
        <f t="shared" si="852"/>
        <v>1200</v>
      </c>
      <c r="BP948" s="16"/>
      <c r="BQ948" s="16"/>
      <c r="BR948" s="16"/>
      <c r="BU948" s="16"/>
      <c r="EZ948" s="16"/>
      <c r="FA948" s="16"/>
      <c r="FB948" s="16"/>
      <c r="FC948" s="16"/>
      <c r="FD948" s="16"/>
      <c r="FE948" s="16"/>
      <c r="FF948" s="16"/>
      <c r="FG948" s="16"/>
      <c r="FH948" s="16"/>
      <c r="FI948" s="16"/>
      <c r="FJ948" s="16"/>
      <c r="FK948" s="16">
        <f t="shared" si="835"/>
        <v>4.51</v>
      </c>
      <c r="FL948" s="16">
        <f t="shared" si="836"/>
        <v>5.43</v>
      </c>
      <c r="FM948" s="16">
        <v>4.51</v>
      </c>
      <c r="FN948" s="16">
        <f>FM948*0.01</f>
        <v>4.5100000000000001E-2</v>
      </c>
      <c r="FO948" s="15">
        <f>FN948*SQRT(AR948)</f>
        <v>9.0200000000000002E-2</v>
      </c>
      <c r="FP948" s="15">
        <v>5.43</v>
      </c>
      <c r="FQ948" s="15">
        <f>FP948*0.01</f>
        <v>5.4300000000000001E-2</v>
      </c>
      <c r="FR948" s="15">
        <f>FQ948*SQRT(AR948)</f>
        <v>0.1086</v>
      </c>
      <c r="FS948" s="15">
        <f t="shared" si="837"/>
        <v>1.2039911308203992</v>
      </c>
      <c r="FT948" s="15">
        <f t="shared" si="838"/>
        <v>0.91999999999999993</v>
      </c>
      <c r="FU948" s="15">
        <f t="shared" si="839"/>
        <v>0.18564198043125701</v>
      </c>
      <c r="FV948" s="15">
        <f>((FR948*FR948)/(AR948*FP948*FP948)+(FO948*FO948)/(AR948*FM948*FM948))</f>
        <v>2.0000000000000004E-4</v>
      </c>
      <c r="FX948" s="15">
        <v>13.78</v>
      </c>
      <c r="FY948" s="15">
        <f>FX948*0.01</f>
        <v>0.13780000000000001</v>
      </c>
      <c r="FZ948" s="15">
        <f>FY948*SQRT(AR948)</f>
        <v>0.27560000000000001</v>
      </c>
      <c r="GA948" s="15">
        <v>13.93</v>
      </c>
      <c r="GB948" s="15">
        <f>GA948*0.01</f>
        <v>0.13930000000000001</v>
      </c>
      <c r="GC948" s="15">
        <f>GB948*SQRT(AR948)</f>
        <v>0.27860000000000001</v>
      </c>
      <c r="GD948" s="15">
        <f t="shared" si="853"/>
        <v>1.0108853410740204</v>
      </c>
      <c r="GE948" s="15">
        <f t="shared" si="854"/>
        <v>0.15000000000000036</v>
      </c>
      <c r="GF948" s="15">
        <f t="shared" si="855"/>
        <v>1.0826522206202061E-2</v>
      </c>
      <c r="GG948" s="15">
        <f>((GC948*GC948)/(AR948*GA948*GA948)+(FZ948*FZ948)/(AR948*FX948*FX948))</f>
        <v>2.0000000000000004E-4</v>
      </c>
      <c r="GI948" s="15">
        <v>5.8</v>
      </c>
      <c r="GJ948" s="15">
        <f>GI948*0.01</f>
        <v>5.7999999999999996E-2</v>
      </c>
      <c r="GK948" s="15">
        <f>GJ948*SQRT(AR948)</f>
        <v>0.11599999999999999</v>
      </c>
      <c r="GL948" s="15">
        <v>4.75</v>
      </c>
      <c r="GM948" s="15">
        <f>GL948*0.01</f>
        <v>4.7500000000000001E-2</v>
      </c>
      <c r="GN948" s="15">
        <f>GM948*SQRT(AR948)</f>
        <v>9.5000000000000001E-2</v>
      </c>
      <c r="GO948" s="15">
        <f t="shared" si="856"/>
        <v>0.81896551724137934</v>
      </c>
      <c r="GP948" s="15">
        <f t="shared" si="857"/>
        <v>-1.0499999999999998</v>
      </c>
      <c r="GQ948" s="15">
        <f t="shared" si="858"/>
        <v>-0.19971329950582373</v>
      </c>
      <c r="GR948" s="15">
        <f>((GN948*GN948)/(AR948*GL948*GL948)+(GK948*GK948)/(AR948*GI948*GI948))</f>
        <v>1.9999999999999998E-4</v>
      </c>
      <c r="GT948" s="15">
        <v>27.59</v>
      </c>
      <c r="GU948" s="15">
        <f>GT948*0.01</f>
        <v>0.27589999999999998</v>
      </c>
      <c r="GV948" s="15">
        <f>GU948*SQRT(AR948)</f>
        <v>0.55179999999999996</v>
      </c>
      <c r="GW948" s="15">
        <v>34.99</v>
      </c>
      <c r="GX948" s="15">
        <f>GW948*0.01</f>
        <v>0.34990000000000004</v>
      </c>
      <c r="GY948" s="15">
        <f>GX948*SQRT(AR948)</f>
        <v>0.69980000000000009</v>
      </c>
      <c r="GZ948" s="15">
        <f t="shared" si="859"/>
        <v>1.2682131206959044</v>
      </c>
      <c r="HA948" s="15">
        <f t="shared" si="860"/>
        <v>7.4000000000000021</v>
      </c>
      <c r="HB948" s="15">
        <f t="shared" si="861"/>
        <v>0.23760891815040219</v>
      </c>
      <c r="HC948" s="15">
        <f>((GY948*GY948)/(AR948*GW948*GW948)+(GV948*GV948)/(AR948*GT948*GT948))</f>
        <v>2.0000000000000001E-4</v>
      </c>
      <c r="HY948" s="15">
        <f>AZ948</f>
        <v>2000</v>
      </c>
      <c r="HZ948" s="15">
        <f>BA948</f>
        <v>0.68259385665529004</v>
      </c>
      <c r="IA948" s="15">
        <f>BB948</f>
        <v>1200</v>
      </c>
    </row>
    <row r="949" spans="1:235" s="15" customFormat="1" x14ac:dyDescent="0.25">
      <c r="A949" s="31">
        <v>947</v>
      </c>
      <c r="B949" s="1">
        <v>156</v>
      </c>
      <c r="C949" s="1">
        <v>179</v>
      </c>
      <c r="D949" s="15" t="s">
        <v>2128</v>
      </c>
      <c r="E949" s="1">
        <v>1</v>
      </c>
      <c r="F949" s="15" t="s">
        <v>2114</v>
      </c>
      <c r="G949" s="15" t="s">
        <v>2126</v>
      </c>
      <c r="H949" s="15" t="s">
        <v>812</v>
      </c>
      <c r="I949" s="1">
        <v>2021</v>
      </c>
      <c r="J949" s="15" t="s">
        <v>2131</v>
      </c>
      <c r="K949" s="1">
        <v>2019</v>
      </c>
      <c r="L949" s="15" t="s">
        <v>2123</v>
      </c>
      <c r="M949" s="15" t="s">
        <v>480</v>
      </c>
      <c r="N949" s="15" t="s">
        <v>23</v>
      </c>
      <c r="O949" s="31">
        <v>2</v>
      </c>
      <c r="P949" s="15">
        <v>26.09</v>
      </c>
      <c r="Q949" s="15">
        <v>119.25</v>
      </c>
      <c r="S949" s="15">
        <v>1558</v>
      </c>
      <c r="T949" s="15">
        <v>22</v>
      </c>
      <c r="U949" s="15" t="s">
        <v>807</v>
      </c>
      <c r="V949" s="31">
        <v>2</v>
      </c>
      <c r="W949" s="16" t="s">
        <v>1169</v>
      </c>
      <c r="X949" s="15" t="s">
        <v>532</v>
      </c>
      <c r="Y949" s="1"/>
      <c r="Z949" s="15">
        <v>4.5</v>
      </c>
      <c r="AA949" s="15" t="s">
        <v>574</v>
      </c>
      <c r="AB949" s="15">
        <f t="shared" si="834"/>
        <v>4.5</v>
      </c>
      <c r="AC949" s="1">
        <v>1</v>
      </c>
      <c r="AD949" s="15">
        <v>13.78</v>
      </c>
      <c r="AF949" s="15">
        <v>5.79</v>
      </c>
      <c r="AH949" s="15">
        <v>29.35</v>
      </c>
      <c r="AM949" s="1">
        <v>3</v>
      </c>
      <c r="AN949" s="15">
        <v>1.1299999999999999</v>
      </c>
      <c r="AP949" s="15" t="s">
        <v>697</v>
      </c>
      <c r="AQ949" s="1">
        <v>1</v>
      </c>
      <c r="AR949" s="1">
        <v>4</v>
      </c>
      <c r="AT949" s="15" t="s">
        <v>576</v>
      </c>
      <c r="AW949" s="15">
        <v>4000</v>
      </c>
      <c r="AX949" s="15">
        <v>4000</v>
      </c>
      <c r="AY949" s="15" t="s">
        <v>766</v>
      </c>
      <c r="AZ949" s="15">
        <f t="shared" si="850"/>
        <v>4000</v>
      </c>
      <c r="BA949" s="15">
        <f t="shared" si="851"/>
        <v>1.3651877133105801</v>
      </c>
      <c r="BB949" s="15">
        <f t="shared" si="852"/>
        <v>2400</v>
      </c>
      <c r="BP949" s="16"/>
      <c r="BQ949" s="16"/>
      <c r="BR949" s="16"/>
      <c r="BU949" s="16"/>
      <c r="EZ949" s="16"/>
      <c r="FA949" s="16"/>
      <c r="FB949" s="16"/>
      <c r="FC949" s="16"/>
      <c r="FD949" s="16"/>
      <c r="FE949" s="16"/>
      <c r="FF949" s="16"/>
      <c r="FG949" s="16"/>
      <c r="FH949" s="16"/>
      <c r="FI949" s="16"/>
      <c r="FJ949" s="16"/>
      <c r="FK949" s="16">
        <f t="shared" si="835"/>
        <v>4.51</v>
      </c>
      <c r="FL949" s="16">
        <f t="shared" si="836"/>
        <v>6.32</v>
      </c>
      <c r="FM949" s="16">
        <v>4.51</v>
      </c>
      <c r="FN949" s="16">
        <f>FM949*0.01</f>
        <v>4.5100000000000001E-2</v>
      </c>
      <c r="FO949" s="15">
        <f>FN949*SQRT(AR949)</f>
        <v>9.0200000000000002E-2</v>
      </c>
      <c r="FP949" s="15">
        <v>6.32</v>
      </c>
      <c r="FQ949" s="15">
        <f>FP949*0.01</f>
        <v>6.3200000000000006E-2</v>
      </c>
      <c r="FR949" s="15">
        <f>FQ949*SQRT(AR949)</f>
        <v>0.12640000000000001</v>
      </c>
      <c r="FS949" s="15">
        <f t="shared" si="837"/>
        <v>1.4013303769401331</v>
      </c>
      <c r="FT949" s="15">
        <f t="shared" si="838"/>
        <v>1.8100000000000005</v>
      </c>
      <c r="FU949" s="15">
        <f t="shared" si="839"/>
        <v>0.33742205464417907</v>
      </c>
      <c r="FV949" s="15">
        <f>((FR949*FR949)/(AR949*FP949*FP949)+(FO949*FO949)/(AR949*FM949*FM949))</f>
        <v>1.9999999999999998E-4</v>
      </c>
      <c r="FX949" s="15">
        <v>13.78</v>
      </c>
      <c r="FY949" s="15">
        <f>FX949*0.01</f>
        <v>0.13780000000000001</v>
      </c>
      <c r="FZ949" s="15">
        <f>FY949*SQRT(AR949)</f>
        <v>0.27560000000000001</v>
      </c>
      <c r="GA949" s="15">
        <v>13.67</v>
      </c>
      <c r="GB949" s="15">
        <f>GA949*0.01</f>
        <v>0.13670000000000002</v>
      </c>
      <c r="GC949" s="15">
        <f>GB949*SQRT(AR949)</f>
        <v>0.27340000000000003</v>
      </c>
      <c r="GD949" s="15">
        <f t="shared" si="853"/>
        <v>0.99201741654571851</v>
      </c>
      <c r="GE949" s="15">
        <f t="shared" si="854"/>
        <v>-0.10999999999999943</v>
      </c>
      <c r="GF949" s="15">
        <f t="shared" si="855"/>
        <v>-8.0146148496540448E-3</v>
      </c>
      <c r="GG949" s="15">
        <f>((GC949*GC949)/(AR949*GA949*GA949)+(FZ949*FZ949)/(AR949*FX949*FX949))</f>
        <v>2.0000000000000004E-4</v>
      </c>
      <c r="GI949" s="15">
        <v>5.8</v>
      </c>
      <c r="GJ949" s="15">
        <f>GI949*0.01</f>
        <v>5.7999999999999996E-2</v>
      </c>
      <c r="GK949" s="15">
        <f>GJ949*SQRT(AR949)</f>
        <v>0.11599999999999999</v>
      </c>
      <c r="GL949" s="15">
        <v>6.48</v>
      </c>
      <c r="GM949" s="15">
        <f>GL949*0.01</f>
        <v>6.480000000000001E-2</v>
      </c>
      <c r="GN949" s="15">
        <f>GM949*SQRT(AR949)</f>
        <v>0.12960000000000002</v>
      </c>
      <c r="GO949" s="15">
        <f t="shared" si="856"/>
        <v>1.1172413793103448</v>
      </c>
      <c r="GP949" s="15">
        <f t="shared" si="857"/>
        <v>0.6800000000000006</v>
      </c>
      <c r="GQ949" s="15">
        <f t="shared" si="858"/>
        <v>0.11086259281180966</v>
      </c>
      <c r="GR949" s="15">
        <f>((GN949*GN949)/(AR949*GL949*GL949)+(GK949*GK949)/(AR949*GI949*GI949))</f>
        <v>1.9999999999999998E-4</v>
      </c>
      <c r="GT949" s="15">
        <v>27.59</v>
      </c>
      <c r="GU949" s="15">
        <f>GT949*0.01</f>
        <v>0.27589999999999998</v>
      </c>
      <c r="GV949" s="15">
        <f>GU949*SQRT(AR949)</f>
        <v>0.55179999999999996</v>
      </c>
      <c r="GW949" s="15">
        <v>64.290000000000006</v>
      </c>
      <c r="GX949" s="15">
        <f>GW949*0.01</f>
        <v>0.64290000000000003</v>
      </c>
      <c r="GY949" s="15">
        <f>GX949*SQRT(AR949)</f>
        <v>1.2858000000000001</v>
      </c>
      <c r="GZ949" s="15">
        <f t="shared" si="859"/>
        <v>2.3301920985864446</v>
      </c>
      <c r="HA949" s="15">
        <f t="shared" si="860"/>
        <v>36.700000000000003</v>
      </c>
      <c r="HB949" s="15">
        <f t="shared" si="861"/>
        <v>0.8459507099244008</v>
      </c>
      <c r="HC949" s="15">
        <f>((GY949*GY949)/(AR949*GW949*GW949)+(GV949*GV949)/(AR949*GT949*GT949))</f>
        <v>1.9999999999999998E-4</v>
      </c>
      <c r="HY949" s="15">
        <f>AZ949</f>
        <v>4000</v>
      </c>
      <c r="HZ949" s="15">
        <f>BA949</f>
        <v>1.3651877133105801</v>
      </c>
      <c r="IA949" s="15">
        <f>BB949</f>
        <v>2400</v>
      </c>
    </row>
    <row r="950" spans="1:235" s="15" customFormat="1" x14ac:dyDescent="0.25">
      <c r="A950" s="31">
        <v>948</v>
      </c>
      <c r="B950" s="1">
        <v>156</v>
      </c>
      <c r="C950" s="1">
        <v>179</v>
      </c>
      <c r="D950" s="15" t="s">
        <v>2129</v>
      </c>
      <c r="E950" s="1">
        <v>1</v>
      </c>
      <c r="F950" s="15" t="s">
        <v>2114</v>
      </c>
      <c r="G950" s="15" t="s">
        <v>2126</v>
      </c>
      <c r="H950" s="15" t="s">
        <v>812</v>
      </c>
      <c r="I950" s="1">
        <v>2021</v>
      </c>
      <c r="J950" s="15" t="s">
        <v>2131</v>
      </c>
      <c r="K950" s="1">
        <v>2019</v>
      </c>
      <c r="L950" s="15" t="s">
        <v>2123</v>
      </c>
      <c r="M950" s="15" t="s">
        <v>480</v>
      </c>
      <c r="N950" s="15" t="s">
        <v>23</v>
      </c>
      <c r="O950" s="31">
        <v>2</v>
      </c>
      <c r="P950" s="15">
        <v>26.09</v>
      </c>
      <c r="Q950" s="15">
        <v>119.25</v>
      </c>
      <c r="S950" s="15">
        <v>1558</v>
      </c>
      <c r="T950" s="15">
        <v>22</v>
      </c>
      <c r="U950" s="15" t="s">
        <v>807</v>
      </c>
      <c r="V950" s="31">
        <v>2</v>
      </c>
      <c r="W950" s="16" t="s">
        <v>1169</v>
      </c>
      <c r="X950" s="15" t="s">
        <v>532</v>
      </c>
      <c r="Y950" s="1"/>
      <c r="Z950" s="15">
        <v>4.5</v>
      </c>
      <c r="AA950" s="15" t="s">
        <v>574</v>
      </c>
      <c r="AB950" s="15">
        <f t="shared" si="834"/>
        <v>4.5</v>
      </c>
      <c r="AC950" s="1">
        <v>1</v>
      </c>
      <c r="AD950" s="15">
        <v>13.78</v>
      </c>
      <c r="AF950" s="15">
        <v>5.79</v>
      </c>
      <c r="AH950" s="15">
        <v>29.35</v>
      </c>
      <c r="AM950" s="1">
        <v>3</v>
      </c>
      <c r="AN950" s="15">
        <v>1.1299999999999999</v>
      </c>
      <c r="AP950" s="15" t="s">
        <v>697</v>
      </c>
      <c r="AQ950" s="1">
        <v>1</v>
      </c>
      <c r="AR950" s="1">
        <v>4</v>
      </c>
      <c r="AT950" s="15" t="s">
        <v>576</v>
      </c>
      <c r="AW950" s="15">
        <v>8000</v>
      </c>
      <c r="AX950" s="15">
        <v>8000</v>
      </c>
      <c r="AY950" s="15" t="s">
        <v>766</v>
      </c>
      <c r="AZ950" s="15">
        <f t="shared" si="850"/>
        <v>8000</v>
      </c>
      <c r="BA950" s="15">
        <f t="shared" si="851"/>
        <v>2.7303754266211602</v>
      </c>
      <c r="BB950" s="15">
        <f t="shared" si="852"/>
        <v>4800</v>
      </c>
      <c r="BP950" s="16"/>
      <c r="BQ950" s="16"/>
      <c r="BR950" s="16"/>
      <c r="BU950" s="16"/>
      <c r="EZ950" s="16"/>
      <c r="FA950" s="16"/>
      <c r="FB950" s="16"/>
      <c r="FC950" s="16"/>
      <c r="FD950" s="16"/>
      <c r="FE950" s="16"/>
      <c r="FF950" s="16"/>
      <c r="FG950" s="16"/>
      <c r="FH950" s="16"/>
      <c r="FI950" s="16"/>
      <c r="FJ950" s="16"/>
      <c r="FK950" s="16">
        <f t="shared" si="835"/>
        <v>4.51</v>
      </c>
      <c r="FL950" s="16">
        <f t="shared" si="836"/>
        <v>7.97</v>
      </c>
      <c r="FM950" s="16">
        <v>4.51</v>
      </c>
      <c r="FN950" s="16">
        <f>FM950*0.01</f>
        <v>4.5100000000000001E-2</v>
      </c>
      <c r="FO950" s="15">
        <f>FN950*SQRT(AR950)</f>
        <v>9.0200000000000002E-2</v>
      </c>
      <c r="FP950" s="15">
        <v>7.97</v>
      </c>
      <c r="FQ950" s="15">
        <f>FP950*0.01</f>
        <v>7.9699999999999993E-2</v>
      </c>
      <c r="FR950" s="15">
        <f>FQ950*SQRT(AR950)</f>
        <v>0.15939999999999999</v>
      </c>
      <c r="FS950" s="15">
        <f t="shared" si="837"/>
        <v>1.7671840354767185</v>
      </c>
      <c r="FT950" s="15">
        <f t="shared" si="838"/>
        <v>3.46</v>
      </c>
      <c r="FU950" s="15">
        <f t="shared" si="839"/>
        <v>0.56938733928753682</v>
      </c>
      <c r="FV950" s="15">
        <f>((FR950*FR950)/(AR950*FP950*FP950)+(FO950*FO950)/(AR950*FM950*FM950))</f>
        <v>1.9999999999999998E-4</v>
      </c>
      <c r="FX950" s="15">
        <v>13.78</v>
      </c>
      <c r="FY950" s="15">
        <f>FX950*0.01</f>
        <v>0.13780000000000001</v>
      </c>
      <c r="FZ950" s="15">
        <f>FY950*SQRT(AR950)</f>
        <v>0.27560000000000001</v>
      </c>
      <c r="GA950" s="15">
        <v>13.63</v>
      </c>
      <c r="GB950" s="15">
        <f>GA950*0.01</f>
        <v>0.1363</v>
      </c>
      <c r="GC950" s="15">
        <f>GB950*SQRT(AR950)</f>
        <v>0.27260000000000001</v>
      </c>
      <c r="GD950" s="15">
        <f t="shared" si="853"/>
        <v>0.98911465892597983</v>
      </c>
      <c r="GE950" s="15">
        <f t="shared" si="854"/>
        <v>-0.14999999999999858</v>
      </c>
      <c r="GF950" s="15">
        <f t="shared" si="855"/>
        <v>-1.0945019877071083E-2</v>
      </c>
      <c r="GG950" s="15">
        <f>((GC950*GC950)/(AR950*GA950*GA950)+(FZ950*FZ950)/(AR950*FX950*FX950))</f>
        <v>2.0000000000000001E-4</v>
      </c>
      <c r="GI950" s="15">
        <v>5.8</v>
      </c>
      <c r="GJ950" s="15">
        <f>GI950*0.01</f>
        <v>5.7999999999999996E-2</v>
      </c>
      <c r="GK950" s="15">
        <f>GJ950*SQRT(AR950)</f>
        <v>0.11599999999999999</v>
      </c>
      <c r="GL950" s="15">
        <v>7.26</v>
      </c>
      <c r="GM950" s="15">
        <f>GL950*0.01</f>
        <v>7.2599999999999998E-2</v>
      </c>
      <c r="GN950" s="15">
        <f>GM950*SQRT(AR950)</f>
        <v>0.1452</v>
      </c>
      <c r="GO950" s="15">
        <f t="shared" si="856"/>
        <v>1.2517241379310344</v>
      </c>
      <c r="GP950" s="15">
        <f t="shared" si="857"/>
        <v>1.46</v>
      </c>
      <c r="GQ950" s="15">
        <f t="shared" si="858"/>
        <v>0.22452191128433108</v>
      </c>
      <c r="GR950" s="15">
        <f>((GN950*GN950)/(AR950*GL950*GL950)+(GK950*GK950)/(AR950*GI950*GI950))</f>
        <v>1.9999999999999998E-4</v>
      </c>
      <c r="GT950" s="15">
        <v>27.59</v>
      </c>
      <c r="GU950" s="15">
        <f>GT950*0.01</f>
        <v>0.27589999999999998</v>
      </c>
      <c r="GV950" s="15">
        <f>GU950*SQRT(AR950)</f>
        <v>0.55179999999999996</v>
      </c>
      <c r="GW950" s="15">
        <v>98.16</v>
      </c>
      <c r="GX950" s="15">
        <f>GW950*0.01</f>
        <v>0.98160000000000003</v>
      </c>
      <c r="GY950" s="15">
        <f>GX950*SQRT(AR950)</f>
        <v>1.9632000000000001</v>
      </c>
      <c r="GZ950" s="15">
        <f t="shared" si="859"/>
        <v>3.5578108010148601</v>
      </c>
      <c r="HA950" s="15">
        <f t="shared" si="860"/>
        <v>70.569999999999993</v>
      </c>
      <c r="HB950" s="15">
        <f t="shared" si="861"/>
        <v>1.2691454121734611</v>
      </c>
      <c r="HC950" s="15">
        <f>((GY950*GY950)/(AR950*GW950*GW950)+(GV950*GV950)/(AR950*GT950*GT950))</f>
        <v>1.9999999999999998E-4</v>
      </c>
      <c r="HY950" s="15">
        <f>AZ950</f>
        <v>8000</v>
      </c>
      <c r="HZ950" s="15">
        <f>BA950</f>
        <v>2.7303754266211602</v>
      </c>
      <c r="IA950" s="15">
        <f>BB950</f>
        <v>4800</v>
      </c>
    </row>
    <row r="951" spans="1:235" s="15" customFormat="1" x14ac:dyDescent="0.25">
      <c r="A951" s="31">
        <v>949</v>
      </c>
      <c r="B951" s="1">
        <v>157</v>
      </c>
      <c r="C951" s="1">
        <v>180</v>
      </c>
      <c r="D951" s="15" t="s">
        <v>2130</v>
      </c>
      <c r="E951" s="1">
        <v>1</v>
      </c>
      <c r="F951" s="15" t="s">
        <v>2114</v>
      </c>
      <c r="G951" s="15" t="s">
        <v>2136</v>
      </c>
      <c r="H951" s="15" t="s">
        <v>930</v>
      </c>
      <c r="I951" s="1">
        <v>2020</v>
      </c>
      <c r="J951" s="15" t="s">
        <v>2137</v>
      </c>
      <c r="K951" s="1">
        <v>2018</v>
      </c>
      <c r="L951" s="15" t="s">
        <v>2138</v>
      </c>
      <c r="M951" s="15" t="s">
        <v>2139</v>
      </c>
      <c r="N951" s="15" t="s">
        <v>1775</v>
      </c>
      <c r="O951" s="31">
        <v>2</v>
      </c>
      <c r="P951" s="15">
        <v>-39.61</v>
      </c>
      <c r="Q951" s="15">
        <v>174.26</v>
      </c>
      <c r="S951" s="15">
        <v>600</v>
      </c>
      <c r="T951" s="15">
        <v>13</v>
      </c>
      <c r="U951" s="15" t="s">
        <v>807</v>
      </c>
      <c r="V951" s="31">
        <v>2</v>
      </c>
      <c r="W951" s="16"/>
      <c r="X951" s="15" t="s">
        <v>532</v>
      </c>
      <c r="Y951" s="1"/>
      <c r="Z951" s="15">
        <v>5.4</v>
      </c>
      <c r="AA951" s="15" t="s">
        <v>574</v>
      </c>
      <c r="AB951" s="15">
        <f t="shared" si="834"/>
        <v>5.4</v>
      </c>
      <c r="AC951" s="1">
        <v>3</v>
      </c>
      <c r="AD951" s="15">
        <f>93*1.74</f>
        <v>161.82</v>
      </c>
      <c r="AM951" s="1">
        <v>3</v>
      </c>
      <c r="AP951" s="15" t="s">
        <v>2140</v>
      </c>
      <c r="AQ951" s="1">
        <v>8</v>
      </c>
      <c r="AR951" s="1">
        <v>4</v>
      </c>
      <c r="AT951" s="15" t="s">
        <v>576</v>
      </c>
      <c r="AW951" s="15">
        <v>2400</v>
      </c>
      <c r="AX951" s="15">
        <v>2400</v>
      </c>
      <c r="AY951" s="15" t="s">
        <v>766</v>
      </c>
      <c r="AZ951" s="15">
        <f t="shared" si="850"/>
        <v>2400</v>
      </c>
      <c r="BA951" s="15">
        <f t="shared" si="851"/>
        <v>0.8191126279863481</v>
      </c>
      <c r="BB951" s="15">
        <f t="shared" si="852"/>
        <v>1440</v>
      </c>
      <c r="BP951" s="16"/>
      <c r="BQ951" s="16"/>
      <c r="BR951" s="16"/>
      <c r="BU951" s="16"/>
      <c r="EZ951" s="16"/>
      <c r="FA951" s="16"/>
      <c r="FB951" s="16"/>
      <c r="FC951" s="16"/>
      <c r="FD951" s="16"/>
      <c r="FE951" s="16"/>
      <c r="FF951" s="16"/>
      <c r="FG951" s="16"/>
      <c r="FH951" s="16"/>
      <c r="FI951" s="16"/>
      <c r="FJ951" s="16"/>
      <c r="FK951" s="16">
        <f t="shared" si="835"/>
        <v>5.01</v>
      </c>
      <c r="FL951" s="16">
        <f t="shared" si="836"/>
        <v>5.63</v>
      </c>
      <c r="FM951" s="16">
        <v>5.01</v>
      </c>
      <c r="FN951" s="15">
        <v>0.03</v>
      </c>
      <c r="FO951" s="15">
        <f>FN951*SQRT(AR951)</f>
        <v>0.06</v>
      </c>
      <c r="FP951" s="15">
        <v>5.63</v>
      </c>
      <c r="FQ951" s="15">
        <v>0.02</v>
      </c>
      <c r="FR951" s="15">
        <f>FQ951*SQRT(AR951)</f>
        <v>0.04</v>
      </c>
      <c r="FS951" s="15">
        <f t="shared" si="837"/>
        <v>1.12375249500998</v>
      </c>
      <c r="FT951" s="15">
        <f t="shared" si="838"/>
        <v>0.62000000000000011</v>
      </c>
      <c r="FU951" s="15">
        <f t="shared" si="839"/>
        <v>0.11667352705482559</v>
      </c>
      <c r="FV951" s="15">
        <f>((FR951*FR951)/(AR951*FP951*FP951)+(FO951*FO951)/(AR951*FM951*FM951))</f>
        <v>4.847596146743182E-5</v>
      </c>
      <c r="HY951" s="15">
        <f>AZ951</f>
        <v>2400</v>
      </c>
      <c r="HZ951" s="15">
        <f>BA951</f>
        <v>0.8191126279863481</v>
      </c>
      <c r="IA951" s="15">
        <f>BB951</f>
        <v>1440</v>
      </c>
    </row>
    <row r="952" spans="1:235" s="15" customFormat="1" x14ac:dyDescent="0.25">
      <c r="A952" s="31">
        <v>950</v>
      </c>
      <c r="B952" s="1">
        <v>157</v>
      </c>
      <c r="C952" s="1">
        <v>180</v>
      </c>
      <c r="D952" s="15" t="s">
        <v>2133</v>
      </c>
      <c r="E952" s="1">
        <v>1</v>
      </c>
      <c r="F952" s="15" t="s">
        <v>2114</v>
      </c>
      <c r="G952" s="15" t="s">
        <v>2136</v>
      </c>
      <c r="H952" s="15" t="s">
        <v>930</v>
      </c>
      <c r="I952" s="1">
        <v>2020</v>
      </c>
      <c r="J952" s="15" t="s">
        <v>2137</v>
      </c>
      <c r="K952" s="1">
        <v>2018</v>
      </c>
      <c r="L952" s="15" t="s">
        <v>2138</v>
      </c>
      <c r="M952" s="15" t="s">
        <v>2139</v>
      </c>
      <c r="N952" s="15" t="s">
        <v>1775</v>
      </c>
      <c r="O952" s="31">
        <v>2</v>
      </c>
      <c r="P952" s="15">
        <v>-39.61</v>
      </c>
      <c r="Q952" s="15">
        <v>174.26</v>
      </c>
      <c r="S952" s="15">
        <v>600</v>
      </c>
      <c r="T952" s="15">
        <v>13</v>
      </c>
      <c r="U952" s="15" t="s">
        <v>807</v>
      </c>
      <c r="V952" s="31">
        <v>2</v>
      </c>
      <c r="W952" s="16"/>
      <c r="X952" s="15" t="s">
        <v>532</v>
      </c>
      <c r="Y952" s="1"/>
      <c r="Z952" s="15">
        <v>5.4</v>
      </c>
      <c r="AA952" s="15" t="s">
        <v>574</v>
      </c>
      <c r="AB952" s="15">
        <f t="shared" si="834"/>
        <v>5.4</v>
      </c>
      <c r="AC952" s="1">
        <v>3</v>
      </c>
      <c r="AD952" s="15">
        <f>93*1.74</f>
        <v>161.82</v>
      </c>
      <c r="AM952" s="1">
        <v>3</v>
      </c>
      <c r="AP952" s="15" t="s">
        <v>2140</v>
      </c>
      <c r="AQ952" s="1">
        <v>8</v>
      </c>
      <c r="AR952" s="1">
        <v>4</v>
      </c>
      <c r="AT952" s="15" t="s">
        <v>576</v>
      </c>
      <c r="AW952" s="15">
        <v>4800</v>
      </c>
      <c r="AX952" s="15">
        <v>4800</v>
      </c>
      <c r="AY952" s="15" t="s">
        <v>766</v>
      </c>
      <c r="AZ952" s="15">
        <f t="shared" si="850"/>
        <v>4800</v>
      </c>
      <c r="BA952" s="15">
        <f t="shared" si="851"/>
        <v>1.6382252559726962</v>
      </c>
      <c r="BB952" s="15">
        <f t="shared" si="852"/>
        <v>2880</v>
      </c>
      <c r="BP952" s="16"/>
      <c r="BQ952" s="16"/>
      <c r="BR952" s="16"/>
      <c r="BU952" s="16"/>
      <c r="EZ952" s="16"/>
      <c r="FA952" s="16"/>
      <c r="FB952" s="16"/>
      <c r="FC952" s="16"/>
      <c r="FD952" s="16"/>
      <c r="FE952" s="16"/>
      <c r="FF952" s="16"/>
      <c r="FG952" s="16"/>
      <c r="FH952" s="16"/>
      <c r="FI952" s="16"/>
      <c r="FJ952" s="16"/>
      <c r="FK952" s="16">
        <f t="shared" si="835"/>
        <v>5.01</v>
      </c>
      <c r="FL952" s="16">
        <f t="shared" si="836"/>
        <v>6.03</v>
      </c>
      <c r="FM952" s="16">
        <v>5.01</v>
      </c>
      <c r="FN952" s="15">
        <v>0.03</v>
      </c>
      <c r="FO952" s="15">
        <f>FN952*SQRT(AR952)</f>
        <v>0.06</v>
      </c>
      <c r="FP952" s="15">
        <v>6.03</v>
      </c>
      <c r="FQ952" s="15">
        <v>0.02</v>
      </c>
      <c r="FR952" s="15">
        <f>FQ952*SQRT(AR952)</f>
        <v>0.04</v>
      </c>
      <c r="FS952" s="15">
        <f t="shared" si="837"/>
        <v>1.2035928143712575</v>
      </c>
      <c r="FT952" s="15">
        <f t="shared" si="838"/>
        <v>1.0200000000000005</v>
      </c>
      <c r="FU952" s="15">
        <f t="shared" si="839"/>
        <v>0.18531109564232073</v>
      </c>
      <c r="FV952" s="15">
        <f>((FR952*FR952)/(AR952*FP952*FP952)+(FO952*FO952)/(AR952*FM952*FM952))</f>
        <v>4.6857258663165975E-5</v>
      </c>
      <c r="HY952" s="15">
        <f>AZ952</f>
        <v>4800</v>
      </c>
      <c r="HZ952" s="15">
        <f>BA952</f>
        <v>1.6382252559726962</v>
      </c>
      <c r="IA952" s="15">
        <f>BB952</f>
        <v>2880</v>
      </c>
    </row>
    <row r="953" spans="1:235" s="15" customFormat="1" x14ac:dyDescent="0.25">
      <c r="A953" s="31">
        <v>951</v>
      </c>
      <c r="B953" s="1">
        <v>157</v>
      </c>
      <c r="C953" s="1">
        <v>180</v>
      </c>
      <c r="D953" s="15" t="s">
        <v>2134</v>
      </c>
      <c r="E953" s="1">
        <v>1</v>
      </c>
      <c r="F953" s="15" t="s">
        <v>2114</v>
      </c>
      <c r="G953" s="15" t="s">
        <v>2136</v>
      </c>
      <c r="H953" s="15" t="s">
        <v>930</v>
      </c>
      <c r="I953" s="1">
        <v>2020</v>
      </c>
      <c r="J953" s="15" t="s">
        <v>2137</v>
      </c>
      <c r="K953" s="1">
        <v>2018</v>
      </c>
      <c r="L953" s="15" t="s">
        <v>2138</v>
      </c>
      <c r="M953" s="15" t="s">
        <v>2139</v>
      </c>
      <c r="N953" s="15" t="s">
        <v>1775</v>
      </c>
      <c r="O953" s="31">
        <v>2</v>
      </c>
      <c r="P953" s="15">
        <v>-39.61</v>
      </c>
      <c r="Q953" s="15">
        <v>174.26</v>
      </c>
      <c r="S953" s="15">
        <v>600</v>
      </c>
      <c r="T953" s="15">
        <v>13</v>
      </c>
      <c r="U953" s="15" t="s">
        <v>807</v>
      </c>
      <c r="V953" s="31">
        <v>2</v>
      </c>
      <c r="W953" s="16"/>
      <c r="X953" s="15" t="s">
        <v>532</v>
      </c>
      <c r="Y953" s="1"/>
      <c r="Z953" s="15">
        <v>5.4</v>
      </c>
      <c r="AA953" s="15" t="s">
        <v>574</v>
      </c>
      <c r="AB953" s="15">
        <f t="shared" si="834"/>
        <v>5.4</v>
      </c>
      <c r="AC953" s="1">
        <v>3</v>
      </c>
      <c r="AD953" s="15">
        <f>93*1.74</f>
        <v>161.82</v>
      </c>
      <c r="AM953" s="1">
        <v>3</v>
      </c>
      <c r="AP953" s="15" t="s">
        <v>2140</v>
      </c>
      <c r="AQ953" s="1">
        <v>8</v>
      </c>
      <c r="AR953" s="1">
        <v>4</v>
      </c>
      <c r="AT953" s="15" t="s">
        <v>576</v>
      </c>
      <c r="AW953" s="15">
        <v>7200</v>
      </c>
      <c r="AX953" s="15">
        <v>7200</v>
      </c>
      <c r="AY953" s="15" t="s">
        <v>766</v>
      </c>
      <c r="AZ953" s="15">
        <f t="shared" si="850"/>
        <v>7200</v>
      </c>
      <c r="BA953" s="15">
        <f t="shared" si="851"/>
        <v>2.4573378839590441</v>
      </c>
      <c r="BB953" s="15">
        <f t="shared" si="852"/>
        <v>4320</v>
      </c>
      <c r="BP953" s="16"/>
      <c r="BQ953" s="16"/>
      <c r="BR953" s="16"/>
      <c r="BU953" s="16"/>
      <c r="EZ953" s="16"/>
      <c r="FA953" s="16"/>
      <c r="FB953" s="16"/>
      <c r="FC953" s="16"/>
      <c r="FD953" s="16"/>
      <c r="FE953" s="16"/>
      <c r="FF953" s="16"/>
      <c r="FG953" s="16"/>
      <c r="FH953" s="16"/>
      <c r="FI953" s="16"/>
      <c r="FJ953" s="16"/>
      <c r="FK953" s="16">
        <f t="shared" si="835"/>
        <v>5.01</v>
      </c>
      <c r="FL953" s="16">
        <f t="shared" si="836"/>
        <v>6.23</v>
      </c>
      <c r="FM953" s="16">
        <v>5.01</v>
      </c>
      <c r="FN953" s="15">
        <v>0.03</v>
      </c>
      <c r="FO953" s="15">
        <f>FN953*SQRT(AR953)</f>
        <v>0.06</v>
      </c>
      <c r="FP953" s="15">
        <v>6.23</v>
      </c>
      <c r="FQ953" s="15">
        <v>0.02</v>
      </c>
      <c r="FR953" s="15">
        <f>FQ953*SQRT(AR953)</f>
        <v>0.04</v>
      </c>
      <c r="FS953" s="15">
        <f t="shared" si="837"/>
        <v>1.2435129740518964</v>
      </c>
      <c r="FT953" s="15">
        <f t="shared" si="838"/>
        <v>1.2200000000000006</v>
      </c>
      <c r="FU953" s="15">
        <f t="shared" si="839"/>
        <v>0.21794041770258832</v>
      </c>
      <c r="FV953" s="15">
        <f>((FR953*FR953)/(AR953*FP953*FP953)+(FO953*FO953)/(AR953*FM953*FM953))</f>
        <v>4.6162282771239783E-5</v>
      </c>
      <c r="HY953" s="15">
        <f>AZ953</f>
        <v>7200</v>
      </c>
      <c r="HZ953" s="15">
        <f>BA953</f>
        <v>2.4573378839590441</v>
      </c>
      <c r="IA953" s="15">
        <f>BB953</f>
        <v>4320</v>
      </c>
    </row>
    <row r="954" spans="1:235" s="15" customFormat="1" x14ac:dyDescent="0.25">
      <c r="A954" s="31">
        <v>952</v>
      </c>
      <c r="B954" s="1">
        <v>157</v>
      </c>
      <c r="C954" s="1">
        <v>180</v>
      </c>
      <c r="D954" s="15" t="s">
        <v>2135</v>
      </c>
      <c r="E954" s="1">
        <v>1</v>
      </c>
      <c r="F954" s="15" t="s">
        <v>2114</v>
      </c>
      <c r="G954" s="15" t="s">
        <v>2136</v>
      </c>
      <c r="H954" s="15" t="s">
        <v>930</v>
      </c>
      <c r="I954" s="1">
        <v>2020</v>
      </c>
      <c r="J954" s="15" t="s">
        <v>2137</v>
      </c>
      <c r="K954" s="1">
        <v>2018</v>
      </c>
      <c r="L954" s="15" t="s">
        <v>2138</v>
      </c>
      <c r="M954" s="15" t="s">
        <v>2139</v>
      </c>
      <c r="N954" s="15" t="s">
        <v>1775</v>
      </c>
      <c r="O954" s="31">
        <v>2</v>
      </c>
      <c r="P954" s="15">
        <v>-39.61</v>
      </c>
      <c r="Q954" s="15">
        <v>174.26</v>
      </c>
      <c r="S954" s="15">
        <v>600</v>
      </c>
      <c r="T954" s="15">
        <v>13</v>
      </c>
      <c r="U954" s="15" t="s">
        <v>807</v>
      </c>
      <c r="V954" s="31">
        <v>2</v>
      </c>
      <c r="W954" s="16"/>
      <c r="X954" s="15" t="s">
        <v>532</v>
      </c>
      <c r="Y954" s="1"/>
      <c r="Z954" s="15">
        <v>5.4</v>
      </c>
      <c r="AA954" s="15" t="s">
        <v>574</v>
      </c>
      <c r="AB954" s="15">
        <f t="shared" si="834"/>
        <v>5.4</v>
      </c>
      <c r="AC954" s="1">
        <v>3</v>
      </c>
      <c r="AD954" s="15">
        <f>93*1.74</f>
        <v>161.82</v>
      </c>
      <c r="AM954" s="1">
        <v>3</v>
      </c>
      <c r="AP954" s="15" t="s">
        <v>2140</v>
      </c>
      <c r="AQ954" s="1">
        <v>8</v>
      </c>
      <c r="AR954" s="1">
        <v>4</v>
      </c>
      <c r="AT954" s="15" t="s">
        <v>576</v>
      </c>
      <c r="AW954" s="15">
        <v>9600</v>
      </c>
      <c r="AX954" s="15">
        <v>9600</v>
      </c>
      <c r="AY954" s="15" t="s">
        <v>766</v>
      </c>
      <c r="AZ954" s="15">
        <f t="shared" si="850"/>
        <v>9600</v>
      </c>
      <c r="BA954" s="15">
        <f t="shared" si="851"/>
        <v>3.2764505119453924</v>
      </c>
      <c r="BB954" s="15">
        <f t="shared" si="852"/>
        <v>5760</v>
      </c>
      <c r="BP954" s="16"/>
      <c r="BQ954" s="16"/>
      <c r="BR954" s="16"/>
      <c r="BU954" s="16"/>
      <c r="EZ954" s="16"/>
      <c r="FA954" s="16"/>
      <c r="FB954" s="16"/>
      <c r="FC954" s="16"/>
      <c r="FD954" s="16"/>
      <c r="FE954" s="16"/>
      <c r="FF954" s="16"/>
      <c r="FG954" s="16"/>
      <c r="FH954" s="16"/>
      <c r="FI954" s="16"/>
      <c r="FJ954" s="16"/>
      <c r="FK954" s="16">
        <f t="shared" si="835"/>
        <v>5.01</v>
      </c>
      <c r="FL954" s="16">
        <f t="shared" si="836"/>
        <v>6.43</v>
      </c>
      <c r="FM954" s="16">
        <v>5.01</v>
      </c>
      <c r="FN954" s="15">
        <v>0.03</v>
      </c>
      <c r="FO954" s="15">
        <f>FN954*SQRT(AR954)</f>
        <v>0.06</v>
      </c>
      <c r="FP954" s="15">
        <v>6.43</v>
      </c>
      <c r="FQ954" s="15">
        <v>0.02</v>
      </c>
      <c r="FR954" s="15">
        <f>FQ954*SQRT(AR954)</f>
        <v>0.04</v>
      </c>
      <c r="FS954" s="15">
        <f t="shared" si="837"/>
        <v>1.2834331337325349</v>
      </c>
      <c r="FT954" s="15">
        <f t="shared" si="838"/>
        <v>1.42</v>
      </c>
      <c r="FU954" s="15">
        <f t="shared" si="839"/>
        <v>0.24953862315275455</v>
      </c>
      <c r="FV954" s="15">
        <f>((FR954*FR954)/(AR954*FP954*FP954)+(FO954*FO954)/(AR954*FM954*FM954))</f>
        <v>4.5531142846790374E-5</v>
      </c>
      <c r="HY954" s="15">
        <f>AZ954</f>
        <v>9600</v>
      </c>
      <c r="HZ954" s="15">
        <f>BA954</f>
        <v>3.2764505119453924</v>
      </c>
      <c r="IA954" s="15">
        <f>BB954</f>
        <v>5760</v>
      </c>
    </row>
    <row r="955" spans="1:235" s="15" customFormat="1" x14ac:dyDescent="0.25">
      <c r="A955" s="31">
        <v>953</v>
      </c>
      <c r="B955" s="1">
        <v>158</v>
      </c>
      <c r="C955" s="1">
        <v>181</v>
      </c>
      <c r="D955" s="15" t="s">
        <v>2141</v>
      </c>
      <c r="E955" s="1">
        <v>1</v>
      </c>
      <c r="F955" s="15" t="s">
        <v>2114</v>
      </c>
      <c r="G955" s="15" t="s">
        <v>2145</v>
      </c>
      <c r="H955" s="15" t="s">
        <v>2146</v>
      </c>
      <c r="I955" s="1">
        <v>2016</v>
      </c>
      <c r="J955" s="15" t="s">
        <v>2147</v>
      </c>
      <c r="K955" s="1">
        <v>2016</v>
      </c>
      <c r="L955" s="15" t="s">
        <v>2148</v>
      </c>
      <c r="M955" s="15" t="s">
        <v>2149</v>
      </c>
      <c r="N955" s="15" t="s">
        <v>1125</v>
      </c>
      <c r="O955" s="31">
        <v>1</v>
      </c>
      <c r="P955" s="15">
        <v>-22.85</v>
      </c>
      <c r="Q955" s="15">
        <v>-48.38</v>
      </c>
      <c r="S955" s="15">
        <v>1356</v>
      </c>
      <c r="T955" s="15">
        <v>21</v>
      </c>
      <c r="U955" s="15" t="s">
        <v>549</v>
      </c>
      <c r="V955" s="31">
        <v>1</v>
      </c>
      <c r="W955" s="16" t="s">
        <v>1176</v>
      </c>
      <c r="X955" s="15" t="s">
        <v>729</v>
      </c>
      <c r="Y955" s="61">
        <v>11</v>
      </c>
      <c r="Z955" s="15">
        <v>4.2</v>
      </c>
      <c r="AA955" s="15" t="s">
        <v>663</v>
      </c>
      <c r="AB955" s="15">
        <f>Z955+0.77</f>
        <v>4.9700000000000006</v>
      </c>
      <c r="AC955" s="1">
        <v>2</v>
      </c>
      <c r="AD955" s="15">
        <v>21</v>
      </c>
      <c r="AF955" s="15">
        <v>5.7</v>
      </c>
      <c r="AH955" s="15">
        <v>35</v>
      </c>
      <c r="AJ955" s="15">
        <v>35</v>
      </c>
      <c r="AK955" s="15">
        <v>11</v>
      </c>
      <c r="AL955" s="15">
        <v>54</v>
      </c>
      <c r="AM955" s="1">
        <v>3</v>
      </c>
      <c r="AP955" s="15" t="s">
        <v>2150</v>
      </c>
      <c r="AQ955" s="1">
        <v>1</v>
      </c>
      <c r="AR955" s="1">
        <v>4</v>
      </c>
      <c r="AT955" s="15" t="s">
        <v>993</v>
      </c>
      <c r="AW955" s="15">
        <v>2000</v>
      </c>
      <c r="AX955" s="15">
        <f>AW955*1.09</f>
        <v>2180</v>
      </c>
      <c r="AY955" s="15" t="s">
        <v>766</v>
      </c>
      <c r="AZ955" s="15">
        <f t="shared" si="850"/>
        <v>2180</v>
      </c>
      <c r="BA955" s="15">
        <f t="shared" si="851"/>
        <v>0.74402730375426618</v>
      </c>
      <c r="BB955" s="15">
        <f t="shared" si="852"/>
        <v>1308</v>
      </c>
      <c r="BP955" s="16"/>
      <c r="BQ955" s="16"/>
      <c r="BR955" s="16"/>
      <c r="BU955" s="16"/>
      <c r="EZ955" s="16">
        <v>1.79</v>
      </c>
      <c r="FA955" s="15">
        <f>EZ955*0.05</f>
        <v>8.950000000000001E-2</v>
      </c>
      <c r="FB955" s="15">
        <f>FA955*SQRT(AR955)</f>
        <v>0.17900000000000002</v>
      </c>
      <c r="FC955" s="16">
        <v>1.62</v>
      </c>
      <c r="FD955" s="15">
        <f>FC955*0.05</f>
        <v>8.1000000000000016E-2</v>
      </c>
      <c r="FE955" s="15">
        <f>FD955*SQRT(AR955)</f>
        <v>0.16200000000000003</v>
      </c>
      <c r="FF955" s="15">
        <f>FC955/EZ955</f>
        <v>0.9050279329608939</v>
      </c>
      <c r="FG955" s="15">
        <f>FC955-EZ955</f>
        <v>-0.16999999999999993</v>
      </c>
      <c r="FH955" s="15">
        <f>LN(FC955)-LN(EZ955)</f>
        <v>-9.97894706083709E-2</v>
      </c>
      <c r="FI955" s="15">
        <f>((FE955*FE955)/(AR955*FC955*FC955)+(FB955*FB955)/(AR955*EZ955*EZ955))</f>
        <v>5.000000000000001E-3</v>
      </c>
      <c r="FJ955" s="16"/>
      <c r="FK955" s="16">
        <f>FM955+0.77</f>
        <v>4.4700000000000006</v>
      </c>
      <c r="FL955" s="16">
        <f>FP955+0.77</f>
        <v>5.17</v>
      </c>
      <c r="FM955" s="15">
        <v>3.7</v>
      </c>
      <c r="FN955" s="15">
        <f>FM955*0.05</f>
        <v>0.18500000000000003</v>
      </c>
      <c r="FO955" s="15">
        <f>FN955*SQRT(AR955)</f>
        <v>0.37000000000000005</v>
      </c>
      <c r="FP955" s="15">
        <v>4.4000000000000004</v>
      </c>
      <c r="FQ955" s="15">
        <f>FP955*0.05</f>
        <v>0.22000000000000003</v>
      </c>
      <c r="FR955" s="15">
        <f>FQ955*SQRT(AR955)</f>
        <v>0.44000000000000006</v>
      </c>
      <c r="FS955" s="15">
        <f t="shared" si="837"/>
        <v>1.1891891891891893</v>
      </c>
      <c r="FT955" s="15">
        <f t="shared" si="838"/>
        <v>0.70000000000000018</v>
      </c>
      <c r="FU955" s="15">
        <f t="shared" si="839"/>
        <v>0.17327172127403667</v>
      </c>
      <c r="FV955" s="15">
        <f>((FR955*FR955)/(AR955*FP955*FP955)+(FO955*FO955)/(AR955*FM955*FM955))</f>
        <v>5.000000000000001E-3</v>
      </c>
      <c r="HE955" s="15">
        <v>2001.5</v>
      </c>
      <c r="HF955" s="15">
        <f>HE955*0.05</f>
        <v>100.075</v>
      </c>
      <c r="HG955" s="15">
        <f>HF955*SQRT(AR955)</f>
        <v>200.15</v>
      </c>
      <c r="HH955" s="15">
        <v>4910.5</v>
      </c>
      <c r="HI955" s="15">
        <f>HH955*0.05</f>
        <v>245.52500000000001</v>
      </c>
      <c r="HJ955" s="15">
        <f>HI955*SQRT(AR955)</f>
        <v>491.05</v>
      </c>
      <c r="HK955" s="15">
        <f t="shared" ref="HK955:HK1018" si="862">HH955/HE955</f>
        <v>2.4534099425430926</v>
      </c>
      <c r="HL955" s="15">
        <f t="shared" ref="HL955:HL1018" si="863">HH955-HE955</f>
        <v>2909</v>
      </c>
      <c r="HM955" s="15">
        <f t="shared" ref="HM955:HM1018" si="864">LN(HH955)-LN(HE955)</f>
        <v>0.89747887016519989</v>
      </c>
      <c r="HN955" s="15">
        <f>((HJ955*HJ955)/(AR955*HH955*HH955)+(HG955*HG955)/(AR955*HE955*HE955))</f>
        <v>5.0000000000000001E-3</v>
      </c>
      <c r="HP955" s="15" t="s">
        <v>766</v>
      </c>
      <c r="HV955" s="15">
        <f t="shared" ref="HV955:HV1018" si="865">HX955/HW955/100</f>
        <v>14.57415927529564</v>
      </c>
      <c r="HW955" s="15">
        <f t="shared" ref="HW955:HW986" si="866">HM955</f>
        <v>0.89747887016519989</v>
      </c>
      <c r="HX955" s="15">
        <f>BB955</f>
        <v>1308</v>
      </c>
      <c r="HY955" s="15">
        <f>AZ955</f>
        <v>2180</v>
      </c>
      <c r="HZ955" s="15">
        <f>BA955</f>
        <v>0.74402730375426618</v>
      </c>
      <c r="IA955" s="15">
        <f>BB955</f>
        <v>1308</v>
      </c>
    </row>
    <row r="956" spans="1:235" s="15" customFormat="1" x14ac:dyDescent="0.25">
      <c r="A956" s="31">
        <v>954</v>
      </c>
      <c r="B956" s="1">
        <v>158</v>
      </c>
      <c r="C956" s="1">
        <v>181</v>
      </c>
      <c r="D956" s="15" t="s">
        <v>2142</v>
      </c>
      <c r="E956" s="1">
        <v>3</v>
      </c>
      <c r="F956" s="15" t="s">
        <v>949</v>
      </c>
      <c r="G956" s="15" t="s">
        <v>2145</v>
      </c>
      <c r="H956" s="15" t="s">
        <v>2146</v>
      </c>
      <c r="I956" s="1">
        <v>2016</v>
      </c>
      <c r="J956" s="15" t="s">
        <v>2147</v>
      </c>
      <c r="K956" s="1">
        <v>2016</v>
      </c>
      <c r="L956" s="15" t="s">
        <v>2148</v>
      </c>
      <c r="M956" s="15" t="s">
        <v>2149</v>
      </c>
      <c r="N956" s="15" t="s">
        <v>1125</v>
      </c>
      <c r="O956" s="31">
        <v>1</v>
      </c>
      <c r="P956" s="15">
        <v>-22.85</v>
      </c>
      <c r="Q956" s="15">
        <v>-48.38</v>
      </c>
      <c r="S956" s="15">
        <v>1356</v>
      </c>
      <c r="T956" s="15">
        <v>21</v>
      </c>
      <c r="U956" s="15" t="s">
        <v>549</v>
      </c>
      <c r="V956" s="31">
        <v>1</v>
      </c>
      <c r="W956" s="16" t="s">
        <v>1176</v>
      </c>
      <c r="X956" s="15" t="s">
        <v>729</v>
      </c>
      <c r="Y956" s="61">
        <v>11</v>
      </c>
      <c r="Z956" s="15">
        <v>4.2</v>
      </c>
      <c r="AA956" s="15" t="s">
        <v>663</v>
      </c>
      <c r="AB956" s="15">
        <f>Z956+0.77</f>
        <v>4.9700000000000006</v>
      </c>
      <c r="AC956" s="1">
        <v>2</v>
      </c>
      <c r="AD956" s="15">
        <v>21</v>
      </c>
      <c r="AF956" s="15">
        <v>5.7</v>
      </c>
      <c r="AH956" s="15">
        <v>35</v>
      </c>
      <c r="AJ956" s="15">
        <v>35</v>
      </c>
      <c r="AK956" s="15">
        <v>11</v>
      </c>
      <c r="AL956" s="15">
        <v>54</v>
      </c>
      <c r="AM956" s="1">
        <v>3</v>
      </c>
      <c r="AP956" s="15" t="s">
        <v>2150</v>
      </c>
      <c r="AQ956" s="1">
        <v>1</v>
      </c>
      <c r="AR956" s="1">
        <v>4</v>
      </c>
      <c r="BP956" s="16"/>
      <c r="BQ956" s="16"/>
      <c r="BR956" s="16"/>
      <c r="BU956" s="16"/>
      <c r="DW956" s="15" t="s">
        <v>2151</v>
      </c>
      <c r="DX956" s="15">
        <v>2100</v>
      </c>
      <c r="DY956" s="15">
        <v>2100</v>
      </c>
      <c r="DZ956" s="15" t="s">
        <v>766</v>
      </c>
      <c r="ES956" s="15">
        <f>DY956</f>
        <v>2100</v>
      </c>
      <c r="ET956" s="15">
        <f>ES956/2.25/1000</f>
        <v>0.93333333333333335</v>
      </c>
      <c r="EU956" s="15">
        <f>ES956*0.55</f>
        <v>1155</v>
      </c>
      <c r="EZ956" s="16">
        <v>1.79</v>
      </c>
      <c r="FA956" s="15">
        <f>EZ956*0.05</f>
        <v>8.950000000000001E-2</v>
      </c>
      <c r="FB956" s="15">
        <f>FA956*SQRT(AR956)</f>
        <v>0.17900000000000002</v>
      </c>
      <c r="FC956" s="16">
        <v>1.77</v>
      </c>
      <c r="FD956" s="15">
        <f>FC956*0.05</f>
        <v>8.8500000000000009E-2</v>
      </c>
      <c r="FE956" s="15">
        <f>FD956*SQRT(AR956)</f>
        <v>0.17700000000000002</v>
      </c>
      <c r="FF956" s="15">
        <f>FC956/EZ956</f>
        <v>0.98882681564245811</v>
      </c>
      <c r="FG956" s="15">
        <f>FC956-EZ956</f>
        <v>-2.0000000000000018E-2</v>
      </c>
      <c r="FH956" s="15">
        <f>LN(FC956)-LN(EZ956)</f>
        <v>-1.1236073266925883E-2</v>
      </c>
      <c r="FI956" s="15">
        <f>((FE956*FE956)/(AR956*FC956*FC956)+(FB956*FB956)/(AR956*EZ956*EZ956))</f>
        <v>5.000000000000001E-3</v>
      </c>
      <c r="FJ956" s="16"/>
      <c r="FK956" s="16">
        <f>FM956+0.77</f>
        <v>4.4700000000000006</v>
      </c>
      <c r="FL956" s="16">
        <f>FP956+0.77</f>
        <v>4.57</v>
      </c>
      <c r="FM956" s="15">
        <v>3.7</v>
      </c>
      <c r="FN956" s="15">
        <f>FM956*0.05</f>
        <v>0.18500000000000003</v>
      </c>
      <c r="FO956" s="15">
        <f>FN956*SQRT(AR956)</f>
        <v>0.37000000000000005</v>
      </c>
      <c r="FP956" s="15">
        <v>3.8</v>
      </c>
      <c r="FQ956" s="15">
        <f>FP956*0.05</f>
        <v>0.19</v>
      </c>
      <c r="FR956" s="15">
        <f>FQ956*SQRT(AR956)</f>
        <v>0.38</v>
      </c>
      <c r="FS956" s="15">
        <f t="shared" si="837"/>
        <v>1.027027027027027</v>
      </c>
      <c r="FT956" s="15">
        <f t="shared" si="838"/>
        <v>9.9999999999999645E-2</v>
      </c>
      <c r="FU956" s="15">
        <f t="shared" si="839"/>
        <v>2.666824708216109E-2</v>
      </c>
      <c r="FV956" s="15">
        <f>((FR956*FR956)/(AR956*FP956*FP956)+(FO956*FO956)/(AR956*FM956*FM956))</f>
        <v>5.000000000000001E-3</v>
      </c>
      <c r="HE956" s="15">
        <v>2001.5</v>
      </c>
      <c r="HF956" s="15">
        <f>HE956*0.05</f>
        <v>100.075</v>
      </c>
      <c r="HG956" s="15">
        <f>HF956*SQRT(AR956)</f>
        <v>200.15</v>
      </c>
      <c r="HH956" s="15">
        <v>2164.6999999999998</v>
      </c>
      <c r="HI956" s="15">
        <f>HH956*0.05</f>
        <v>108.235</v>
      </c>
      <c r="HJ956" s="15">
        <f>HI956*SQRT(AR956)</f>
        <v>216.47</v>
      </c>
      <c r="HK956" s="15">
        <f t="shared" si="862"/>
        <v>1.0815388458656008</v>
      </c>
      <c r="HL956" s="15">
        <f t="shared" si="863"/>
        <v>163.19999999999982</v>
      </c>
      <c r="HM956" s="15">
        <f t="shared" si="864"/>
        <v>7.8384884273181576E-2</v>
      </c>
      <c r="HN956" s="15">
        <f>((HJ956*HJ956)/(AR956*HH956*HH956)+(HG956*HG956)/(AR956*HE956*HE956))</f>
        <v>5.000000000000001E-3</v>
      </c>
      <c r="HP956" s="15" t="s">
        <v>766</v>
      </c>
      <c r="HV956" s="15">
        <f t="shared" si="865"/>
        <v>147.3498380089041</v>
      </c>
      <c r="HW956" s="15">
        <f t="shared" si="866"/>
        <v>7.8384884273181576E-2</v>
      </c>
      <c r="HX956" s="15">
        <f>EU956</f>
        <v>1155</v>
      </c>
      <c r="HY956" s="15">
        <f>ES956</f>
        <v>2100</v>
      </c>
      <c r="HZ956" s="15">
        <f>ET956</f>
        <v>0.93333333333333335</v>
      </c>
      <c r="IA956" s="15">
        <f>EU956</f>
        <v>1155</v>
      </c>
    </row>
    <row r="957" spans="1:235" s="15" customFormat="1" x14ac:dyDescent="0.25">
      <c r="A957" s="31">
        <v>955</v>
      </c>
      <c r="B957" s="1">
        <v>158</v>
      </c>
      <c r="C957" s="1">
        <v>181</v>
      </c>
      <c r="D957" s="15" t="s">
        <v>2143</v>
      </c>
      <c r="E957" s="1">
        <v>6</v>
      </c>
      <c r="F957" s="15" t="s">
        <v>2144</v>
      </c>
      <c r="G957" s="15" t="s">
        <v>2145</v>
      </c>
      <c r="H957" s="15" t="s">
        <v>2146</v>
      </c>
      <c r="I957" s="1">
        <v>2016</v>
      </c>
      <c r="J957" s="15" t="s">
        <v>2147</v>
      </c>
      <c r="K957" s="1">
        <v>2016</v>
      </c>
      <c r="L957" s="15" t="s">
        <v>2148</v>
      </c>
      <c r="M957" s="15" t="s">
        <v>2149</v>
      </c>
      <c r="N957" s="15" t="s">
        <v>1125</v>
      </c>
      <c r="O957" s="31">
        <v>1</v>
      </c>
      <c r="P957" s="15">
        <v>-22.85</v>
      </c>
      <c r="Q957" s="15">
        <v>-48.38</v>
      </c>
      <c r="S957" s="15">
        <v>1356</v>
      </c>
      <c r="T957" s="15">
        <v>21</v>
      </c>
      <c r="U957" s="15" t="s">
        <v>549</v>
      </c>
      <c r="V957" s="31">
        <v>1</v>
      </c>
      <c r="W957" s="16" t="s">
        <v>1176</v>
      </c>
      <c r="X957" s="15" t="s">
        <v>729</v>
      </c>
      <c r="Y957" s="61">
        <v>11</v>
      </c>
      <c r="Z957" s="15">
        <v>4.2</v>
      </c>
      <c r="AA957" s="15" t="s">
        <v>663</v>
      </c>
      <c r="AB957" s="15">
        <f>Z957+0.77</f>
        <v>4.9700000000000006</v>
      </c>
      <c r="AC957" s="1">
        <v>2</v>
      </c>
      <c r="AD957" s="15">
        <v>21</v>
      </c>
      <c r="AF957" s="15">
        <v>5.7</v>
      </c>
      <c r="AH957" s="15">
        <v>35</v>
      </c>
      <c r="AJ957" s="15">
        <v>35</v>
      </c>
      <c r="AK957" s="15">
        <v>11</v>
      </c>
      <c r="AL957" s="15">
        <v>54</v>
      </c>
      <c r="AM957" s="1">
        <v>3</v>
      </c>
      <c r="AP957" s="15" t="s">
        <v>2150</v>
      </c>
      <c r="AQ957" s="1">
        <v>1</v>
      </c>
      <c r="AR957" s="1">
        <v>4</v>
      </c>
      <c r="AT957" s="15" t="s">
        <v>993</v>
      </c>
      <c r="AW957" s="15">
        <v>2000</v>
      </c>
      <c r="AX957" s="15">
        <f>AW957*1.09</f>
        <v>2180</v>
      </c>
      <c r="AY957" s="15" t="s">
        <v>766</v>
      </c>
      <c r="AZ957" s="15">
        <f>AX957</f>
        <v>2180</v>
      </c>
      <c r="BA957" s="15">
        <f>AZ957/2.93/1000</f>
        <v>0.74402730375426618</v>
      </c>
      <c r="BB957" s="15">
        <f>AZ957*0.6</f>
        <v>1308</v>
      </c>
      <c r="BP957" s="16"/>
      <c r="BQ957" s="16"/>
      <c r="BR957" s="16"/>
      <c r="BU957" s="16"/>
      <c r="DW957" s="15" t="s">
        <v>2151</v>
      </c>
      <c r="DX957" s="15">
        <v>2100</v>
      </c>
      <c r="DY957" s="15">
        <v>2100</v>
      </c>
      <c r="DZ957" s="15" t="s">
        <v>766</v>
      </c>
      <c r="ES957" s="15">
        <f>DY957</f>
        <v>2100</v>
      </c>
      <c r="ET957" s="15">
        <f>ES957/2.25/1000</f>
        <v>0.93333333333333335</v>
      </c>
      <c r="EU957" s="15">
        <f>ES957*0.55</f>
        <v>1155</v>
      </c>
      <c r="EW957" s="46">
        <f>AX957+BT957+CF957+DE957+DY957</f>
        <v>4280</v>
      </c>
      <c r="EX957" s="46">
        <f>BA957+BZ957+CZ957+DT957+ET957</f>
        <v>1.6773606370875995</v>
      </c>
      <c r="EY957" s="46">
        <f>BB957+CA957+DA957+DU957+EU957</f>
        <v>2463</v>
      </c>
      <c r="EZ957" s="16">
        <v>1.79</v>
      </c>
      <c r="FA957" s="15">
        <f>EZ957*0.05</f>
        <v>8.950000000000001E-2</v>
      </c>
      <c r="FB957" s="15">
        <f>FA957*SQRT(AR957)</f>
        <v>0.17900000000000002</v>
      </c>
      <c r="FC957" s="16">
        <v>1.56</v>
      </c>
      <c r="FD957" s="15">
        <f>FC957*0.05</f>
        <v>7.8000000000000014E-2</v>
      </c>
      <c r="FE957" s="15">
        <f>FD957*SQRT(AR957)</f>
        <v>0.15600000000000003</v>
      </c>
      <c r="FF957" s="15">
        <f>FC957/EZ957</f>
        <v>0.87150837988826813</v>
      </c>
      <c r="FG957" s="15">
        <f>FC957-EZ957</f>
        <v>-0.22999999999999998</v>
      </c>
      <c r="FH957" s="15">
        <f>LN(FC957)-LN(EZ957)</f>
        <v>-0.13752979859121794</v>
      </c>
      <c r="FI957" s="15">
        <f>((FE957*FE957)/(AR957*FC957*FC957)+(FB957*FB957)/(AR957*EZ957*EZ957))</f>
        <v>5.000000000000001E-3</v>
      </c>
      <c r="FJ957" s="16"/>
      <c r="FK957" s="16">
        <f>FM957+0.77</f>
        <v>4.4700000000000006</v>
      </c>
      <c r="FL957" s="16">
        <f>FP957+0.77</f>
        <v>5.8699999999999992</v>
      </c>
      <c r="FM957" s="15">
        <v>3.7</v>
      </c>
      <c r="FN957" s="15">
        <f>FM957*0.05</f>
        <v>0.18500000000000003</v>
      </c>
      <c r="FO957" s="15">
        <f>FN957*SQRT(AR957)</f>
        <v>0.37000000000000005</v>
      </c>
      <c r="FP957" s="15">
        <v>5.0999999999999996</v>
      </c>
      <c r="FQ957" s="15">
        <f>FP957*0.05</f>
        <v>0.255</v>
      </c>
      <c r="FR957" s="15">
        <f>FQ957*SQRT(AR957)</f>
        <v>0.51</v>
      </c>
      <c r="FS957" s="15">
        <f t="shared" si="837"/>
        <v>1.3783783783783783</v>
      </c>
      <c r="FT957" s="15">
        <f t="shared" si="838"/>
        <v>1.3999999999999995</v>
      </c>
      <c r="FU957" s="15">
        <f t="shared" si="839"/>
        <v>0.32090772008010116</v>
      </c>
      <c r="FV957" s="15">
        <f>((FR957*FR957)/(AR957*FP957*FP957)+(FO957*FO957)/(AR957*FM957*FM957))</f>
        <v>5.000000000000001E-3</v>
      </c>
      <c r="HE957" s="15">
        <v>2001.5</v>
      </c>
      <c r="HF957" s="15">
        <f>HE957*0.05</f>
        <v>100.075</v>
      </c>
      <c r="HG957" s="15">
        <f>HF957*SQRT(AR957)</f>
        <v>200.15</v>
      </c>
      <c r="HH957" s="15">
        <v>5064.1000000000004</v>
      </c>
      <c r="HI957" s="15">
        <f>HH957*0.05</f>
        <v>253.20500000000004</v>
      </c>
      <c r="HJ957" s="15">
        <f>HI957*SQRT(AR957)</f>
        <v>506.41000000000008</v>
      </c>
      <c r="HK957" s="15">
        <f t="shared" si="862"/>
        <v>2.5301523857107173</v>
      </c>
      <c r="HL957" s="15">
        <f t="shared" si="863"/>
        <v>3062.6000000000004</v>
      </c>
      <c r="HM957" s="15">
        <f t="shared" si="864"/>
        <v>0.92827953243179628</v>
      </c>
      <c r="HN957" s="15">
        <f>((HJ957*HJ957)/(AR957*HH957*HH957)+(HG957*HG957)/(AR957*HE957*HE957))</f>
        <v>5.000000000000001E-3</v>
      </c>
      <c r="HP957" s="15" t="s">
        <v>766</v>
      </c>
      <c r="HV957" s="15">
        <f t="shared" si="865"/>
        <v>26.532956011081332</v>
      </c>
      <c r="HW957" s="15">
        <f t="shared" si="866"/>
        <v>0.92827953243179628</v>
      </c>
      <c r="HX957" s="15">
        <f>EY957</f>
        <v>2463</v>
      </c>
      <c r="HY957" s="15">
        <f>EW957</f>
        <v>4280</v>
      </c>
      <c r="HZ957" s="15">
        <f>EX957</f>
        <v>1.6773606370875995</v>
      </c>
      <c r="IA957" s="15">
        <f>EY957</f>
        <v>2463</v>
      </c>
    </row>
    <row r="958" spans="1:235" s="15" customFormat="1" x14ac:dyDescent="0.25">
      <c r="A958" s="31">
        <v>956</v>
      </c>
      <c r="B958" s="1">
        <v>159</v>
      </c>
      <c r="C958" s="1">
        <v>182</v>
      </c>
      <c r="D958" s="15" t="s">
        <v>2152</v>
      </c>
      <c r="E958" s="31">
        <v>4</v>
      </c>
      <c r="F958" s="15" t="s">
        <v>879</v>
      </c>
      <c r="G958" s="15" t="s">
        <v>2436</v>
      </c>
      <c r="H958" s="15" t="s">
        <v>812</v>
      </c>
      <c r="I958" s="1">
        <v>2020</v>
      </c>
      <c r="J958" s="15" t="s">
        <v>1585</v>
      </c>
      <c r="K958" s="1">
        <v>2018</v>
      </c>
      <c r="L958" s="15" t="s">
        <v>2437</v>
      </c>
      <c r="M958" s="15" t="s">
        <v>480</v>
      </c>
      <c r="N958" s="15" t="s">
        <v>23</v>
      </c>
      <c r="O958" s="31">
        <v>3</v>
      </c>
      <c r="P958" s="15">
        <v>44.55</v>
      </c>
      <c r="Q958" s="15">
        <v>86</v>
      </c>
      <c r="R958" s="15">
        <v>442</v>
      </c>
      <c r="S958" s="15">
        <v>211</v>
      </c>
      <c r="T958" s="15">
        <v>7</v>
      </c>
      <c r="U958" s="15" t="s">
        <v>807</v>
      </c>
      <c r="V958" s="31">
        <v>2</v>
      </c>
      <c r="W958" s="16" t="s">
        <v>1219</v>
      </c>
      <c r="X958" s="15" t="s">
        <v>1433</v>
      </c>
      <c r="Y958" s="1">
        <v>10</v>
      </c>
      <c r="AC958" s="1"/>
      <c r="AD958" s="15">
        <v>28.57</v>
      </c>
      <c r="AM958" s="1">
        <v>1</v>
      </c>
      <c r="AN958" s="15">
        <v>1.3</v>
      </c>
      <c r="AP958" s="15" t="s">
        <v>2438</v>
      </c>
      <c r="AQ958" s="1">
        <v>5</v>
      </c>
      <c r="AR958" s="1">
        <v>3</v>
      </c>
      <c r="BG958" s="15" t="s">
        <v>1045</v>
      </c>
      <c r="BI958" s="15">
        <f t="shared" ref="BI958:BI963" si="867">235/1.74</f>
        <v>135.05747126436782</v>
      </c>
      <c r="BJ958" s="15">
        <v>17.8</v>
      </c>
      <c r="BK958" s="15">
        <v>13.7</v>
      </c>
      <c r="BL958" s="15">
        <v>21.8</v>
      </c>
      <c r="BP958" s="16"/>
      <c r="BQ958" s="16"/>
      <c r="BR958" s="16"/>
      <c r="BS958" s="15">
        <v>3</v>
      </c>
      <c r="BT958" s="15">
        <f t="shared" ref="BT958:BT963" si="868">BS958*10*2250</f>
        <v>67500</v>
      </c>
      <c r="BU958" s="16" t="s">
        <v>766</v>
      </c>
      <c r="BY958" s="15">
        <f t="shared" ref="BY958:BY963" si="869">BT958</f>
        <v>67500</v>
      </c>
      <c r="BZ958" s="15">
        <f t="shared" ref="BZ958:BZ963" si="870">BY958/1.1/1000</f>
        <v>61.36363636363636</v>
      </c>
      <c r="CA958" s="15">
        <f t="shared" ref="CA958:CA963" si="871">BY958*2</f>
        <v>135000</v>
      </c>
      <c r="EZ958" s="16"/>
      <c r="FA958" s="16"/>
      <c r="FB958" s="16"/>
      <c r="FC958" s="16"/>
      <c r="FD958" s="16"/>
      <c r="FE958" s="16"/>
      <c r="FF958" s="16"/>
      <c r="FG958" s="16"/>
      <c r="FH958" s="16"/>
      <c r="FI958" s="16"/>
      <c r="FJ958" s="16"/>
      <c r="FK958" s="16"/>
      <c r="FL958" s="16"/>
      <c r="FX958" s="15">
        <v>38.28</v>
      </c>
      <c r="FY958" s="15">
        <f t="shared" ref="FY958:FY963" si="872">FX958*0.05</f>
        <v>1.9140000000000001</v>
      </c>
      <c r="FZ958" s="15">
        <f>FY958*SQRT(AR958)</f>
        <v>3.3151452456868311</v>
      </c>
      <c r="GA958" s="15">
        <v>54.09</v>
      </c>
      <c r="GB958" s="15">
        <f t="shared" ref="GB958:GB963" si="873">GA958*0.05</f>
        <v>2.7045000000000003</v>
      </c>
      <c r="GC958" s="15">
        <f>GB958*SQRT(AR958)</f>
        <v>4.6843314090700288</v>
      </c>
      <c r="GD958" s="15">
        <f t="shared" ref="GD958:GD973" si="874">GA958/FX958</f>
        <v>1.4130094043887147</v>
      </c>
      <c r="GE958" s="15">
        <f t="shared" ref="GE958:GE973" si="875">GA958-FX958</f>
        <v>15.810000000000002</v>
      </c>
      <c r="GF958" s="15">
        <f t="shared" ref="GF958:GF973" si="876">LN(GA958)-LN(FX958)</f>
        <v>0.3457217592985824</v>
      </c>
      <c r="GG958" s="15">
        <f>((GC958*GC958)/(AR958*GA958*GA958)+(FZ958*FZ958)/(AR958*FX958*FX958))</f>
        <v>5.0000000000000001E-3</v>
      </c>
      <c r="HE958" s="15">
        <v>161.9</v>
      </c>
      <c r="HF958" s="15">
        <v>4</v>
      </c>
      <c r="HG958" s="15">
        <f>HF958*SQRT(AR958)</f>
        <v>6.9282032302755088</v>
      </c>
      <c r="HH958" s="15">
        <v>189.3</v>
      </c>
      <c r="HI958" s="15">
        <v>5</v>
      </c>
      <c r="HJ958" s="15">
        <f>HI958*SQRT(AR958)</f>
        <v>8.6602540378443855</v>
      </c>
      <c r="HK958" s="15">
        <f t="shared" si="862"/>
        <v>1.1692402717726993</v>
      </c>
      <c r="HL958" s="15">
        <f t="shared" si="863"/>
        <v>27.400000000000006</v>
      </c>
      <c r="HM958" s="15">
        <f t="shared" si="864"/>
        <v>0.15635419753168733</v>
      </c>
      <c r="HN958" s="15">
        <f>((HJ958*HJ958)/(AR958*HH958*HH958)+(HG958*HG958)/(AR958*HE958*HE958))</f>
        <v>1.3080684282143129E-3</v>
      </c>
      <c r="HP958" s="15" t="s">
        <v>1186</v>
      </c>
      <c r="HV958" s="15">
        <f t="shared" si="865"/>
        <v>8634.2421330032012</v>
      </c>
      <c r="HW958" s="15">
        <f t="shared" si="866"/>
        <v>0.15635419753168733</v>
      </c>
      <c r="HX958" s="15">
        <f>CA958</f>
        <v>135000</v>
      </c>
      <c r="HY958" s="15">
        <f>BY958</f>
        <v>67500</v>
      </c>
      <c r="HZ958" s="15">
        <f>BZ958</f>
        <v>61.36363636363636</v>
      </c>
      <c r="IA958" s="15">
        <f>CA958</f>
        <v>135000</v>
      </c>
    </row>
    <row r="959" spans="1:235" s="15" customFormat="1" x14ac:dyDescent="0.25">
      <c r="A959" s="31">
        <v>957</v>
      </c>
      <c r="B959" s="1">
        <v>159</v>
      </c>
      <c r="C959" s="1">
        <v>182</v>
      </c>
      <c r="D959" s="15" t="s">
        <v>2153</v>
      </c>
      <c r="E959" s="31">
        <v>4</v>
      </c>
      <c r="F959" s="15" t="s">
        <v>879</v>
      </c>
      <c r="G959" s="15" t="s">
        <v>2436</v>
      </c>
      <c r="H959" s="15" t="s">
        <v>812</v>
      </c>
      <c r="I959" s="1">
        <v>2020</v>
      </c>
      <c r="J959" s="15" t="s">
        <v>1585</v>
      </c>
      <c r="K959" s="1">
        <v>2018</v>
      </c>
      <c r="L959" s="15" t="s">
        <v>2437</v>
      </c>
      <c r="M959" s="15" t="s">
        <v>480</v>
      </c>
      <c r="N959" s="15" t="s">
        <v>23</v>
      </c>
      <c r="O959" s="31">
        <v>3</v>
      </c>
      <c r="P959" s="15">
        <v>44.55</v>
      </c>
      <c r="Q959" s="15">
        <v>86</v>
      </c>
      <c r="R959" s="15">
        <v>442</v>
      </c>
      <c r="S959" s="15">
        <v>211</v>
      </c>
      <c r="T959" s="15">
        <v>7</v>
      </c>
      <c r="U959" s="15" t="s">
        <v>807</v>
      </c>
      <c r="V959" s="31">
        <v>2</v>
      </c>
      <c r="W959" s="16" t="s">
        <v>1219</v>
      </c>
      <c r="X959" s="15" t="s">
        <v>1433</v>
      </c>
      <c r="Y959" s="1">
        <v>10</v>
      </c>
      <c r="AC959" s="1"/>
      <c r="AD959" s="15">
        <v>28.57</v>
      </c>
      <c r="AM959" s="1">
        <v>1</v>
      </c>
      <c r="AN959" s="15">
        <v>1.3</v>
      </c>
      <c r="AP959" s="15" t="s">
        <v>2438</v>
      </c>
      <c r="AQ959" s="1">
        <v>5</v>
      </c>
      <c r="AR959" s="1">
        <v>3</v>
      </c>
      <c r="BG959" s="15" t="s">
        <v>1045</v>
      </c>
      <c r="BI959" s="15">
        <f t="shared" si="867"/>
        <v>135.05747126436782</v>
      </c>
      <c r="BJ959" s="15">
        <v>17.8</v>
      </c>
      <c r="BK959" s="15">
        <v>13.7</v>
      </c>
      <c r="BL959" s="15">
        <v>21.8</v>
      </c>
      <c r="BP959" s="16"/>
      <c r="BQ959" s="16"/>
      <c r="BR959" s="16"/>
      <c r="BS959" s="15">
        <v>6</v>
      </c>
      <c r="BT959" s="15">
        <f t="shared" si="868"/>
        <v>135000</v>
      </c>
      <c r="BU959" s="16" t="s">
        <v>766</v>
      </c>
      <c r="BY959" s="15">
        <f t="shared" si="869"/>
        <v>135000</v>
      </c>
      <c r="BZ959" s="15">
        <f t="shared" si="870"/>
        <v>122.72727272727272</v>
      </c>
      <c r="CA959" s="15">
        <f t="shared" si="871"/>
        <v>270000</v>
      </c>
      <c r="EZ959" s="16"/>
      <c r="FA959" s="16"/>
      <c r="FB959" s="16"/>
      <c r="FC959" s="16"/>
      <c r="FD959" s="16"/>
      <c r="FE959" s="16"/>
      <c r="FF959" s="16"/>
      <c r="FG959" s="16"/>
      <c r="FH959" s="16"/>
      <c r="FI959" s="16"/>
      <c r="FJ959" s="16"/>
      <c r="FK959" s="16"/>
      <c r="FL959" s="16"/>
      <c r="FX959" s="15">
        <v>38.28</v>
      </c>
      <c r="FY959" s="15">
        <f t="shared" si="872"/>
        <v>1.9140000000000001</v>
      </c>
      <c r="FZ959" s="15">
        <f>FY959*SQRT(AR959)</f>
        <v>3.3151452456868311</v>
      </c>
      <c r="GA959" s="15">
        <v>58.74</v>
      </c>
      <c r="GB959" s="15">
        <f t="shared" si="873"/>
        <v>2.9370000000000003</v>
      </c>
      <c r="GC959" s="15">
        <f>GB959*SQRT(AR959)</f>
        <v>5.0870332218297927</v>
      </c>
      <c r="GD959" s="15">
        <f t="shared" si="874"/>
        <v>1.5344827586206897</v>
      </c>
      <c r="GE959" s="15">
        <f t="shared" si="875"/>
        <v>20.46</v>
      </c>
      <c r="GF959" s="15">
        <f t="shared" si="876"/>
        <v>0.42819335918572055</v>
      </c>
      <c r="GG959" s="15">
        <f>((GC959*GC959)/(AR959*GA959*GA959)+(FZ959*FZ959)/(AR959*FX959*FX959))</f>
        <v>5.0000000000000001E-3</v>
      </c>
      <c r="HE959" s="15">
        <v>161.9</v>
      </c>
      <c r="HF959" s="15">
        <v>4</v>
      </c>
      <c r="HG959" s="15">
        <f>HF959*SQRT(AR959)</f>
        <v>6.9282032302755088</v>
      </c>
      <c r="HH959" s="15">
        <v>241.6</v>
      </c>
      <c r="HI959" s="15">
        <v>5</v>
      </c>
      <c r="HJ959" s="15">
        <f>HI959*SQRT(AR959)</f>
        <v>8.6602540378443855</v>
      </c>
      <c r="HK959" s="15">
        <f t="shared" si="862"/>
        <v>1.4922791846819023</v>
      </c>
      <c r="HL959" s="15">
        <f t="shared" si="863"/>
        <v>79.699999999999989</v>
      </c>
      <c r="HM959" s="15">
        <f t="shared" si="864"/>
        <v>0.40030460537707047</v>
      </c>
      <c r="HN959" s="15">
        <f>((HJ959*HJ959)/(AR959*HH959*HH959)+(HG959*HG959)/(AR959*HE959*HE959))</f>
        <v>1.0387146301244689E-3</v>
      </c>
      <c r="HP959" s="15" t="s">
        <v>1186</v>
      </c>
      <c r="HV959" s="15">
        <f t="shared" si="865"/>
        <v>6744.8636956267619</v>
      </c>
      <c r="HW959" s="15">
        <f t="shared" si="866"/>
        <v>0.40030460537707047</v>
      </c>
      <c r="HX959" s="15">
        <f>CA959</f>
        <v>270000</v>
      </c>
      <c r="HY959" s="15">
        <f>BY959</f>
        <v>135000</v>
      </c>
      <c r="HZ959" s="15">
        <f>BZ959</f>
        <v>122.72727272727272</v>
      </c>
      <c r="IA959" s="15">
        <f>CA959</f>
        <v>270000</v>
      </c>
    </row>
    <row r="960" spans="1:235" s="15" customFormat="1" x14ac:dyDescent="0.25">
      <c r="A960" s="31">
        <v>958</v>
      </c>
      <c r="B960" s="1">
        <v>159</v>
      </c>
      <c r="C960" s="1">
        <v>182</v>
      </c>
      <c r="D960" s="15" t="s">
        <v>2154</v>
      </c>
      <c r="E960" s="1">
        <v>6</v>
      </c>
      <c r="F960" s="15" t="s">
        <v>2439</v>
      </c>
      <c r="G960" s="15" t="s">
        <v>2436</v>
      </c>
      <c r="H960" s="15" t="s">
        <v>812</v>
      </c>
      <c r="I960" s="1">
        <v>2020</v>
      </c>
      <c r="J960" s="15" t="s">
        <v>1585</v>
      </c>
      <c r="K960" s="1">
        <v>2018</v>
      </c>
      <c r="L960" s="15" t="s">
        <v>2437</v>
      </c>
      <c r="M960" s="15" t="s">
        <v>480</v>
      </c>
      <c r="N960" s="15" t="s">
        <v>23</v>
      </c>
      <c r="O960" s="31">
        <v>3</v>
      </c>
      <c r="P960" s="15">
        <v>44.55</v>
      </c>
      <c r="Q960" s="15">
        <v>86</v>
      </c>
      <c r="R960" s="15">
        <v>442</v>
      </c>
      <c r="S960" s="15">
        <v>211</v>
      </c>
      <c r="T960" s="15">
        <v>7</v>
      </c>
      <c r="U960" s="15" t="s">
        <v>807</v>
      </c>
      <c r="V960" s="31">
        <v>2</v>
      </c>
      <c r="W960" s="16" t="s">
        <v>1219</v>
      </c>
      <c r="X960" s="15" t="s">
        <v>1433</v>
      </c>
      <c r="Y960" s="1">
        <v>10</v>
      </c>
      <c r="AC960" s="1"/>
      <c r="AD960" s="15">
        <v>28.57</v>
      </c>
      <c r="AM960" s="1">
        <v>1</v>
      </c>
      <c r="AN960" s="15">
        <v>1.3</v>
      </c>
      <c r="AP960" s="15" t="s">
        <v>2438</v>
      </c>
      <c r="AQ960" s="1">
        <v>5</v>
      </c>
      <c r="AR960" s="1">
        <v>3</v>
      </c>
      <c r="BG960" s="15" t="s">
        <v>1045</v>
      </c>
      <c r="BI960" s="15">
        <f t="shared" si="867"/>
        <v>135.05747126436782</v>
      </c>
      <c r="BJ960" s="15">
        <v>17.8</v>
      </c>
      <c r="BK960" s="15">
        <v>13.7</v>
      </c>
      <c r="BL960" s="15">
        <v>21.8</v>
      </c>
      <c r="BP960" s="16"/>
      <c r="BQ960" s="16"/>
      <c r="BR960" s="16"/>
      <c r="BS960" s="15">
        <v>3</v>
      </c>
      <c r="BT960" s="15">
        <f t="shared" si="868"/>
        <v>67500</v>
      </c>
      <c r="BU960" s="16" t="s">
        <v>766</v>
      </c>
      <c r="BY960" s="15">
        <f t="shared" si="869"/>
        <v>67500</v>
      </c>
      <c r="BZ960" s="15">
        <f t="shared" si="870"/>
        <v>61.36363636363636</v>
      </c>
      <c r="CA960" s="15">
        <f t="shared" si="871"/>
        <v>135000</v>
      </c>
      <c r="CC960" s="15" t="s">
        <v>2440</v>
      </c>
      <c r="CE960" s="15">
        <v>1</v>
      </c>
      <c r="CF960" s="15">
        <f t="shared" ref="CF960:CF973" si="877">CE960*10*2250</f>
        <v>22500</v>
      </c>
      <c r="CG960" s="15" t="s">
        <v>766</v>
      </c>
      <c r="CH960" s="15">
        <v>10.039999999999999</v>
      </c>
      <c r="CI960" s="15">
        <v>450</v>
      </c>
      <c r="CK960" s="15">
        <v>625</v>
      </c>
      <c r="CL960" s="15">
        <v>0.89</v>
      </c>
      <c r="CM960" s="15">
        <v>6.9</v>
      </c>
      <c r="CO960" s="15">
        <v>23.7</v>
      </c>
      <c r="CY960" s="25">
        <f t="shared" ref="CY960:CY982" si="878">CF960</f>
        <v>22500</v>
      </c>
      <c r="CZ960" s="25">
        <f t="shared" ref="CZ960:CZ982" si="879">CY960/0.78/1000</f>
        <v>28.846153846153843</v>
      </c>
      <c r="DA960" s="25">
        <f t="shared" ref="DA960:DA982" si="880">CY960*3</f>
        <v>67500</v>
      </c>
      <c r="EW960" s="46">
        <f>AX960+BT960+CF960+DE960+DY960</f>
        <v>90000</v>
      </c>
      <c r="EX960" s="46">
        <f>BA960+BZ960+CZ960+DT960+ET960</f>
        <v>90.209790209790199</v>
      </c>
      <c r="EY960" s="46">
        <f>BB960+CA960+DA960+DU960+EU960</f>
        <v>202500</v>
      </c>
      <c r="EZ960" s="16"/>
      <c r="FA960" s="16"/>
      <c r="FB960" s="16"/>
      <c r="FC960" s="16"/>
      <c r="FD960" s="16"/>
      <c r="FE960" s="16"/>
      <c r="FF960" s="16"/>
      <c r="FG960" s="16"/>
      <c r="FH960" s="16"/>
      <c r="FI960" s="16"/>
      <c r="FJ960" s="16"/>
      <c r="FK960" s="16"/>
      <c r="FL960" s="16"/>
      <c r="FX960" s="15">
        <v>38.28</v>
      </c>
      <c r="FY960" s="15">
        <f t="shared" si="872"/>
        <v>1.9140000000000001</v>
      </c>
      <c r="FZ960" s="15">
        <f>FY960*SQRT(AR960)</f>
        <v>3.3151452456868311</v>
      </c>
      <c r="GA960" s="15">
        <v>57.07</v>
      </c>
      <c r="GB960" s="15">
        <f t="shared" si="873"/>
        <v>2.8535000000000004</v>
      </c>
      <c r="GC960" s="15">
        <f>GB960*SQRT(AR960)</f>
        <v>4.9424069793977914</v>
      </c>
      <c r="GD960" s="15">
        <f t="shared" si="874"/>
        <v>1.4908568443051202</v>
      </c>
      <c r="GE960" s="15">
        <f t="shared" si="875"/>
        <v>18.79</v>
      </c>
      <c r="GF960" s="15">
        <f t="shared" si="876"/>
        <v>0.39935101796386352</v>
      </c>
      <c r="GG960" s="15">
        <f>((GC960*GC960)/(AR960*GA960*GA960)+(FZ960*FZ960)/(AR960*FX960*FX960))</f>
        <v>5.0000000000000001E-3</v>
      </c>
      <c r="HE960" s="15">
        <v>161.9</v>
      </c>
      <c r="HF960" s="15">
        <v>4</v>
      </c>
      <c r="HG960" s="15">
        <f>HF960*SQRT(AR960)</f>
        <v>6.9282032302755088</v>
      </c>
      <c r="HH960" s="15">
        <v>270</v>
      </c>
      <c r="HI960" s="15">
        <v>5</v>
      </c>
      <c r="HJ960" s="15">
        <f>HI960*SQRT(AR960)</f>
        <v>8.6602540378443855</v>
      </c>
      <c r="HK960" s="15">
        <f t="shared" si="862"/>
        <v>1.6676961087090796</v>
      </c>
      <c r="HL960" s="15">
        <f t="shared" si="863"/>
        <v>108.1</v>
      </c>
      <c r="HM960" s="15">
        <f t="shared" si="864"/>
        <v>0.51144309831478552</v>
      </c>
      <c r="HN960" s="15">
        <f>((HJ960*HJ960)/(AR960*HH960*HH960)+(HG960*HG960)/(AR960*HE960*HE960))</f>
        <v>9.5335205728469801E-4</v>
      </c>
      <c r="HP960" s="15" t="s">
        <v>1186</v>
      </c>
      <c r="HV960" s="15">
        <f t="shared" si="865"/>
        <v>3959.3847422565923</v>
      </c>
      <c r="HW960" s="15">
        <f t="shared" si="866"/>
        <v>0.51144309831478552</v>
      </c>
      <c r="HX960" s="15">
        <f>EY960</f>
        <v>202500</v>
      </c>
      <c r="HY960" s="15">
        <f t="shared" ref="HY960:IA963" si="881">EW960</f>
        <v>90000</v>
      </c>
      <c r="HZ960" s="15">
        <f t="shared" si="881"/>
        <v>90.209790209790199</v>
      </c>
      <c r="IA960" s="15">
        <f t="shared" si="881"/>
        <v>202500</v>
      </c>
    </row>
    <row r="961" spans="1:235" s="15" customFormat="1" x14ac:dyDescent="0.25">
      <c r="A961" s="31">
        <v>959</v>
      </c>
      <c r="B961" s="1">
        <v>159</v>
      </c>
      <c r="C961" s="1">
        <v>182</v>
      </c>
      <c r="D961" s="15" t="s">
        <v>2155</v>
      </c>
      <c r="E961" s="1">
        <v>6</v>
      </c>
      <c r="F961" s="15" t="s">
        <v>2439</v>
      </c>
      <c r="G961" s="15" t="s">
        <v>2436</v>
      </c>
      <c r="H961" s="15" t="s">
        <v>812</v>
      </c>
      <c r="I961" s="1">
        <v>2020</v>
      </c>
      <c r="J961" s="15" t="s">
        <v>1585</v>
      </c>
      <c r="K961" s="1">
        <v>2018</v>
      </c>
      <c r="L961" s="15" t="s">
        <v>2437</v>
      </c>
      <c r="M961" s="15" t="s">
        <v>480</v>
      </c>
      <c r="N961" s="15" t="s">
        <v>23</v>
      </c>
      <c r="O961" s="31">
        <v>3</v>
      </c>
      <c r="P961" s="15">
        <v>44.55</v>
      </c>
      <c r="Q961" s="15">
        <v>86</v>
      </c>
      <c r="R961" s="15">
        <v>442</v>
      </c>
      <c r="S961" s="15">
        <v>211</v>
      </c>
      <c r="T961" s="15">
        <v>7</v>
      </c>
      <c r="U961" s="15" t="s">
        <v>807</v>
      </c>
      <c r="V961" s="31">
        <v>2</v>
      </c>
      <c r="W961" s="16" t="s">
        <v>1219</v>
      </c>
      <c r="X961" s="15" t="s">
        <v>1433</v>
      </c>
      <c r="Y961" s="1">
        <v>10</v>
      </c>
      <c r="AC961" s="1"/>
      <c r="AD961" s="15">
        <v>28.57</v>
      </c>
      <c r="AM961" s="1">
        <v>1</v>
      </c>
      <c r="AN961" s="15">
        <v>1.3</v>
      </c>
      <c r="AP961" s="15" t="s">
        <v>2438</v>
      </c>
      <c r="AQ961" s="1">
        <v>5</v>
      </c>
      <c r="AR961" s="1">
        <v>3</v>
      </c>
      <c r="BG961" s="15" t="s">
        <v>1045</v>
      </c>
      <c r="BI961" s="15">
        <f t="shared" si="867"/>
        <v>135.05747126436782</v>
      </c>
      <c r="BJ961" s="15">
        <v>17.8</v>
      </c>
      <c r="BK961" s="15">
        <v>13.7</v>
      </c>
      <c r="BL961" s="15">
        <v>21.8</v>
      </c>
      <c r="BP961" s="16"/>
      <c r="BQ961" s="16"/>
      <c r="BR961" s="16"/>
      <c r="BS961" s="15">
        <v>6</v>
      </c>
      <c r="BT961" s="15">
        <f t="shared" si="868"/>
        <v>135000</v>
      </c>
      <c r="BU961" s="16" t="s">
        <v>766</v>
      </c>
      <c r="BY961" s="15">
        <f t="shared" si="869"/>
        <v>135000</v>
      </c>
      <c r="BZ961" s="15">
        <f t="shared" si="870"/>
        <v>122.72727272727272</v>
      </c>
      <c r="CA961" s="15">
        <f t="shared" si="871"/>
        <v>270000</v>
      </c>
      <c r="CC961" s="15" t="s">
        <v>2440</v>
      </c>
      <c r="CE961" s="15">
        <v>3</v>
      </c>
      <c r="CF961" s="15">
        <f t="shared" si="877"/>
        <v>67500</v>
      </c>
      <c r="CG961" s="15" t="s">
        <v>766</v>
      </c>
      <c r="CH961" s="15">
        <v>10.039999999999999</v>
      </c>
      <c r="CI961" s="15">
        <v>450</v>
      </c>
      <c r="CK961" s="15">
        <v>625</v>
      </c>
      <c r="CL961" s="15">
        <v>0.89</v>
      </c>
      <c r="CM961" s="15">
        <v>6.9</v>
      </c>
      <c r="CO961" s="15">
        <v>23.7</v>
      </c>
      <c r="CY961" s="25">
        <f t="shared" si="878"/>
        <v>67500</v>
      </c>
      <c r="CZ961" s="25">
        <f t="shared" si="879"/>
        <v>86.538461538461533</v>
      </c>
      <c r="DA961" s="25">
        <f t="shared" si="880"/>
        <v>202500</v>
      </c>
      <c r="EW961" s="46">
        <f>AX961+BT961+CF961+DE961+DY961</f>
        <v>202500</v>
      </c>
      <c r="EX961" s="46">
        <f>BA961+BZ961+CZ961+DT961+ET961</f>
        <v>209.26573426573424</v>
      </c>
      <c r="EY961" s="46">
        <f>BB961+CA961+DA961+DU961+EU961</f>
        <v>472500</v>
      </c>
      <c r="EZ961" s="16"/>
      <c r="FA961" s="16"/>
      <c r="FB961" s="16"/>
      <c r="FC961" s="16"/>
      <c r="FD961" s="16"/>
      <c r="FE961" s="16"/>
      <c r="FF961" s="16"/>
      <c r="FG961" s="16"/>
      <c r="FH961" s="16"/>
      <c r="FI961" s="16"/>
      <c r="FJ961" s="16"/>
      <c r="FK961" s="16"/>
      <c r="FL961" s="16"/>
      <c r="FX961" s="15">
        <v>38.28</v>
      </c>
      <c r="FY961" s="15">
        <f t="shared" si="872"/>
        <v>1.9140000000000001</v>
      </c>
      <c r="FZ961" s="15">
        <f>FY961*SQRT(AR961)</f>
        <v>3.3151452456868311</v>
      </c>
      <c r="GA961" s="15">
        <v>62.3</v>
      </c>
      <c r="GB961" s="15">
        <f t="shared" si="873"/>
        <v>3.1150000000000002</v>
      </c>
      <c r="GC961" s="15">
        <f>GB961*SQRT(AR961)</f>
        <v>5.3953382655770525</v>
      </c>
      <c r="GD961" s="15">
        <f t="shared" si="874"/>
        <v>1.6274817136886102</v>
      </c>
      <c r="GE961" s="15">
        <f t="shared" si="875"/>
        <v>24.019999999999996</v>
      </c>
      <c r="GF961" s="15">
        <f t="shared" si="876"/>
        <v>0.48703385920865383</v>
      </c>
      <c r="GG961" s="15">
        <f>((GC961*GC961)/(AR961*GA961*GA961)+(FZ961*FZ961)/(AR961*FX961*FX961))</f>
        <v>5.0000000000000001E-3</v>
      </c>
      <c r="HE961" s="15">
        <v>161.9</v>
      </c>
      <c r="HF961" s="15">
        <v>4</v>
      </c>
      <c r="HG961" s="15">
        <f>HF961*SQRT(AR961)</f>
        <v>6.9282032302755088</v>
      </c>
      <c r="HH961" s="15">
        <v>290</v>
      </c>
      <c r="HI961" s="15">
        <v>5</v>
      </c>
      <c r="HJ961" s="15">
        <f>HI961*SQRT(AR961)</f>
        <v>8.6602540378443855</v>
      </c>
      <c r="HK961" s="15">
        <f t="shared" si="862"/>
        <v>1.7912291537986411</v>
      </c>
      <c r="HL961" s="15">
        <f t="shared" si="863"/>
        <v>128.1</v>
      </c>
      <c r="HM961" s="15">
        <f t="shared" si="864"/>
        <v>0.58290206229693009</v>
      </c>
      <c r="HN961" s="15">
        <f>((HJ961*HJ961)/(AR961*HH961*HH961)+(HG961*HG961)/(AR961*HE961*HE961))</f>
        <v>9.0768168968717133E-4</v>
      </c>
      <c r="HP961" s="15" t="s">
        <v>1186</v>
      </c>
      <c r="HV961" s="15">
        <f t="shared" si="865"/>
        <v>8105.9929371001035</v>
      </c>
      <c r="HW961" s="15">
        <f t="shared" si="866"/>
        <v>0.58290206229693009</v>
      </c>
      <c r="HX961" s="15">
        <f>EY961</f>
        <v>472500</v>
      </c>
      <c r="HY961" s="15">
        <f t="shared" si="881"/>
        <v>202500</v>
      </c>
      <c r="HZ961" s="15">
        <f t="shared" si="881"/>
        <v>209.26573426573424</v>
      </c>
      <c r="IA961" s="15">
        <f t="shared" si="881"/>
        <v>472500</v>
      </c>
    </row>
    <row r="962" spans="1:235" s="15" customFormat="1" x14ac:dyDescent="0.25">
      <c r="A962" s="31">
        <v>960</v>
      </c>
      <c r="B962" s="1">
        <v>159</v>
      </c>
      <c r="C962" s="1">
        <v>182</v>
      </c>
      <c r="D962" s="15" t="s">
        <v>2156</v>
      </c>
      <c r="E962" s="1">
        <v>6</v>
      </c>
      <c r="F962" s="15" t="s">
        <v>2439</v>
      </c>
      <c r="G962" s="15" t="s">
        <v>2436</v>
      </c>
      <c r="H962" s="15" t="s">
        <v>812</v>
      </c>
      <c r="I962" s="1">
        <v>2020</v>
      </c>
      <c r="J962" s="15" t="s">
        <v>1585</v>
      </c>
      <c r="K962" s="1">
        <v>2018</v>
      </c>
      <c r="L962" s="15" t="s">
        <v>2437</v>
      </c>
      <c r="M962" s="15" t="s">
        <v>480</v>
      </c>
      <c r="N962" s="15" t="s">
        <v>23</v>
      </c>
      <c r="O962" s="31">
        <v>3</v>
      </c>
      <c r="P962" s="15">
        <v>44.55</v>
      </c>
      <c r="Q962" s="15">
        <v>86</v>
      </c>
      <c r="R962" s="15">
        <v>442</v>
      </c>
      <c r="S962" s="15">
        <v>211</v>
      </c>
      <c r="T962" s="15">
        <v>7</v>
      </c>
      <c r="U962" s="15" t="s">
        <v>807</v>
      </c>
      <c r="V962" s="31">
        <v>2</v>
      </c>
      <c r="W962" s="16" t="s">
        <v>1219</v>
      </c>
      <c r="X962" s="15" t="s">
        <v>1433</v>
      </c>
      <c r="Y962" s="1">
        <v>10</v>
      </c>
      <c r="AC962" s="1"/>
      <c r="AD962" s="15">
        <v>28.57</v>
      </c>
      <c r="AM962" s="1">
        <v>1</v>
      </c>
      <c r="AN962" s="15">
        <v>1.3</v>
      </c>
      <c r="AP962" s="15" t="s">
        <v>2438</v>
      </c>
      <c r="AQ962" s="1">
        <v>5</v>
      </c>
      <c r="AR962" s="1">
        <v>3</v>
      </c>
      <c r="BG962" s="15" t="s">
        <v>1045</v>
      </c>
      <c r="BI962" s="15">
        <f t="shared" si="867"/>
        <v>135.05747126436782</v>
      </c>
      <c r="BJ962" s="15">
        <v>17.8</v>
      </c>
      <c r="BK962" s="15">
        <v>13.7</v>
      </c>
      <c r="BL962" s="15">
        <v>21.8</v>
      </c>
      <c r="BP962" s="16"/>
      <c r="BQ962" s="16"/>
      <c r="BR962" s="16"/>
      <c r="BS962" s="15">
        <v>3</v>
      </c>
      <c r="BT962" s="15">
        <f t="shared" si="868"/>
        <v>67500</v>
      </c>
      <c r="BU962" s="16" t="s">
        <v>766</v>
      </c>
      <c r="BY962" s="15">
        <f t="shared" si="869"/>
        <v>67500</v>
      </c>
      <c r="BZ962" s="15">
        <f t="shared" si="870"/>
        <v>61.36363636363636</v>
      </c>
      <c r="CA962" s="15">
        <f t="shared" si="871"/>
        <v>135000</v>
      </c>
      <c r="CC962" s="15" t="s">
        <v>2440</v>
      </c>
      <c r="CE962" s="15">
        <v>1</v>
      </c>
      <c r="CF962" s="15">
        <f t="shared" si="877"/>
        <v>22500</v>
      </c>
      <c r="CG962" s="15" t="s">
        <v>766</v>
      </c>
      <c r="CH962" s="15">
        <v>10.039999999999999</v>
      </c>
      <c r="CI962" s="15">
        <v>450</v>
      </c>
      <c r="CK962" s="15">
        <v>625</v>
      </c>
      <c r="CL962" s="15">
        <v>0.89</v>
      </c>
      <c r="CM962" s="15">
        <v>6.9</v>
      </c>
      <c r="CO962" s="15">
        <v>23.7</v>
      </c>
      <c r="CY962" s="25">
        <f t="shared" si="878"/>
        <v>22500</v>
      </c>
      <c r="CZ962" s="25">
        <f t="shared" si="879"/>
        <v>28.846153846153843</v>
      </c>
      <c r="DA962" s="25">
        <f t="shared" si="880"/>
        <v>67500</v>
      </c>
      <c r="EW962" s="46">
        <f>AX962+BT962+CF962+DE962+DY962</f>
        <v>90000</v>
      </c>
      <c r="EX962" s="46">
        <f>BA962+BZ962+CZ962+DT962+ET962</f>
        <v>90.209790209790199</v>
      </c>
      <c r="EY962" s="46">
        <f>BB962+CA962+DA962+DU962+EU962</f>
        <v>202500</v>
      </c>
      <c r="EZ962" s="16"/>
      <c r="FA962" s="16"/>
      <c r="FB962" s="16"/>
      <c r="FC962" s="16"/>
      <c r="FD962" s="16"/>
      <c r="FE962" s="16"/>
      <c r="FF962" s="16"/>
      <c r="FG962" s="16"/>
      <c r="FH962" s="16"/>
      <c r="FI962" s="16"/>
      <c r="FJ962" s="16"/>
      <c r="FK962" s="16"/>
      <c r="FL962" s="16"/>
      <c r="FX962" s="15">
        <v>38.28</v>
      </c>
      <c r="FY962" s="15">
        <f t="shared" si="872"/>
        <v>1.9140000000000001</v>
      </c>
      <c r="FZ962" s="15">
        <f>FY962*SQRT(AR962)</f>
        <v>3.3151452456868311</v>
      </c>
      <c r="GA962" s="15">
        <v>124.3</v>
      </c>
      <c r="GB962" s="15">
        <f t="shared" si="873"/>
        <v>6.2149999999999999</v>
      </c>
      <c r="GC962" s="15">
        <f>GB962*SQRT(AR962)</f>
        <v>10.764695769040571</v>
      </c>
      <c r="GD962" s="15">
        <f t="shared" si="874"/>
        <v>3.2471264367816088</v>
      </c>
      <c r="GE962" s="15">
        <f t="shared" si="875"/>
        <v>86.02</v>
      </c>
      <c r="GF962" s="15">
        <f t="shared" si="876"/>
        <v>1.1777704319319122</v>
      </c>
      <c r="GG962" s="15">
        <f>((GC962*GC962)/(AR962*GA962*GA962)+(FZ962*FZ962)/(AR962*FX962*FX962))</f>
        <v>4.9999999999999992E-3</v>
      </c>
      <c r="HE962" s="15">
        <v>161.9</v>
      </c>
      <c r="HF962" s="15">
        <v>4</v>
      </c>
      <c r="HG962" s="15">
        <f>HF962*SQRT(AR962)</f>
        <v>6.9282032302755088</v>
      </c>
      <c r="HH962" s="15">
        <v>250</v>
      </c>
      <c r="HI962" s="15">
        <v>5</v>
      </c>
      <c r="HJ962" s="15">
        <f>HI962*SQRT(AR962)</f>
        <v>8.6602540378443855</v>
      </c>
      <c r="HK962" s="15">
        <f t="shared" si="862"/>
        <v>1.5441630636195183</v>
      </c>
      <c r="HL962" s="15">
        <f t="shared" si="863"/>
        <v>88.1</v>
      </c>
      <c r="HM962" s="15">
        <f t="shared" si="864"/>
        <v>0.43448205717865651</v>
      </c>
      <c r="HN962" s="15">
        <f>((HJ962*HJ962)/(AR962*HH962*HH962)+(HG962*HG962)/(AR962*HE962*HE962))</f>
        <v>1.0104165291639846E-3</v>
      </c>
      <c r="HP962" s="15" t="s">
        <v>1186</v>
      </c>
      <c r="HV962" s="15">
        <f t="shared" si="865"/>
        <v>4660.7218101237531</v>
      </c>
      <c r="HW962" s="15">
        <f t="shared" si="866"/>
        <v>0.43448205717865651</v>
      </c>
      <c r="HX962" s="15">
        <f>EY962</f>
        <v>202500</v>
      </c>
      <c r="HY962" s="15">
        <f t="shared" si="881"/>
        <v>90000</v>
      </c>
      <c r="HZ962" s="15">
        <f t="shared" si="881"/>
        <v>90.209790209790199</v>
      </c>
      <c r="IA962" s="15">
        <f t="shared" si="881"/>
        <v>202500</v>
      </c>
    </row>
    <row r="963" spans="1:235" s="15" customFormat="1" x14ac:dyDescent="0.25">
      <c r="A963" s="31">
        <v>961</v>
      </c>
      <c r="B963" s="1">
        <v>159</v>
      </c>
      <c r="C963" s="1">
        <v>182</v>
      </c>
      <c r="D963" s="15" t="s">
        <v>2157</v>
      </c>
      <c r="E963" s="1">
        <v>6</v>
      </c>
      <c r="F963" s="15" t="s">
        <v>2439</v>
      </c>
      <c r="G963" s="15" t="s">
        <v>2436</v>
      </c>
      <c r="H963" s="15" t="s">
        <v>812</v>
      </c>
      <c r="I963" s="1">
        <v>2020</v>
      </c>
      <c r="J963" s="15" t="s">
        <v>1585</v>
      </c>
      <c r="K963" s="1">
        <v>2018</v>
      </c>
      <c r="L963" s="15" t="s">
        <v>2437</v>
      </c>
      <c r="M963" s="15" t="s">
        <v>480</v>
      </c>
      <c r="N963" s="15" t="s">
        <v>23</v>
      </c>
      <c r="O963" s="31">
        <v>3</v>
      </c>
      <c r="P963" s="15">
        <v>44.55</v>
      </c>
      <c r="Q963" s="15">
        <v>86</v>
      </c>
      <c r="R963" s="15">
        <v>442</v>
      </c>
      <c r="S963" s="15">
        <v>211</v>
      </c>
      <c r="T963" s="15">
        <v>7</v>
      </c>
      <c r="U963" s="15" t="s">
        <v>807</v>
      </c>
      <c r="V963" s="31">
        <v>2</v>
      </c>
      <c r="W963" s="16" t="s">
        <v>1219</v>
      </c>
      <c r="X963" s="15" t="s">
        <v>1433</v>
      </c>
      <c r="Y963" s="1">
        <v>10</v>
      </c>
      <c r="AC963" s="1"/>
      <c r="AD963" s="15">
        <v>28.57</v>
      </c>
      <c r="AM963" s="1">
        <v>1</v>
      </c>
      <c r="AN963" s="15">
        <v>1.3</v>
      </c>
      <c r="AP963" s="15" t="s">
        <v>2438</v>
      </c>
      <c r="AQ963" s="1">
        <v>5</v>
      </c>
      <c r="AR963" s="1">
        <v>3</v>
      </c>
      <c r="BG963" s="15" t="s">
        <v>1045</v>
      </c>
      <c r="BI963" s="15">
        <f t="shared" si="867"/>
        <v>135.05747126436782</v>
      </c>
      <c r="BJ963" s="15">
        <v>17.8</v>
      </c>
      <c r="BK963" s="15">
        <v>13.7</v>
      </c>
      <c r="BL963" s="15">
        <v>21.8</v>
      </c>
      <c r="BP963" s="16"/>
      <c r="BQ963" s="16"/>
      <c r="BR963" s="16"/>
      <c r="BS963" s="15">
        <v>6</v>
      </c>
      <c r="BT963" s="15">
        <f t="shared" si="868"/>
        <v>135000</v>
      </c>
      <c r="BU963" s="16" t="s">
        <v>766</v>
      </c>
      <c r="BY963" s="15">
        <f t="shared" si="869"/>
        <v>135000</v>
      </c>
      <c r="BZ963" s="15">
        <f t="shared" si="870"/>
        <v>122.72727272727272</v>
      </c>
      <c r="CA963" s="15">
        <f t="shared" si="871"/>
        <v>270000</v>
      </c>
      <c r="CC963" s="15" t="s">
        <v>2440</v>
      </c>
      <c r="CE963" s="15">
        <v>3</v>
      </c>
      <c r="CF963" s="15">
        <f t="shared" si="877"/>
        <v>67500</v>
      </c>
      <c r="CG963" s="15" t="s">
        <v>766</v>
      </c>
      <c r="CH963" s="15">
        <v>10.039999999999999</v>
      </c>
      <c r="CI963" s="15">
        <v>450</v>
      </c>
      <c r="CK963" s="15">
        <v>625</v>
      </c>
      <c r="CL963" s="15">
        <v>0.89</v>
      </c>
      <c r="CM963" s="15">
        <v>6.9</v>
      </c>
      <c r="CO963" s="15">
        <v>23.7</v>
      </c>
      <c r="CY963" s="25">
        <f t="shared" si="878"/>
        <v>67500</v>
      </c>
      <c r="CZ963" s="25">
        <f t="shared" si="879"/>
        <v>86.538461538461533</v>
      </c>
      <c r="DA963" s="25">
        <f t="shared" si="880"/>
        <v>202500</v>
      </c>
      <c r="EW963" s="46">
        <f>AX963+BT963+CF963+DE963+DY963</f>
        <v>202500</v>
      </c>
      <c r="EX963" s="46">
        <f>BA963+BZ963+CZ963+DT963+ET963</f>
        <v>209.26573426573424</v>
      </c>
      <c r="EY963" s="46">
        <f>BB963+CA963+DA963+DU963+EU963</f>
        <v>472500</v>
      </c>
      <c r="EZ963" s="16"/>
      <c r="FA963" s="16"/>
      <c r="FB963" s="16"/>
      <c r="FC963" s="16"/>
      <c r="FD963" s="16"/>
      <c r="FE963" s="16"/>
      <c r="FF963" s="16"/>
      <c r="FG963" s="16"/>
      <c r="FH963" s="16"/>
      <c r="FI963" s="16"/>
      <c r="FJ963" s="16"/>
      <c r="FK963" s="16"/>
      <c r="FL963" s="16"/>
      <c r="FX963" s="15">
        <v>38.28</v>
      </c>
      <c r="FY963" s="15">
        <f t="shared" si="872"/>
        <v>1.9140000000000001</v>
      </c>
      <c r="FZ963" s="15">
        <f>FY963*SQRT(AR963)</f>
        <v>3.3151452456868311</v>
      </c>
      <c r="GA963" s="15">
        <v>133.6</v>
      </c>
      <c r="GB963" s="15">
        <f t="shared" si="873"/>
        <v>6.68</v>
      </c>
      <c r="GC963" s="15">
        <f>GB963*SQRT(AR963)</f>
        <v>11.570099394560099</v>
      </c>
      <c r="GD963" s="15">
        <f t="shared" si="874"/>
        <v>3.4900731452455589</v>
      </c>
      <c r="GE963" s="15">
        <f t="shared" si="875"/>
        <v>95.32</v>
      </c>
      <c r="GF963" s="15">
        <f t="shared" si="876"/>
        <v>1.2499226945177924</v>
      </c>
      <c r="GG963" s="15">
        <f>((GC963*GC963)/(AR963*GA963*GA963)+(FZ963*FZ963)/(AR963*FX963*FX963))</f>
        <v>5.0000000000000001E-3</v>
      </c>
      <c r="HE963" s="15">
        <v>161.9</v>
      </c>
      <c r="HF963" s="15">
        <v>4</v>
      </c>
      <c r="HG963" s="15">
        <f>HF963*SQRT(AR963)</f>
        <v>6.9282032302755088</v>
      </c>
      <c r="HH963" s="15">
        <v>264</v>
      </c>
      <c r="HI963" s="15">
        <v>5</v>
      </c>
      <c r="HJ963" s="15">
        <f>HI963*SQRT(AR963)</f>
        <v>8.6602540378443855</v>
      </c>
      <c r="HK963" s="15">
        <f t="shared" si="862"/>
        <v>1.6306361951822113</v>
      </c>
      <c r="HL963" s="15">
        <f t="shared" si="863"/>
        <v>102.1</v>
      </c>
      <c r="HM963" s="15">
        <f t="shared" si="864"/>
        <v>0.48897024246272647</v>
      </c>
      <c r="HN963" s="15">
        <f>((HJ963*HJ963)/(AR963*HH963*HH963)+(HG963*HG963)/(AR963*HE963*HE963))</f>
        <v>9.6911717195553664E-4</v>
      </c>
      <c r="HP963" s="15" t="s">
        <v>1186</v>
      </c>
      <c r="HV963" s="15">
        <f t="shared" si="865"/>
        <v>9663.164727984813</v>
      </c>
      <c r="HW963" s="15">
        <f t="shared" si="866"/>
        <v>0.48897024246272647</v>
      </c>
      <c r="HX963" s="15">
        <f>EY963</f>
        <v>472500</v>
      </c>
      <c r="HY963" s="15">
        <f t="shared" si="881"/>
        <v>202500</v>
      </c>
      <c r="HZ963" s="15">
        <f t="shared" si="881"/>
        <v>209.26573426573424</v>
      </c>
      <c r="IA963" s="15">
        <f t="shared" si="881"/>
        <v>472500</v>
      </c>
    </row>
    <row r="964" spans="1:235" s="15" customFormat="1" x14ac:dyDescent="0.25">
      <c r="A964" s="31">
        <v>962</v>
      </c>
      <c r="B964" s="1">
        <v>160</v>
      </c>
      <c r="C964" s="1">
        <v>183</v>
      </c>
      <c r="D964" s="15" t="s">
        <v>2158</v>
      </c>
      <c r="E964" s="31">
        <v>2</v>
      </c>
      <c r="F964" s="15" t="s">
        <v>777</v>
      </c>
      <c r="G964" s="15" t="s">
        <v>2168</v>
      </c>
      <c r="H964" s="15" t="s">
        <v>2169</v>
      </c>
      <c r="I964" s="1">
        <v>2016</v>
      </c>
      <c r="J964" s="15" t="s">
        <v>592</v>
      </c>
      <c r="K964" s="1">
        <v>2015</v>
      </c>
      <c r="L964" s="15" t="s">
        <v>2170</v>
      </c>
      <c r="M964" s="15" t="s">
        <v>2171</v>
      </c>
      <c r="N964" s="15" t="s">
        <v>783</v>
      </c>
      <c r="O964" s="31">
        <v>2</v>
      </c>
      <c r="P964" s="15">
        <v>45.07</v>
      </c>
      <c r="Q964" s="15">
        <v>7.69</v>
      </c>
      <c r="S964" s="15">
        <v>1000</v>
      </c>
      <c r="T964" s="15">
        <v>15</v>
      </c>
      <c r="U964" s="15" t="s">
        <v>807</v>
      </c>
      <c r="V964" s="31">
        <v>2</v>
      </c>
      <c r="W964" s="16" t="s">
        <v>2172</v>
      </c>
      <c r="X964" s="15" t="s">
        <v>2173</v>
      </c>
      <c r="Y964" s="1">
        <v>8</v>
      </c>
      <c r="Z964" s="15">
        <v>6.1</v>
      </c>
      <c r="AA964" s="15" t="s">
        <v>574</v>
      </c>
      <c r="AB964" s="15">
        <f t="shared" ref="AB964:AB1027" si="882">Z964</f>
        <v>6.1</v>
      </c>
      <c r="AC964" s="1">
        <v>5</v>
      </c>
      <c r="AD964" s="15">
        <v>12</v>
      </c>
      <c r="AF964" s="15">
        <v>12.4</v>
      </c>
      <c r="AH964" s="15">
        <v>71</v>
      </c>
      <c r="AJ964" s="15">
        <v>11.7</v>
      </c>
      <c r="AK964" s="15">
        <v>71.099999999999994</v>
      </c>
      <c r="AL964" s="15">
        <v>17.2</v>
      </c>
      <c r="AM964" s="1">
        <v>2</v>
      </c>
      <c r="AP964" s="15" t="s">
        <v>2174</v>
      </c>
      <c r="AQ964" s="1">
        <v>2</v>
      </c>
      <c r="AR964" s="1">
        <v>3</v>
      </c>
      <c r="BP964" s="16"/>
      <c r="BQ964" s="16"/>
      <c r="BR964" s="16"/>
      <c r="BU964" s="16"/>
      <c r="CC964" s="15" t="s">
        <v>2176</v>
      </c>
      <c r="CE964" s="15">
        <v>2</v>
      </c>
      <c r="CF964" s="15">
        <f t="shared" si="877"/>
        <v>45000</v>
      </c>
      <c r="CG964" s="15" t="s">
        <v>766</v>
      </c>
      <c r="CH964" s="15">
        <v>11</v>
      </c>
      <c r="CI964" s="15">
        <v>1000</v>
      </c>
      <c r="CJ964" s="15">
        <v>14.8</v>
      </c>
      <c r="CK964" s="15">
        <v>893</v>
      </c>
      <c r="CL964" s="15">
        <v>2.7</v>
      </c>
      <c r="CM964" s="15">
        <v>0.92</v>
      </c>
      <c r="CO964" s="15">
        <v>2.6</v>
      </c>
      <c r="CP964" s="15">
        <v>13.6</v>
      </c>
      <c r="CQ964" s="15">
        <v>3.2</v>
      </c>
      <c r="CR964" s="15">
        <v>2.6</v>
      </c>
      <c r="CW964" s="15">
        <v>7.8</v>
      </c>
      <c r="CY964" s="25">
        <f t="shared" si="878"/>
        <v>45000</v>
      </c>
      <c r="CZ964" s="25">
        <f t="shared" si="879"/>
        <v>57.692307692307686</v>
      </c>
      <c r="DA964" s="25">
        <f t="shared" si="880"/>
        <v>135000</v>
      </c>
      <c r="EZ964" s="16"/>
      <c r="FA964" s="16"/>
      <c r="FB964" s="16"/>
      <c r="FC964" s="16"/>
      <c r="FD964" s="16"/>
      <c r="FE964" s="16"/>
      <c r="FF964" s="16"/>
      <c r="FG964" s="16"/>
      <c r="FH964" s="16"/>
      <c r="FI964" s="16"/>
      <c r="FJ964" s="16"/>
      <c r="FK964" s="16">
        <f t="shared" ref="FK964:FK973" si="883">FM964</f>
        <v>6.56</v>
      </c>
      <c r="FL964" s="16">
        <f t="shared" ref="FL964:FL973" si="884">FP964</f>
        <v>6.81</v>
      </c>
      <c r="FM964" s="15">
        <v>6.56</v>
      </c>
      <c r="FN964" s="15">
        <f t="shared" ref="FN964:FN979" si="885">FM964*0.01</f>
        <v>6.5599999999999992E-2</v>
      </c>
      <c r="FO964" s="15">
        <f>FN964*SQRT(AR964)</f>
        <v>0.11362253297651832</v>
      </c>
      <c r="FP964" s="15">
        <v>6.81</v>
      </c>
      <c r="FQ964" s="15">
        <f t="shared" ref="FQ964:FQ979" si="886">FP964*0.01</f>
        <v>6.8099999999999994E-2</v>
      </c>
      <c r="FR964" s="15">
        <f>FQ964*SQRT(AR964)</f>
        <v>0.11795265999544052</v>
      </c>
      <c r="FS964" s="15">
        <f t="shared" ref="FS964:FS984" si="887">FP964/FM964</f>
        <v>1.038109756097561</v>
      </c>
      <c r="FT964" s="15">
        <f t="shared" ref="FT964:FT984" si="888">FP964-FM964</f>
        <v>0.25</v>
      </c>
      <c r="FU964" s="15">
        <f t="shared" ref="FU964:FU984" si="889">LN(FP964)-LN(FM964)</f>
        <v>3.7401517205423396E-2</v>
      </c>
      <c r="FV964" s="15">
        <f>((FR964*FR964)/(AR964*FP964*FP964)+(FO964*FO964)/(AR964*FM964*FM964))</f>
        <v>1.9999999999999993E-4</v>
      </c>
      <c r="FX964" s="15">
        <v>22.446000000000002</v>
      </c>
      <c r="FY964" s="15">
        <f t="shared" ref="FY964:FY973" si="890">FX964*0.01</f>
        <v>0.22446000000000002</v>
      </c>
      <c r="FZ964" s="15">
        <f>FY964*SQRT(AR964)</f>
        <v>0.38877612426691022</v>
      </c>
      <c r="GA964" s="15">
        <v>47.676000000000009</v>
      </c>
      <c r="GB964" s="15">
        <f t="shared" ref="GB964:GB973" si="891">GA964*0.01</f>
        <v>0.47676000000000007</v>
      </c>
      <c r="GC964" s="15">
        <f>GB964*SQRT(AR964)</f>
        <v>0.82577254301653802</v>
      </c>
      <c r="GD964" s="15">
        <f t="shared" si="874"/>
        <v>2.1240310077519382</v>
      </c>
      <c r="GE964" s="15">
        <f t="shared" si="875"/>
        <v>25.230000000000008</v>
      </c>
      <c r="GF964" s="15">
        <f t="shared" si="876"/>
        <v>0.75331570202639808</v>
      </c>
      <c r="GG964" s="15">
        <f>((GC964*GC964)/(AR964*GA964*GA964)+(FZ964*FZ964)/(AR964*FX964*FX964))</f>
        <v>1.9999999999999998E-4</v>
      </c>
      <c r="GI964" s="15">
        <v>6.4</v>
      </c>
      <c r="GJ964" s="15">
        <f t="shared" ref="GJ964:GJ979" si="892">GI964*0.01</f>
        <v>6.4000000000000001E-2</v>
      </c>
      <c r="GK964" s="15">
        <f>GJ964*SQRT(AR964)</f>
        <v>0.11085125168440814</v>
      </c>
      <c r="GL964" s="15">
        <v>7.4</v>
      </c>
      <c r="GM964" s="15">
        <f t="shared" ref="GM964:GM979" si="893">GL964*0.01</f>
        <v>7.400000000000001E-2</v>
      </c>
      <c r="GN964" s="15">
        <f>GM964*SQRT(AR964)</f>
        <v>0.12817175976009693</v>
      </c>
      <c r="GO964" s="15">
        <f t="shared" ref="GO964:GO979" si="894">GL964/GI964</f>
        <v>1.15625</v>
      </c>
      <c r="GP964" s="15">
        <f t="shared" ref="GP964:GP979" si="895">GL964-GI964</f>
        <v>1</v>
      </c>
      <c r="GQ964" s="15">
        <f t="shared" ref="GQ964:GQ979" si="896">LN(GL964)-LN(GI964)</f>
        <v>0.14518200984449803</v>
      </c>
      <c r="GR964" s="15">
        <f>((GN964*GN964)/(AR964*GL964*GL964)+(GK964*GK964)/(AR964*GI964*GI964))</f>
        <v>1.9999999999999996E-4</v>
      </c>
      <c r="GT964" s="15">
        <v>72</v>
      </c>
      <c r="GU964" s="15">
        <f t="shared" ref="GU964:GU973" si="897">GT964*0.01</f>
        <v>0.72</v>
      </c>
      <c r="GV964" s="15">
        <f>GU964*SQRT(AR964)</f>
        <v>1.2470765814495914</v>
      </c>
      <c r="GW964" s="15">
        <v>75.005112474437624</v>
      </c>
      <c r="GX964" s="15">
        <f t="shared" ref="GX964:GX973" si="898">GW964*0.01</f>
        <v>0.7500511247443763</v>
      </c>
      <c r="GY964" s="15">
        <f>GX964*SQRT(AR964)</f>
        <v>1.2991266563314416</v>
      </c>
      <c r="GZ964" s="15">
        <f t="shared" ref="GZ964:GZ973" si="899">GW964/GT964</f>
        <v>1.0417376732560781</v>
      </c>
      <c r="HA964" s="15">
        <f t="shared" ref="HA964:HA973" si="900">GW964-GT964</f>
        <v>3.0051124744376239</v>
      </c>
      <c r="HB964" s="15">
        <f t="shared" ref="HB964:HB973" si="901">LN(GW964)-LN(GT964)</f>
        <v>4.0890158522871367E-2</v>
      </c>
      <c r="HC964" s="15">
        <f>((GY964*GY964)/(AR964*GW964*GW964)+(GV964*GV964)/(AR964*GT964*GT964))</f>
        <v>1.9999999999999996E-4</v>
      </c>
      <c r="HE964" s="15">
        <v>12.1</v>
      </c>
      <c r="HF964" s="15">
        <v>0.3</v>
      </c>
      <c r="HG964" s="15">
        <f>HF964*SQRT(AR964)</f>
        <v>0.51961524227066314</v>
      </c>
      <c r="HH964" s="15">
        <v>10.8</v>
      </c>
      <c r="HI964" s="15">
        <v>0.3</v>
      </c>
      <c r="HJ964" s="15">
        <f>HI964*SQRT(AR964)</f>
        <v>0.51961524227066314</v>
      </c>
      <c r="HK964" s="15">
        <f t="shared" si="862"/>
        <v>0.89256198347107452</v>
      </c>
      <c r="HL964" s="15">
        <f t="shared" si="863"/>
        <v>-1.2999999999999989</v>
      </c>
      <c r="HM964" s="15">
        <f t="shared" si="864"/>
        <v>-0.11365931847252142</v>
      </c>
      <c r="HN964" s="15">
        <f>((HJ964*HJ964)/(AR964*HH964*HH964)+(HG964*HG964)/(AR964*HE964*HE964))</f>
        <v>1.3863170481001681E-3</v>
      </c>
      <c r="HP964" s="15" t="s">
        <v>809</v>
      </c>
      <c r="HV964" s="15">
        <f t="shared" si="865"/>
        <v>-11877.600694274615</v>
      </c>
      <c r="HW964" s="15">
        <f t="shared" si="866"/>
        <v>-0.11365931847252142</v>
      </c>
      <c r="HX964" s="25">
        <f>DA964</f>
        <v>135000</v>
      </c>
      <c r="HY964" s="25">
        <f>CY964</f>
        <v>45000</v>
      </c>
      <c r="HZ964" s="25">
        <f>CZ964</f>
        <v>57.692307692307686</v>
      </c>
      <c r="IA964" s="25">
        <f>DA964</f>
        <v>135000</v>
      </c>
    </row>
    <row r="965" spans="1:235" s="15" customFormat="1" x14ac:dyDescent="0.25">
      <c r="A965" s="31">
        <v>963</v>
      </c>
      <c r="B965" s="1">
        <v>160</v>
      </c>
      <c r="C965" s="1">
        <v>183</v>
      </c>
      <c r="D965" s="15" t="s">
        <v>2159</v>
      </c>
      <c r="E965" s="31">
        <v>2</v>
      </c>
      <c r="F965" s="15" t="s">
        <v>777</v>
      </c>
      <c r="G965" s="15" t="s">
        <v>2168</v>
      </c>
      <c r="H965" s="15" t="s">
        <v>2169</v>
      </c>
      <c r="I965" s="1">
        <v>2016</v>
      </c>
      <c r="J965" s="15" t="s">
        <v>592</v>
      </c>
      <c r="K965" s="1">
        <v>2015</v>
      </c>
      <c r="L965" s="15" t="s">
        <v>2170</v>
      </c>
      <c r="M965" s="15" t="s">
        <v>2171</v>
      </c>
      <c r="N965" s="15" t="s">
        <v>783</v>
      </c>
      <c r="O965" s="31">
        <v>2</v>
      </c>
      <c r="P965" s="15">
        <v>45.07</v>
      </c>
      <c r="Q965" s="15">
        <v>7.69</v>
      </c>
      <c r="S965" s="15">
        <v>1000</v>
      </c>
      <c r="T965" s="15">
        <v>15</v>
      </c>
      <c r="U965" s="15" t="s">
        <v>807</v>
      </c>
      <c r="V965" s="31">
        <v>2</v>
      </c>
      <c r="W965" s="16" t="s">
        <v>2172</v>
      </c>
      <c r="X965" s="15" t="s">
        <v>2173</v>
      </c>
      <c r="Y965" s="1">
        <v>8</v>
      </c>
      <c r="Z965" s="15">
        <v>6.1</v>
      </c>
      <c r="AA965" s="15" t="s">
        <v>574</v>
      </c>
      <c r="AB965" s="15">
        <f t="shared" si="882"/>
        <v>6.1</v>
      </c>
      <c r="AC965" s="1">
        <v>5</v>
      </c>
      <c r="AD965" s="15">
        <v>12</v>
      </c>
      <c r="AF965" s="15">
        <v>12.4</v>
      </c>
      <c r="AH965" s="15">
        <v>71</v>
      </c>
      <c r="AJ965" s="15">
        <v>11.7</v>
      </c>
      <c r="AK965" s="15">
        <v>71.099999999999994</v>
      </c>
      <c r="AL965" s="15">
        <v>17.2</v>
      </c>
      <c r="AM965" s="1">
        <v>2</v>
      </c>
      <c r="AP965" s="15" t="s">
        <v>2174</v>
      </c>
      <c r="AQ965" s="1">
        <v>2</v>
      </c>
      <c r="AR965" s="1">
        <v>3</v>
      </c>
      <c r="BP965" s="16"/>
      <c r="BQ965" s="16"/>
      <c r="BR965" s="16"/>
      <c r="BU965" s="16"/>
      <c r="CC965" s="15" t="s">
        <v>768</v>
      </c>
      <c r="CE965" s="15">
        <v>2</v>
      </c>
      <c r="CF965" s="15">
        <f t="shared" si="877"/>
        <v>45000</v>
      </c>
      <c r="CG965" s="15" t="s">
        <v>766</v>
      </c>
      <c r="CH965" s="15">
        <v>9.5</v>
      </c>
      <c r="CI965" s="15">
        <v>400</v>
      </c>
      <c r="CJ965" s="15">
        <v>30.2</v>
      </c>
      <c r="CK965" s="15">
        <v>521</v>
      </c>
      <c r="CL965" s="15">
        <v>58.5</v>
      </c>
      <c r="CM965" s="15">
        <v>20</v>
      </c>
      <c r="CO965" s="15">
        <v>38.799999999999997</v>
      </c>
      <c r="CP965" s="15">
        <v>28.3</v>
      </c>
      <c r="CQ965" s="15">
        <v>17.3</v>
      </c>
      <c r="CR965" s="15">
        <v>38.799999999999997</v>
      </c>
      <c r="CW965" s="15">
        <v>25.3</v>
      </c>
      <c r="CY965" s="25">
        <f t="shared" si="878"/>
        <v>45000</v>
      </c>
      <c r="CZ965" s="25">
        <f t="shared" si="879"/>
        <v>57.692307692307686</v>
      </c>
      <c r="DA965" s="25">
        <f t="shared" si="880"/>
        <v>135000</v>
      </c>
      <c r="EZ965" s="16"/>
      <c r="FA965" s="16"/>
      <c r="FB965" s="16"/>
      <c r="FC965" s="16"/>
      <c r="FD965" s="16"/>
      <c r="FE965" s="16"/>
      <c r="FF965" s="16"/>
      <c r="FG965" s="16"/>
      <c r="FH965" s="16"/>
      <c r="FI965" s="16"/>
      <c r="FJ965" s="16"/>
      <c r="FK965" s="16">
        <f t="shared" si="883"/>
        <v>6.56</v>
      </c>
      <c r="FL965" s="16">
        <f t="shared" si="884"/>
        <v>7.84</v>
      </c>
      <c r="FM965" s="15">
        <v>6.56</v>
      </c>
      <c r="FN965" s="15">
        <f t="shared" si="885"/>
        <v>6.5599999999999992E-2</v>
      </c>
      <c r="FO965" s="15">
        <f>FN965*SQRT(AR965)</f>
        <v>0.11362253297651832</v>
      </c>
      <c r="FP965" s="15">
        <v>7.84</v>
      </c>
      <c r="FQ965" s="15">
        <f t="shared" si="886"/>
        <v>7.8399999999999997E-2</v>
      </c>
      <c r="FR965" s="15">
        <f>FQ965*SQRT(AR965)</f>
        <v>0.13579278331339997</v>
      </c>
      <c r="FS965" s="15">
        <f t="shared" si="887"/>
        <v>1.1951219512195121</v>
      </c>
      <c r="FT965" s="15">
        <f t="shared" si="888"/>
        <v>1.2800000000000002</v>
      </c>
      <c r="FU965" s="15">
        <f t="shared" si="889"/>
        <v>0.17824823140631874</v>
      </c>
      <c r="FV965" s="15">
        <f>((FR965*FR965)/(AR965*FP965*FP965)+(FO965*FO965)/(AR965*FM965*FM965))</f>
        <v>1.9999999999999996E-4</v>
      </c>
      <c r="FX965" s="15">
        <v>22.446000000000002</v>
      </c>
      <c r="FY965" s="15">
        <f t="shared" si="890"/>
        <v>0.22446000000000002</v>
      </c>
      <c r="FZ965" s="15">
        <f>FY965*SQRT(AR965)</f>
        <v>0.38877612426691022</v>
      </c>
      <c r="GA965" s="15">
        <v>36.887999999999998</v>
      </c>
      <c r="GB965" s="15">
        <f t="shared" si="891"/>
        <v>0.36887999999999999</v>
      </c>
      <c r="GC965" s="15">
        <f>GB965*SQRT(AR965)</f>
        <v>0.63891890189600742</v>
      </c>
      <c r="GD965" s="15">
        <f t="shared" si="874"/>
        <v>1.6434108527131781</v>
      </c>
      <c r="GE965" s="15">
        <f t="shared" si="875"/>
        <v>14.441999999999997</v>
      </c>
      <c r="GF965" s="15">
        <f t="shared" si="876"/>
        <v>0.49677387031033993</v>
      </c>
      <c r="GG965" s="15">
        <f>((GC965*GC965)/(AR965*GA965*GA965)+(FZ965*FZ965)/(AR965*FX965*FX965))</f>
        <v>2.0000000000000001E-4</v>
      </c>
      <c r="GI965" s="15">
        <v>6.4</v>
      </c>
      <c r="GJ965" s="15">
        <f t="shared" si="892"/>
        <v>6.4000000000000001E-2</v>
      </c>
      <c r="GK965" s="15">
        <f>GJ965*SQRT(AR965)</f>
        <v>0.11085125168440814</v>
      </c>
      <c r="GL965" s="15">
        <v>8.4</v>
      </c>
      <c r="GM965" s="15">
        <f t="shared" si="893"/>
        <v>8.4000000000000005E-2</v>
      </c>
      <c r="GN965" s="15">
        <f>GM965*SQRT(AR965)</f>
        <v>0.1454922678357857</v>
      </c>
      <c r="GO965" s="15">
        <f t="shared" si="894"/>
        <v>1.3125</v>
      </c>
      <c r="GP965" s="15">
        <f t="shared" si="895"/>
        <v>2</v>
      </c>
      <c r="GQ965" s="15">
        <f t="shared" si="896"/>
        <v>0.27193371548364165</v>
      </c>
      <c r="GR965" s="15">
        <f>((GN965*GN965)/(AR965*GL965*GL965)+(GK965*GK965)/(AR965*GI965*GI965))</f>
        <v>1.9999999999999996E-4</v>
      </c>
      <c r="GT965" s="15">
        <v>72</v>
      </c>
      <c r="GU965" s="15">
        <f t="shared" si="897"/>
        <v>0.72</v>
      </c>
      <c r="GV965" s="15">
        <f>GU965*SQRT(AR965)</f>
        <v>1.2470765814495914</v>
      </c>
      <c r="GW965" s="15">
        <v>85.910644910644905</v>
      </c>
      <c r="GX965" s="15">
        <f t="shared" si="898"/>
        <v>0.85910644910644907</v>
      </c>
      <c r="GY965" s="15">
        <f>GX965*SQRT(AR965)</f>
        <v>1.4880160189624556</v>
      </c>
      <c r="GZ965" s="15">
        <f t="shared" si="899"/>
        <v>1.1932034015367348</v>
      </c>
      <c r="HA965" s="15">
        <f t="shared" si="900"/>
        <v>13.910644910644905</v>
      </c>
      <c r="HB965" s="15">
        <f t="shared" si="901"/>
        <v>0.17664162442269227</v>
      </c>
      <c r="HC965" s="15">
        <f>((GY965*GY965)/(AR965*GW965*GW965)+(GV965*GV965)/(AR965*GT965*GT965))</f>
        <v>1.9999999999999996E-4</v>
      </c>
      <c r="HE965" s="15">
        <v>12.1</v>
      </c>
      <c r="HF965" s="15">
        <v>0.3</v>
      </c>
      <c r="HG965" s="15">
        <f>HF965*SQRT(AR965)</f>
        <v>0.51961524227066314</v>
      </c>
      <c r="HH965" s="15">
        <v>18.3</v>
      </c>
      <c r="HI965" s="15">
        <v>0.3</v>
      </c>
      <c r="HJ965" s="15">
        <f>HI965*SQRT(AR965)</f>
        <v>0.51961524227066314</v>
      </c>
      <c r="HK965" s="15">
        <f t="shared" si="862"/>
        <v>1.5123966942148761</v>
      </c>
      <c r="HL965" s="15">
        <f t="shared" si="863"/>
        <v>6.2000000000000011</v>
      </c>
      <c r="HM965" s="15">
        <f t="shared" si="864"/>
        <v>0.41369560724468002</v>
      </c>
      <c r="HN965" s="15">
        <f>((HJ965*HJ965)/(AR965*HH965*HH965)+(HG965*HG965)/(AR965*HE965*HE965))</f>
        <v>8.8345707086054414E-4</v>
      </c>
      <c r="HP965" s="15" t="s">
        <v>809</v>
      </c>
      <c r="HV965" s="15">
        <f t="shared" si="865"/>
        <v>3263.2688777900012</v>
      </c>
      <c r="HW965" s="15">
        <f t="shared" si="866"/>
        <v>0.41369560724468002</v>
      </c>
      <c r="HX965" s="25">
        <f>DA965</f>
        <v>135000</v>
      </c>
      <c r="HY965" s="25">
        <f>CY965</f>
        <v>45000</v>
      </c>
      <c r="HZ965" s="25">
        <f>CZ965</f>
        <v>57.692307692307686</v>
      </c>
      <c r="IA965" s="25">
        <f>DA965</f>
        <v>135000</v>
      </c>
    </row>
    <row r="966" spans="1:235" s="15" customFormat="1" x14ac:dyDescent="0.25">
      <c r="A966" s="31">
        <v>964</v>
      </c>
      <c r="B966" s="1">
        <v>160</v>
      </c>
      <c r="C966" s="1">
        <v>183</v>
      </c>
      <c r="D966" s="15" t="s">
        <v>2160</v>
      </c>
      <c r="E966" s="31">
        <v>2</v>
      </c>
      <c r="F966" s="15" t="s">
        <v>777</v>
      </c>
      <c r="G966" s="15" t="s">
        <v>2168</v>
      </c>
      <c r="H966" s="15" t="s">
        <v>2169</v>
      </c>
      <c r="I966" s="1">
        <v>2016</v>
      </c>
      <c r="J966" s="15" t="s">
        <v>592</v>
      </c>
      <c r="K966" s="1">
        <v>2015</v>
      </c>
      <c r="L966" s="15" t="s">
        <v>2170</v>
      </c>
      <c r="M966" s="15" t="s">
        <v>2171</v>
      </c>
      <c r="N966" s="15" t="s">
        <v>783</v>
      </c>
      <c r="O966" s="31">
        <v>2</v>
      </c>
      <c r="P966" s="15">
        <v>45.07</v>
      </c>
      <c r="Q966" s="15">
        <v>7.69</v>
      </c>
      <c r="S966" s="15">
        <v>1000</v>
      </c>
      <c r="T966" s="15">
        <v>15</v>
      </c>
      <c r="U966" s="15" t="s">
        <v>807</v>
      </c>
      <c r="V966" s="31">
        <v>2</v>
      </c>
      <c r="W966" s="16" t="s">
        <v>2172</v>
      </c>
      <c r="X966" s="15" t="s">
        <v>2173</v>
      </c>
      <c r="Y966" s="1">
        <v>8</v>
      </c>
      <c r="Z966" s="15">
        <v>6.1</v>
      </c>
      <c r="AA966" s="15" t="s">
        <v>573</v>
      </c>
      <c r="AB966" s="15">
        <f t="shared" si="882"/>
        <v>6.1</v>
      </c>
      <c r="AC966" s="1">
        <v>5</v>
      </c>
      <c r="AD966" s="15">
        <v>12</v>
      </c>
      <c r="AF966" s="15">
        <v>12.4</v>
      </c>
      <c r="AH966" s="15">
        <v>71</v>
      </c>
      <c r="AJ966" s="15">
        <v>11.7</v>
      </c>
      <c r="AK966" s="15">
        <v>71.099999999999994</v>
      </c>
      <c r="AL966" s="15">
        <v>17.2</v>
      </c>
      <c r="AM966" s="1">
        <v>2</v>
      </c>
      <c r="AP966" s="15" t="s">
        <v>2174</v>
      </c>
      <c r="AQ966" s="1">
        <v>2</v>
      </c>
      <c r="AR966" s="1">
        <v>3</v>
      </c>
      <c r="BP966" s="16"/>
      <c r="BQ966" s="16"/>
      <c r="BR966" s="16"/>
      <c r="BU966" s="16"/>
      <c r="CC966" s="15" t="s">
        <v>768</v>
      </c>
      <c r="CE966" s="15">
        <v>2</v>
      </c>
      <c r="CF966" s="15">
        <f t="shared" si="877"/>
        <v>45000</v>
      </c>
      <c r="CG966" s="15" t="s">
        <v>766</v>
      </c>
      <c r="CH966" s="15">
        <v>10.4</v>
      </c>
      <c r="CI966" s="15">
        <v>600</v>
      </c>
      <c r="CJ966" s="15">
        <v>27.5</v>
      </c>
      <c r="CK966" s="15">
        <v>528</v>
      </c>
      <c r="CL966" s="15">
        <v>40.1</v>
      </c>
      <c r="CM966" s="15">
        <v>28.7</v>
      </c>
      <c r="CO966" s="15">
        <v>58.8</v>
      </c>
      <c r="CP966" s="15">
        <v>35.9</v>
      </c>
      <c r="CQ966" s="15">
        <v>24</v>
      </c>
      <c r="CR966" s="15">
        <v>58.8</v>
      </c>
      <c r="CW966" s="15">
        <v>35.4</v>
      </c>
      <c r="CY966" s="25">
        <f t="shared" si="878"/>
        <v>45000</v>
      </c>
      <c r="CZ966" s="25">
        <f t="shared" si="879"/>
        <v>57.692307692307686</v>
      </c>
      <c r="DA966" s="25">
        <f t="shared" si="880"/>
        <v>135000</v>
      </c>
      <c r="EZ966" s="16"/>
      <c r="FA966" s="16"/>
      <c r="FB966" s="16"/>
      <c r="FC966" s="16"/>
      <c r="FD966" s="16"/>
      <c r="FE966" s="16"/>
      <c r="FF966" s="16"/>
      <c r="FG966" s="16"/>
      <c r="FH966" s="16"/>
      <c r="FI966" s="16"/>
      <c r="FJ966" s="16"/>
      <c r="FK966" s="16">
        <f t="shared" si="883"/>
        <v>6.56</v>
      </c>
      <c r="FL966" s="16">
        <f t="shared" si="884"/>
        <v>7.88</v>
      </c>
      <c r="FM966" s="15">
        <v>6.56</v>
      </c>
      <c r="FN966" s="15">
        <f t="shared" si="885"/>
        <v>6.5599999999999992E-2</v>
      </c>
      <c r="FO966" s="15">
        <f>FN966*SQRT(AR966)</f>
        <v>0.11362253297651832</v>
      </c>
      <c r="FP966" s="15">
        <v>7.88</v>
      </c>
      <c r="FQ966" s="15">
        <f t="shared" si="886"/>
        <v>7.8799999999999995E-2</v>
      </c>
      <c r="FR966" s="15">
        <f>FQ966*SQRT(AR966)</f>
        <v>0.1364856036364275</v>
      </c>
      <c r="FS966" s="15">
        <f t="shared" si="887"/>
        <v>1.2012195121951219</v>
      </c>
      <c r="FT966" s="15">
        <f t="shared" si="888"/>
        <v>1.3200000000000003</v>
      </c>
      <c r="FU966" s="15">
        <f t="shared" si="889"/>
        <v>0.18333730091379041</v>
      </c>
      <c r="FV966" s="15">
        <f>((FR966*FR966)/(AR966*FP966*FP966)+(FO966*FO966)/(AR966*FM966*FM966))</f>
        <v>1.9999999999999993E-4</v>
      </c>
      <c r="FX966" s="15">
        <v>22.446000000000002</v>
      </c>
      <c r="FY966" s="15">
        <f t="shared" si="890"/>
        <v>0.22446000000000002</v>
      </c>
      <c r="FZ966" s="15">
        <f>FY966*SQRT(AR966)</f>
        <v>0.38877612426691022</v>
      </c>
      <c r="GA966" s="15">
        <v>39.845999999999997</v>
      </c>
      <c r="GB966" s="15">
        <f t="shared" si="891"/>
        <v>0.39845999999999998</v>
      </c>
      <c r="GC966" s="15">
        <f>GB966*SQRT(AR966)</f>
        <v>0.69015296478389476</v>
      </c>
      <c r="GD966" s="15">
        <f t="shared" si="874"/>
        <v>1.7751937984496122</v>
      </c>
      <c r="GE966" s="15">
        <f t="shared" si="875"/>
        <v>17.399999999999995</v>
      </c>
      <c r="GF966" s="15">
        <f t="shared" si="876"/>
        <v>0.57390959919256712</v>
      </c>
      <c r="GG966" s="15">
        <f>((GC966*GC966)/(AR966*GA966*GA966)+(FZ966*FZ966)/(AR966*FX966*FX966))</f>
        <v>1.9999999999999998E-4</v>
      </c>
      <c r="GI966" s="15">
        <v>6.4</v>
      </c>
      <c r="GJ966" s="15">
        <f t="shared" si="892"/>
        <v>6.4000000000000001E-2</v>
      </c>
      <c r="GK966" s="15">
        <f>GJ966*SQRT(AR966)</f>
        <v>0.11085125168440814</v>
      </c>
      <c r="GL966" s="15">
        <v>9.4</v>
      </c>
      <c r="GM966" s="15">
        <f t="shared" si="893"/>
        <v>9.4E-2</v>
      </c>
      <c r="GN966" s="15">
        <f>GM966*SQRT(AR966)</f>
        <v>0.16281277591147444</v>
      </c>
      <c r="GO966" s="15">
        <f t="shared" si="894"/>
        <v>1.46875</v>
      </c>
      <c r="GP966" s="15">
        <f t="shared" si="895"/>
        <v>3</v>
      </c>
      <c r="GQ966" s="15">
        <f t="shared" si="896"/>
        <v>0.38441169891033211</v>
      </c>
      <c r="GR966" s="15">
        <f>((GN966*GN966)/(AR966*GL966*GL966)+(GK966*GK966)/(AR966*GI966*GI966))</f>
        <v>1.9999999999999993E-4</v>
      </c>
      <c r="GT966" s="15">
        <v>72</v>
      </c>
      <c r="GU966" s="15">
        <f t="shared" si="897"/>
        <v>0.72</v>
      </c>
      <c r="GV966" s="15">
        <f>GU966*SQRT(AR966)</f>
        <v>1.2470765814495914</v>
      </c>
      <c r="GW966" s="15">
        <v>84.591236389181589</v>
      </c>
      <c r="GX966" s="15">
        <f t="shared" si="898"/>
        <v>0.8459123638918159</v>
      </c>
      <c r="GY966" s="15">
        <f>GX966*SQRT(AR966)</f>
        <v>1.4651631930113176</v>
      </c>
      <c r="GZ966" s="15">
        <f t="shared" si="899"/>
        <v>1.1748782831830775</v>
      </c>
      <c r="HA966" s="15">
        <f t="shared" si="900"/>
        <v>12.591236389181589</v>
      </c>
      <c r="HB966" s="15">
        <f t="shared" si="901"/>
        <v>0.16116455345007452</v>
      </c>
      <c r="HC966" s="15">
        <f>((GY966*GY966)/(AR966*GW966*GW966)+(GV966*GV966)/(AR966*GT966*GT966))</f>
        <v>1.9999999999999996E-4</v>
      </c>
      <c r="HE966" s="15">
        <v>12.1</v>
      </c>
      <c r="HF966" s="15">
        <v>0.3</v>
      </c>
      <c r="HG966" s="15">
        <f>HF966*SQRT(AR966)</f>
        <v>0.51961524227066314</v>
      </c>
      <c r="HH966" s="15">
        <v>15</v>
      </c>
      <c r="HI966" s="15">
        <v>0.3</v>
      </c>
      <c r="HJ966" s="15">
        <f>HI966*SQRT(AR966)</f>
        <v>0.51961524227066314</v>
      </c>
      <c r="HK966" s="15">
        <f t="shared" si="862"/>
        <v>1.2396694214876034</v>
      </c>
      <c r="HL966" s="15">
        <f t="shared" si="863"/>
        <v>2.9000000000000004</v>
      </c>
      <c r="HM966" s="15">
        <f t="shared" si="864"/>
        <v>0.21484474849951463</v>
      </c>
      <c r="HN966" s="15">
        <f>((HJ966*HJ966)/(AR966*HH966*HH966)+(HG966*HG966)/(AR966*HE966*HE966))</f>
        <v>1.0147121098285634E-3</v>
      </c>
      <c r="HP966" s="15" t="s">
        <v>809</v>
      </c>
      <c r="HV966" s="15">
        <f t="shared" si="865"/>
        <v>6283.6071601864169</v>
      </c>
      <c r="HW966" s="15">
        <f t="shared" si="866"/>
        <v>0.21484474849951463</v>
      </c>
      <c r="HX966" s="25">
        <f>DA966</f>
        <v>135000</v>
      </c>
      <c r="HY966" s="25">
        <f>CY966</f>
        <v>45000</v>
      </c>
      <c r="HZ966" s="25">
        <f>CZ966</f>
        <v>57.692307692307686</v>
      </c>
      <c r="IA966" s="25">
        <f>DA966</f>
        <v>135000</v>
      </c>
    </row>
    <row r="967" spans="1:235" s="15" customFormat="1" x14ac:dyDescent="0.25">
      <c r="A967" s="31">
        <v>965</v>
      </c>
      <c r="B967" s="1">
        <v>160</v>
      </c>
      <c r="C967" s="1">
        <v>183</v>
      </c>
      <c r="D967" s="15" t="s">
        <v>2161</v>
      </c>
      <c r="E967" s="31">
        <v>2</v>
      </c>
      <c r="F967" s="15" t="s">
        <v>777</v>
      </c>
      <c r="G967" s="15" t="s">
        <v>2168</v>
      </c>
      <c r="H967" s="15" t="s">
        <v>2169</v>
      </c>
      <c r="I967" s="1">
        <v>2016</v>
      </c>
      <c r="J967" s="15" t="s">
        <v>592</v>
      </c>
      <c r="K967" s="1">
        <v>2015</v>
      </c>
      <c r="L967" s="15" t="s">
        <v>2170</v>
      </c>
      <c r="M967" s="15" t="s">
        <v>2171</v>
      </c>
      <c r="N967" s="15" t="s">
        <v>783</v>
      </c>
      <c r="O967" s="31">
        <v>2</v>
      </c>
      <c r="P967" s="15">
        <v>45.07</v>
      </c>
      <c r="Q967" s="15">
        <v>7.69</v>
      </c>
      <c r="S967" s="15">
        <v>1000</v>
      </c>
      <c r="T967" s="15">
        <v>15</v>
      </c>
      <c r="U967" s="15" t="s">
        <v>807</v>
      </c>
      <c r="V967" s="31">
        <v>2</v>
      </c>
      <c r="W967" s="16" t="s">
        <v>2172</v>
      </c>
      <c r="X967" s="15" t="s">
        <v>2173</v>
      </c>
      <c r="Y967" s="1">
        <v>8</v>
      </c>
      <c r="Z967" s="15">
        <v>6.1</v>
      </c>
      <c r="AA967" s="15" t="s">
        <v>573</v>
      </c>
      <c r="AB967" s="15">
        <f t="shared" si="882"/>
        <v>6.1</v>
      </c>
      <c r="AC967" s="1">
        <v>5</v>
      </c>
      <c r="AD967" s="15">
        <v>12</v>
      </c>
      <c r="AF967" s="15">
        <v>12.4</v>
      </c>
      <c r="AH967" s="15">
        <v>71</v>
      </c>
      <c r="AJ967" s="15">
        <v>11.7</v>
      </c>
      <c r="AK967" s="15">
        <v>71.099999999999994</v>
      </c>
      <c r="AL967" s="15">
        <v>17.2</v>
      </c>
      <c r="AM967" s="1">
        <v>2</v>
      </c>
      <c r="AP967" s="15" t="s">
        <v>2174</v>
      </c>
      <c r="AQ967" s="1">
        <v>2</v>
      </c>
      <c r="AR967" s="1">
        <v>3</v>
      </c>
      <c r="BP967" s="16"/>
      <c r="BQ967" s="16"/>
      <c r="BR967" s="16"/>
      <c r="BU967" s="16"/>
      <c r="CC967" s="15" t="s">
        <v>2177</v>
      </c>
      <c r="CE967" s="15">
        <v>2</v>
      </c>
      <c r="CF967" s="15">
        <f t="shared" si="877"/>
        <v>45000</v>
      </c>
      <c r="CG967" s="15" t="s">
        <v>766</v>
      </c>
      <c r="CH967" s="15">
        <v>10</v>
      </c>
      <c r="CI967" s="15">
        <v>400</v>
      </c>
      <c r="CJ967" s="15">
        <v>52.5</v>
      </c>
      <c r="CK967" s="15">
        <v>549</v>
      </c>
      <c r="CL967" s="15">
        <v>22.3</v>
      </c>
      <c r="CM967" s="15">
        <v>22.1</v>
      </c>
      <c r="CO967" s="15">
        <v>16.2</v>
      </c>
      <c r="CP967" s="15">
        <v>20.3</v>
      </c>
      <c r="CQ967" s="15">
        <v>15.7</v>
      </c>
      <c r="CR967" s="15">
        <v>16.2</v>
      </c>
      <c r="CW967" s="15">
        <v>27.5</v>
      </c>
      <c r="CY967" s="25">
        <f t="shared" si="878"/>
        <v>45000</v>
      </c>
      <c r="CZ967" s="25">
        <f t="shared" si="879"/>
        <v>57.692307692307686</v>
      </c>
      <c r="DA967" s="25">
        <f t="shared" si="880"/>
        <v>135000</v>
      </c>
      <c r="EZ967" s="16"/>
      <c r="FA967" s="16"/>
      <c r="FB967" s="16"/>
      <c r="FC967" s="16"/>
      <c r="FD967" s="16"/>
      <c r="FE967" s="16"/>
      <c r="FF967" s="16"/>
      <c r="FG967" s="16"/>
      <c r="FH967" s="16"/>
      <c r="FI967" s="16"/>
      <c r="FJ967" s="16"/>
      <c r="FK967" s="16">
        <f t="shared" si="883"/>
        <v>6.56</v>
      </c>
      <c r="FL967" s="16">
        <f t="shared" si="884"/>
        <v>7.36</v>
      </c>
      <c r="FM967" s="15">
        <v>6.56</v>
      </c>
      <c r="FN967" s="15">
        <f t="shared" si="885"/>
        <v>6.5599999999999992E-2</v>
      </c>
      <c r="FO967" s="15">
        <f>FN967*SQRT(AR967)</f>
        <v>0.11362253297651832</v>
      </c>
      <c r="FP967" s="15">
        <v>7.36</v>
      </c>
      <c r="FQ967" s="15">
        <f t="shared" si="886"/>
        <v>7.3599999999999999E-2</v>
      </c>
      <c r="FR967" s="15">
        <f>FQ967*SQRT(AR967)</f>
        <v>0.12747893943706937</v>
      </c>
      <c r="FS967" s="15">
        <f t="shared" si="887"/>
        <v>1.1219512195121952</v>
      </c>
      <c r="FT967" s="15">
        <f t="shared" si="888"/>
        <v>0.80000000000000071</v>
      </c>
      <c r="FU967" s="15">
        <f t="shared" si="889"/>
        <v>0.11506932978478734</v>
      </c>
      <c r="FV967" s="15">
        <f>((FR967*FR967)/(AR967*FP967*FP967)+(FO967*FO967)/(AR967*FM967*FM967))</f>
        <v>1.9999999999999996E-4</v>
      </c>
      <c r="FX967" s="15">
        <v>22.446000000000002</v>
      </c>
      <c r="FY967" s="15">
        <f t="shared" si="890"/>
        <v>0.22446000000000002</v>
      </c>
      <c r="FZ967" s="15">
        <f>FY967*SQRT(AR967)</f>
        <v>0.38877612426691022</v>
      </c>
      <c r="GA967" s="15">
        <v>42.629999999999995</v>
      </c>
      <c r="GB967" s="15">
        <f t="shared" si="891"/>
        <v>0.42629999999999996</v>
      </c>
      <c r="GC967" s="15">
        <f>GB967*SQRT(AR967)</f>
        <v>0.73837325926661224</v>
      </c>
      <c r="GD967" s="15">
        <f t="shared" si="874"/>
        <v>1.89922480620155</v>
      </c>
      <c r="GE967" s="15">
        <f t="shared" si="875"/>
        <v>20.183999999999994</v>
      </c>
      <c r="GF967" s="15">
        <f t="shared" si="876"/>
        <v>0.64144580618305458</v>
      </c>
      <c r="GG967" s="15">
        <f>((GC967*GC967)/(AR967*GA967*GA967)+(FZ967*FZ967)/(AR967*FX967*FX967))</f>
        <v>1.9999999999999998E-4</v>
      </c>
      <c r="GI967" s="15">
        <v>6.4</v>
      </c>
      <c r="GJ967" s="15">
        <f t="shared" si="892"/>
        <v>6.4000000000000001E-2</v>
      </c>
      <c r="GK967" s="15">
        <f>GJ967*SQRT(AR967)</f>
        <v>0.11085125168440814</v>
      </c>
      <c r="GL967" s="15">
        <v>10.4</v>
      </c>
      <c r="GM967" s="15">
        <f t="shared" si="893"/>
        <v>0.10400000000000001</v>
      </c>
      <c r="GN967" s="15">
        <f>GM967*SQRT(AR967)</f>
        <v>0.18013328398716325</v>
      </c>
      <c r="GO967" s="15">
        <f t="shared" si="894"/>
        <v>1.625</v>
      </c>
      <c r="GP967" s="15">
        <f t="shared" si="895"/>
        <v>4</v>
      </c>
      <c r="GQ967" s="15">
        <f t="shared" si="896"/>
        <v>0.48550781578170077</v>
      </c>
      <c r="GR967" s="15">
        <f>((GN967*GN967)/(AR967*GL967*GL967)+(GK967*GK967)/(AR967*GI967*GI967))</f>
        <v>1.9999999999999998E-4</v>
      </c>
      <c r="GT967" s="15">
        <v>72</v>
      </c>
      <c r="GU967" s="15">
        <f t="shared" si="897"/>
        <v>0.72</v>
      </c>
      <c r="GV967" s="15">
        <f>GU967*SQRT(AR967)</f>
        <v>1.2470765814495914</v>
      </c>
      <c r="GW967" s="15">
        <v>75.660178236397741</v>
      </c>
      <c r="GX967" s="15">
        <f t="shared" si="898"/>
        <v>0.75660178236397746</v>
      </c>
      <c r="GY967" s="15">
        <f>GX967*SQRT(AR967)</f>
        <v>1.3104727281515791</v>
      </c>
      <c r="GZ967" s="15">
        <f t="shared" si="899"/>
        <v>1.0508358088388574</v>
      </c>
      <c r="HA967" s="15">
        <f t="shared" si="900"/>
        <v>3.6601782363977406</v>
      </c>
      <c r="HB967" s="15">
        <f t="shared" si="901"/>
        <v>4.9585855940715184E-2</v>
      </c>
      <c r="HC967" s="15">
        <f>((GY967*GY967)/(AR967*GW967*GW967)+(GV967*GV967)/(AR967*GT967*GT967))</f>
        <v>1.9999999999999998E-4</v>
      </c>
      <c r="HE967" s="15">
        <v>12.1</v>
      </c>
      <c r="HF967" s="15">
        <v>0.3</v>
      </c>
      <c r="HG967" s="15">
        <f>HF967*SQRT(AR967)</f>
        <v>0.51961524227066314</v>
      </c>
      <c r="HH967" s="15">
        <v>16.2</v>
      </c>
      <c r="HI967" s="15">
        <v>0.3</v>
      </c>
      <c r="HJ967" s="15">
        <f>HI967*SQRT(AR967)</f>
        <v>0.51961524227066314</v>
      </c>
      <c r="HK967" s="15">
        <f t="shared" si="862"/>
        <v>1.3388429752066116</v>
      </c>
      <c r="HL967" s="15">
        <f t="shared" si="863"/>
        <v>4.0999999999999996</v>
      </c>
      <c r="HM967" s="15">
        <f t="shared" si="864"/>
        <v>0.29180578963564274</v>
      </c>
      <c r="HN967" s="15">
        <f>((HJ967*HJ967)/(AR967*HH967*HH967)+(HG967*HG967)/(AR967*HE967*HE967))</f>
        <v>9.576476379492769E-4</v>
      </c>
      <c r="HP967" s="15" t="s">
        <v>809</v>
      </c>
      <c r="HV967" s="15">
        <f t="shared" si="865"/>
        <v>4626.3646848325034</v>
      </c>
      <c r="HW967" s="15">
        <f t="shared" si="866"/>
        <v>0.29180578963564274</v>
      </c>
      <c r="HX967" s="25">
        <f>DA967</f>
        <v>135000</v>
      </c>
      <c r="HY967" s="25">
        <f>CY967</f>
        <v>45000</v>
      </c>
      <c r="HZ967" s="25">
        <f>CZ967</f>
        <v>57.692307692307686</v>
      </c>
      <c r="IA967" s="25">
        <f>DA967</f>
        <v>135000</v>
      </c>
    </row>
    <row r="968" spans="1:235" s="15" customFormat="1" x14ac:dyDescent="0.25">
      <c r="A968" s="31">
        <v>966</v>
      </c>
      <c r="B968" s="1">
        <v>160</v>
      </c>
      <c r="C968" s="1">
        <v>183</v>
      </c>
      <c r="D968" s="15" t="s">
        <v>2162</v>
      </c>
      <c r="E968" s="31">
        <v>2</v>
      </c>
      <c r="F968" s="15" t="s">
        <v>777</v>
      </c>
      <c r="G968" s="15" t="s">
        <v>2168</v>
      </c>
      <c r="H968" s="15" t="s">
        <v>2169</v>
      </c>
      <c r="I968" s="1">
        <v>2016</v>
      </c>
      <c r="J968" s="15" t="s">
        <v>592</v>
      </c>
      <c r="K968" s="1">
        <v>2015</v>
      </c>
      <c r="L968" s="15" t="s">
        <v>2170</v>
      </c>
      <c r="M968" s="15" t="s">
        <v>2171</v>
      </c>
      <c r="N968" s="15" t="s">
        <v>783</v>
      </c>
      <c r="O968" s="31">
        <v>2</v>
      </c>
      <c r="P968" s="15">
        <v>45.07</v>
      </c>
      <c r="Q968" s="15">
        <v>7.69</v>
      </c>
      <c r="S968" s="15">
        <v>1000</v>
      </c>
      <c r="T968" s="15">
        <v>15</v>
      </c>
      <c r="U968" s="15" t="s">
        <v>807</v>
      </c>
      <c r="V968" s="31">
        <v>2</v>
      </c>
      <c r="W968" s="16" t="s">
        <v>2172</v>
      </c>
      <c r="X968" s="15" t="s">
        <v>2173</v>
      </c>
      <c r="Y968" s="1">
        <v>8</v>
      </c>
      <c r="Z968" s="15">
        <v>6.1</v>
      </c>
      <c r="AA968" s="15" t="s">
        <v>573</v>
      </c>
      <c r="AB968" s="15">
        <f t="shared" si="882"/>
        <v>6.1</v>
      </c>
      <c r="AC968" s="1">
        <v>5</v>
      </c>
      <c r="AD968" s="15">
        <v>12</v>
      </c>
      <c r="AF968" s="15">
        <v>12.4</v>
      </c>
      <c r="AH968" s="15">
        <v>71</v>
      </c>
      <c r="AJ968" s="15">
        <v>11.7</v>
      </c>
      <c r="AK968" s="15">
        <v>71.099999999999994</v>
      </c>
      <c r="AL968" s="15">
        <v>17.2</v>
      </c>
      <c r="AM968" s="1">
        <v>2</v>
      </c>
      <c r="AP968" s="15" t="s">
        <v>2174</v>
      </c>
      <c r="AQ968" s="1">
        <v>2</v>
      </c>
      <c r="AR968" s="1">
        <v>3</v>
      </c>
      <c r="BP968" s="16"/>
      <c r="BQ968" s="16"/>
      <c r="BR968" s="16"/>
      <c r="BU968" s="16"/>
      <c r="CC968" s="15" t="s">
        <v>2177</v>
      </c>
      <c r="CE968" s="15">
        <v>2</v>
      </c>
      <c r="CF968" s="15">
        <f t="shared" si="877"/>
        <v>45000</v>
      </c>
      <c r="CG968" s="15" t="s">
        <v>766</v>
      </c>
      <c r="CH968" s="15">
        <v>10.4</v>
      </c>
      <c r="CI968" s="15">
        <v>600</v>
      </c>
      <c r="CJ968" s="15">
        <v>18.600000000000001</v>
      </c>
      <c r="CK968" s="15">
        <v>579</v>
      </c>
      <c r="CL968" s="15">
        <v>17.899999999999999</v>
      </c>
      <c r="CM968" s="15">
        <v>28.1</v>
      </c>
      <c r="CO968" s="15">
        <v>35.299999999999997</v>
      </c>
      <c r="CP968" s="15">
        <v>28.9</v>
      </c>
      <c r="CQ968" s="15">
        <v>21.3</v>
      </c>
      <c r="CR968" s="15">
        <v>35.299999999999997</v>
      </c>
      <c r="CW968" s="15">
        <v>34.5</v>
      </c>
      <c r="CY968" s="25">
        <f t="shared" si="878"/>
        <v>45000</v>
      </c>
      <c r="CZ968" s="25">
        <f t="shared" si="879"/>
        <v>57.692307692307686</v>
      </c>
      <c r="DA968" s="25">
        <f t="shared" si="880"/>
        <v>135000</v>
      </c>
      <c r="EZ968" s="16"/>
      <c r="FA968" s="16"/>
      <c r="FB968" s="16"/>
      <c r="FC968" s="16"/>
      <c r="FD968" s="16"/>
      <c r="FE968" s="16"/>
      <c r="FF968" s="16"/>
      <c r="FG968" s="16"/>
      <c r="FH968" s="16"/>
      <c r="FI968" s="16"/>
      <c r="FJ968" s="16"/>
      <c r="FK968" s="16">
        <f t="shared" si="883"/>
        <v>6.56</v>
      </c>
      <c r="FL968" s="16">
        <f t="shared" si="884"/>
        <v>7.88</v>
      </c>
      <c r="FM968" s="15">
        <v>6.56</v>
      </c>
      <c r="FN968" s="15">
        <f t="shared" si="885"/>
        <v>6.5599999999999992E-2</v>
      </c>
      <c r="FO968" s="15">
        <f>FN968*SQRT(AR968)</f>
        <v>0.11362253297651832</v>
      </c>
      <c r="FP968" s="15">
        <v>7.88</v>
      </c>
      <c r="FQ968" s="15">
        <f t="shared" si="886"/>
        <v>7.8799999999999995E-2</v>
      </c>
      <c r="FR968" s="15">
        <f>FQ968*SQRT(AR968)</f>
        <v>0.1364856036364275</v>
      </c>
      <c r="FS968" s="15">
        <f t="shared" si="887"/>
        <v>1.2012195121951219</v>
      </c>
      <c r="FT968" s="15">
        <f t="shared" si="888"/>
        <v>1.3200000000000003</v>
      </c>
      <c r="FU968" s="15">
        <f t="shared" si="889"/>
        <v>0.18333730091379041</v>
      </c>
      <c r="FV968" s="15">
        <f>((FR968*FR968)/(AR968*FP968*FP968)+(FO968*FO968)/(AR968*FM968*FM968))</f>
        <v>1.9999999999999993E-4</v>
      </c>
      <c r="FX968" s="15">
        <v>22.446000000000002</v>
      </c>
      <c r="FY968" s="15">
        <f t="shared" si="890"/>
        <v>0.22446000000000002</v>
      </c>
      <c r="FZ968" s="15">
        <f>FY968*SQRT(AR968)</f>
        <v>0.38877612426691022</v>
      </c>
      <c r="GA968" s="15">
        <v>42.282000000000004</v>
      </c>
      <c r="GB968" s="15">
        <f t="shared" si="891"/>
        <v>0.42282000000000003</v>
      </c>
      <c r="GC968" s="15">
        <f>GB968*SQRT(AR968)</f>
        <v>0.73234572245627272</v>
      </c>
      <c r="GD968" s="15">
        <f t="shared" si="874"/>
        <v>1.8837209302325582</v>
      </c>
      <c r="GE968" s="15">
        <f t="shared" si="875"/>
        <v>19.836000000000002</v>
      </c>
      <c r="GF968" s="15">
        <f t="shared" si="876"/>
        <v>0.6332490389788763</v>
      </c>
      <c r="GG968" s="15">
        <f>((GC968*GC968)/(AR968*GA968*GA968)+(FZ968*FZ968)/(AR968*FX968*FX968))</f>
        <v>2.0000000000000001E-4</v>
      </c>
      <c r="GI968" s="15">
        <v>6.4</v>
      </c>
      <c r="GJ968" s="15">
        <f t="shared" si="892"/>
        <v>6.4000000000000001E-2</v>
      </c>
      <c r="GK968" s="15">
        <f>GJ968*SQRT(AR968)</f>
        <v>0.11085125168440814</v>
      </c>
      <c r="GL968" s="15">
        <v>11.4</v>
      </c>
      <c r="GM968" s="15">
        <f t="shared" si="893"/>
        <v>0.114</v>
      </c>
      <c r="GN968" s="15">
        <f>GM968*SQRT(AR968)</f>
        <v>0.19745379206285202</v>
      </c>
      <c r="GO968" s="15">
        <f t="shared" si="894"/>
        <v>1.78125</v>
      </c>
      <c r="GP968" s="15">
        <f t="shared" si="895"/>
        <v>5</v>
      </c>
      <c r="GQ968" s="15">
        <f t="shared" si="896"/>
        <v>0.5773153650348235</v>
      </c>
      <c r="GR968" s="15">
        <f>((GN968*GN968)/(AR968*GL968*GL968)+(GK968*GK968)/(AR968*GI968*GI968))</f>
        <v>1.9999999999999996E-4</v>
      </c>
      <c r="GT968" s="15">
        <v>72</v>
      </c>
      <c r="GU968" s="15">
        <f t="shared" si="897"/>
        <v>0.72</v>
      </c>
      <c r="GV968" s="15">
        <f>GU968*SQRT(AR968)</f>
        <v>1.2470765814495914</v>
      </c>
      <c r="GW968" s="15">
        <v>82.229727564102575</v>
      </c>
      <c r="GX968" s="15">
        <f t="shared" si="898"/>
        <v>0.82229727564102573</v>
      </c>
      <c r="GY968" s="15">
        <f>GX968*SQRT(AR968)</f>
        <v>1.4242606603357262</v>
      </c>
      <c r="GZ968" s="15">
        <f t="shared" si="899"/>
        <v>1.1420795495014247</v>
      </c>
      <c r="HA968" s="15">
        <f t="shared" si="900"/>
        <v>10.229727564102575</v>
      </c>
      <c r="HB968" s="15">
        <f t="shared" si="901"/>
        <v>0.132850766865098</v>
      </c>
      <c r="HC968" s="15">
        <f>((GY968*GY968)/(AR968*GW968*GW968)+(GV968*GV968)/(AR968*GT968*GT968))</f>
        <v>1.9999999999999993E-4</v>
      </c>
      <c r="HE968" s="15">
        <v>12.1</v>
      </c>
      <c r="HF968" s="15">
        <v>0.3</v>
      </c>
      <c r="HG968" s="15">
        <f>HF968*SQRT(AR968)</f>
        <v>0.51961524227066314</v>
      </c>
      <c r="HH968" s="15">
        <v>13.6</v>
      </c>
      <c r="HI968" s="15">
        <v>0.3</v>
      </c>
      <c r="HJ968" s="15">
        <f>HI968*SQRT(AR968)</f>
        <v>0.51961524227066314</v>
      </c>
      <c r="HK968" s="15">
        <f t="shared" si="862"/>
        <v>1.1239669421487604</v>
      </c>
      <c r="HL968" s="15">
        <f t="shared" si="863"/>
        <v>1.5</v>
      </c>
      <c r="HM968" s="15">
        <f t="shared" si="864"/>
        <v>0.11686434013931102</v>
      </c>
      <c r="HN968" s="15">
        <f>((HJ968*HJ968)/(AR968*HH968*HH968)+(HG968*HG968)/(AR968*HE968*HE968))</f>
        <v>1.1013038053302936E-3</v>
      </c>
      <c r="HP968" s="15" t="s">
        <v>809</v>
      </c>
      <c r="HV968" s="15">
        <f t="shared" si="865"/>
        <v>11551.855753352127</v>
      </c>
      <c r="HW968" s="15">
        <f t="shared" si="866"/>
        <v>0.11686434013931102</v>
      </c>
      <c r="HX968" s="25">
        <f>DA968</f>
        <v>135000</v>
      </c>
      <c r="HY968" s="25">
        <f>CY968</f>
        <v>45000</v>
      </c>
      <c r="HZ968" s="25">
        <f>CZ968</f>
        <v>57.692307692307686</v>
      </c>
      <c r="IA968" s="25">
        <f>DA968</f>
        <v>135000</v>
      </c>
    </row>
    <row r="969" spans="1:235" s="15" customFormat="1" x14ac:dyDescent="0.25">
      <c r="A969" s="31">
        <v>967</v>
      </c>
      <c r="B969" s="1">
        <v>160</v>
      </c>
      <c r="C969" s="1">
        <v>184</v>
      </c>
      <c r="D969" s="15" t="s">
        <v>2163</v>
      </c>
      <c r="E969" s="31">
        <v>2</v>
      </c>
      <c r="F969" s="15" t="s">
        <v>777</v>
      </c>
      <c r="G969" s="15" t="s">
        <v>2168</v>
      </c>
      <c r="H969" s="15" t="s">
        <v>2169</v>
      </c>
      <c r="I969" s="1">
        <v>2016</v>
      </c>
      <c r="J969" s="15" t="s">
        <v>592</v>
      </c>
      <c r="K969" s="1">
        <v>2015</v>
      </c>
      <c r="L969" s="15" t="s">
        <v>2170</v>
      </c>
      <c r="M969" s="15" t="s">
        <v>2171</v>
      </c>
      <c r="N969" s="15" t="s">
        <v>783</v>
      </c>
      <c r="O969" s="31">
        <v>2</v>
      </c>
      <c r="P969" s="15">
        <v>45.07</v>
      </c>
      <c r="Q969" s="15">
        <v>7.69</v>
      </c>
      <c r="S969" s="15">
        <v>1000</v>
      </c>
      <c r="T969" s="15">
        <v>15</v>
      </c>
      <c r="U969" s="15" t="s">
        <v>807</v>
      </c>
      <c r="V969" s="31">
        <v>2</v>
      </c>
      <c r="W969" s="16" t="s">
        <v>2172</v>
      </c>
      <c r="X969" s="15" t="s">
        <v>2173</v>
      </c>
      <c r="Y969" s="1">
        <v>8</v>
      </c>
      <c r="Z969" s="15">
        <v>8.3000000000000007</v>
      </c>
      <c r="AA969" s="15" t="s">
        <v>573</v>
      </c>
      <c r="AB969" s="15">
        <f t="shared" si="882"/>
        <v>8.3000000000000007</v>
      </c>
      <c r="AC969" s="1">
        <v>6</v>
      </c>
      <c r="AD969" s="15">
        <v>5.2</v>
      </c>
      <c r="AF969" s="15">
        <v>5.4</v>
      </c>
      <c r="AH969" s="15">
        <v>95</v>
      </c>
      <c r="AJ969" s="15">
        <v>4.8</v>
      </c>
      <c r="AK969" s="15">
        <v>5.5</v>
      </c>
      <c r="AL969" s="15">
        <v>89.7</v>
      </c>
      <c r="AM969" s="1">
        <v>3</v>
      </c>
      <c r="AP969" s="15" t="s">
        <v>2175</v>
      </c>
      <c r="AQ969" s="1">
        <v>9</v>
      </c>
      <c r="AR969" s="1">
        <v>3</v>
      </c>
      <c r="BP969" s="16"/>
      <c r="BQ969" s="16"/>
      <c r="BR969" s="16"/>
      <c r="BU969" s="16"/>
      <c r="CC969" s="15" t="s">
        <v>2176</v>
      </c>
      <c r="CE969" s="15">
        <v>2</v>
      </c>
      <c r="CF969" s="15">
        <f t="shared" si="877"/>
        <v>45000</v>
      </c>
      <c r="CG969" s="15" t="s">
        <v>766</v>
      </c>
      <c r="CH969" s="15">
        <v>11</v>
      </c>
      <c r="CI969" s="15">
        <v>1000</v>
      </c>
      <c r="CJ969" s="15">
        <v>14.8</v>
      </c>
      <c r="CK969" s="15">
        <v>893</v>
      </c>
      <c r="CL969" s="15">
        <v>2.7</v>
      </c>
      <c r="CM969" s="15">
        <v>0.92</v>
      </c>
      <c r="CO969" s="15">
        <v>2.6</v>
      </c>
      <c r="CP969" s="15">
        <v>13.6</v>
      </c>
      <c r="CQ969" s="15">
        <v>3.2</v>
      </c>
      <c r="CR969" s="15">
        <v>2.6</v>
      </c>
      <c r="CW969" s="15">
        <v>7.8</v>
      </c>
      <c r="CY969" s="25">
        <f t="shared" si="878"/>
        <v>45000</v>
      </c>
      <c r="CZ969" s="25">
        <f t="shared" si="879"/>
        <v>57.692307692307686</v>
      </c>
      <c r="DA969" s="25">
        <f t="shared" si="880"/>
        <v>135000</v>
      </c>
      <c r="EZ969" s="16"/>
      <c r="FA969" s="16"/>
      <c r="FB969" s="16"/>
      <c r="FC969" s="16"/>
      <c r="FD969" s="16"/>
      <c r="FE969" s="16"/>
      <c r="FF969" s="16"/>
      <c r="FG969" s="16"/>
      <c r="FH969" s="16"/>
      <c r="FI969" s="16"/>
      <c r="FJ969" s="16"/>
      <c r="FK969" s="16">
        <f t="shared" si="883"/>
        <v>8.59</v>
      </c>
      <c r="FL969" s="16">
        <f t="shared" si="884"/>
        <v>8.64</v>
      </c>
      <c r="FM969" s="15">
        <v>8.59</v>
      </c>
      <c r="FN969" s="15">
        <f t="shared" si="885"/>
        <v>8.5900000000000004E-2</v>
      </c>
      <c r="FO969" s="15">
        <f>FN969*SQRT(AR969)</f>
        <v>0.14878316437016656</v>
      </c>
      <c r="FP969" s="15">
        <v>8.64</v>
      </c>
      <c r="FQ969" s="15">
        <f t="shared" si="886"/>
        <v>8.6400000000000005E-2</v>
      </c>
      <c r="FR969" s="15">
        <f>FQ969*SQRT(AR969)</f>
        <v>0.149649189773951</v>
      </c>
      <c r="FS969" s="15">
        <f t="shared" si="887"/>
        <v>1.0058207217694994</v>
      </c>
      <c r="FT969" s="15">
        <f t="shared" si="888"/>
        <v>5.0000000000000711E-2</v>
      </c>
      <c r="FU969" s="15">
        <f t="shared" si="889"/>
        <v>5.8038468198002846E-3</v>
      </c>
      <c r="FV969" s="15">
        <f>((FR969*FR969)/(AR969*FP969*FP969)+(FO969*FO969)/(AR969*FM969*FM969))</f>
        <v>1.9999999999999998E-4</v>
      </c>
      <c r="FX969" s="15">
        <v>15.834000000000001</v>
      </c>
      <c r="FY969" s="15">
        <f t="shared" si="890"/>
        <v>0.15834000000000001</v>
      </c>
      <c r="FZ969" s="15">
        <f>FY969*SQRT(AR969)</f>
        <v>0.27425292487045605</v>
      </c>
      <c r="GA969" s="15">
        <v>47.328000000000003</v>
      </c>
      <c r="GB969" s="15">
        <f t="shared" si="891"/>
        <v>0.47328000000000003</v>
      </c>
      <c r="GC969" s="15">
        <f>GB969*SQRT(AR969)</f>
        <v>0.81974500620619828</v>
      </c>
      <c r="GD969" s="15">
        <f t="shared" si="874"/>
        <v>2.9890109890109891</v>
      </c>
      <c r="GE969" s="15">
        <f t="shared" si="875"/>
        <v>31.494</v>
      </c>
      <c r="GF969" s="15">
        <f t="shared" si="876"/>
        <v>1.0949425597791471</v>
      </c>
      <c r="GG969" s="15">
        <f>((GC969*GC969)/(AR969*GA969*GA969)+(FZ969*FZ969)/(AR969*FX969*FX969))</f>
        <v>1.9999999999999998E-4</v>
      </c>
      <c r="GI969" s="15">
        <v>12.4</v>
      </c>
      <c r="GJ969" s="15">
        <f t="shared" si="892"/>
        <v>0.12400000000000001</v>
      </c>
      <c r="GK969" s="15">
        <f>GJ969*SQRT(AR969)</f>
        <v>0.21477430013854079</v>
      </c>
      <c r="GL969" s="15">
        <v>13.4</v>
      </c>
      <c r="GM969" s="15">
        <f t="shared" si="893"/>
        <v>0.13400000000000001</v>
      </c>
      <c r="GN969" s="15">
        <f>GM969*SQRT(AR969)</f>
        <v>0.23209480821422956</v>
      </c>
      <c r="GO969" s="15">
        <f t="shared" si="894"/>
        <v>1.0806451612903225</v>
      </c>
      <c r="GP969" s="15">
        <f t="shared" si="895"/>
        <v>1</v>
      </c>
      <c r="GQ969" s="15">
        <f t="shared" si="896"/>
        <v>7.7558234345874499E-2</v>
      </c>
      <c r="GR969" s="15">
        <f>((GN969*GN969)/(AR969*GL969*GL969)+(GK969*GK969)/(AR969*GI969*GI969))</f>
        <v>2.0000000000000001E-4</v>
      </c>
      <c r="GT969" s="15">
        <v>86</v>
      </c>
      <c r="GU969" s="15">
        <f t="shared" si="897"/>
        <v>0.86</v>
      </c>
      <c r="GV969" s="15">
        <f>GU969*SQRT(AR969)</f>
        <v>1.4895636945092343</v>
      </c>
      <c r="GW969" s="15">
        <v>90.818221326695905</v>
      </c>
      <c r="GX969" s="15">
        <f t="shared" si="898"/>
        <v>0.90818221326695903</v>
      </c>
      <c r="GY969" s="15">
        <f>GX969*SQRT(AR969)</f>
        <v>1.5730177359087267</v>
      </c>
      <c r="GZ969" s="15">
        <f t="shared" si="899"/>
        <v>1.056025829380185</v>
      </c>
      <c r="HA969" s="15">
        <f t="shared" si="900"/>
        <v>4.8182213266959053</v>
      </c>
      <c r="HB969" s="15">
        <f t="shared" si="901"/>
        <v>5.4512644625265061E-2</v>
      </c>
      <c r="HC969" s="15">
        <f>((GY969*GY969)/(AR969*GW969*GW969)+(GV969*GV969)/(AR969*GT969*GT969))</f>
        <v>1.9999999999999998E-4</v>
      </c>
      <c r="HE969" s="15">
        <v>6.12</v>
      </c>
      <c r="HF969" s="15">
        <v>0.2</v>
      </c>
      <c r="HG969" s="15">
        <f>HF969*SQRT(AR969)</f>
        <v>0.34641016151377546</v>
      </c>
      <c r="HH969" s="15">
        <v>6.13</v>
      </c>
      <c r="HI969" s="15">
        <v>0.2</v>
      </c>
      <c r="HJ969" s="15">
        <f>HI969*SQRT(AR969)</f>
        <v>0.34641016151377546</v>
      </c>
      <c r="HK969" s="15">
        <f t="shared" si="862"/>
        <v>1.0016339869281046</v>
      </c>
      <c r="HL969" s="15">
        <f t="shared" si="863"/>
        <v>9.9999999999997868E-3</v>
      </c>
      <c r="HM969" s="15">
        <f t="shared" si="864"/>
        <v>1.6326534238852997E-3</v>
      </c>
      <c r="HN969" s="15">
        <f>((HJ969*HJ969)/(AR969*HH969*HH969)+(HG969*HG969)/(AR969*HE969*HE969))</f>
        <v>2.1324490777786249E-3</v>
      </c>
      <c r="HP969" s="15" t="s">
        <v>809</v>
      </c>
      <c r="HV969" s="15">
        <f t="shared" si="865"/>
        <v>826874.81632650702</v>
      </c>
      <c r="HW969" s="15">
        <f t="shared" si="866"/>
        <v>1.6326534238852997E-3</v>
      </c>
      <c r="HX969" s="25">
        <f>DA969</f>
        <v>135000</v>
      </c>
      <c r="HY969" s="25">
        <f>CY969</f>
        <v>45000</v>
      </c>
      <c r="HZ969" s="25">
        <f>CZ969</f>
        <v>57.692307692307686</v>
      </c>
      <c r="IA969" s="25">
        <f>DA969</f>
        <v>135000</v>
      </c>
    </row>
    <row r="970" spans="1:235" s="15" customFormat="1" x14ac:dyDescent="0.25">
      <c r="A970" s="31">
        <v>968</v>
      </c>
      <c r="B970" s="1">
        <v>160</v>
      </c>
      <c r="C970" s="1">
        <v>184</v>
      </c>
      <c r="D970" s="15" t="s">
        <v>2164</v>
      </c>
      <c r="E970" s="31">
        <v>2</v>
      </c>
      <c r="F970" s="15" t="s">
        <v>777</v>
      </c>
      <c r="G970" s="15" t="s">
        <v>2168</v>
      </c>
      <c r="H970" s="15" t="s">
        <v>2169</v>
      </c>
      <c r="I970" s="1">
        <v>2016</v>
      </c>
      <c r="J970" s="15" t="s">
        <v>592</v>
      </c>
      <c r="K970" s="1">
        <v>2015</v>
      </c>
      <c r="L970" s="15" t="s">
        <v>2170</v>
      </c>
      <c r="M970" s="15" t="s">
        <v>2171</v>
      </c>
      <c r="N970" s="15" t="s">
        <v>783</v>
      </c>
      <c r="O970" s="31">
        <v>2</v>
      </c>
      <c r="P970" s="15">
        <v>45.07</v>
      </c>
      <c r="Q970" s="15">
        <v>7.69</v>
      </c>
      <c r="S970" s="15">
        <v>1000</v>
      </c>
      <c r="T970" s="15">
        <v>15</v>
      </c>
      <c r="U970" s="15" t="s">
        <v>807</v>
      </c>
      <c r="V970" s="31">
        <v>2</v>
      </c>
      <c r="W970" s="16" t="s">
        <v>2172</v>
      </c>
      <c r="X970" s="15" t="s">
        <v>2173</v>
      </c>
      <c r="Y970" s="1">
        <v>8</v>
      </c>
      <c r="Z970" s="15">
        <v>8.3000000000000007</v>
      </c>
      <c r="AA970" s="15" t="s">
        <v>573</v>
      </c>
      <c r="AB970" s="15">
        <f t="shared" si="882"/>
        <v>8.3000000000000007</v>
      </c>
      <c r="AC970" s="1">
        <v>6</v>
      </c>
      <c r="AD970" s="15">
        <v>5.2</v>
      </c>
      <c r="AF970" s="15">
        <v>5.4</v>
      </c>
      <c r="AH970" s="15">
        <v>95</v>
      </c>
      <c r="AJ970" s="15">
        <v>4.8</v>
      </c>
      <c r="AK970" s="15">
        <v>5.5</v>
      </c>
      <c r="AL970" s="15">
        <v>89.7</v>
      </c>
      <c r="AM970" s="1">
        <v>3</v>
      </c>
      <c r="AP970" s="15" t="s">
        <v>2175</v>
      </c>
      <c r="AQ970" s="1">
        <v>9</v>
      </c>
      <c r="AR970" s="1">
        <v>3</v>
      </c>
      <c r="BP970" s="16"/>
      <c r="BQ970" s="16"/>
      <c r="BR970" s="16"/>
      <c r="BU970" s="16"/>
      <c r="CC970" s="15" t="s">
        <v>768</v>
      </c>
      <c r="CE970" s="15">
        <v>2</v>
      </c>
      <c r="CF970" s="15">
        <f t="shared" si="877"/>
        <v>45000</v>
      </c>
      <c r="CG970" s="15" t="s">
        <v>766</v>
      </c>
      <c r="CH970" s="15">
        <v>9.5</v>
      </c>
      <c r="CI970" s="15">
        <v>400</v>
      </c>
      <c r="CJ970" s="15">
        <v>30.2</v>
      </c>
      <c r="CK970" s="15">
        <v>521</v>
      </c>
      <c r="CL970" s="15">
        <v>58.5</v>
      </c>
      <c r="CM970" s="15">
        <v>20</v>
      </c>
      <c r="CO970" s="15">
        <v>38.799999999999997</v>
      </c>
      <c r="CP970" s="15">
        <v>28.3</v>
      </c>
      <c r="CQ970" s="15">
        <v>17.3</v>
      </c>
      <c r="CR970" s="15">
        <v>38.799999999999997</v>
      </c>
      <c r="CW970" s="15">
        <v>25.3</v>
      </c>
      <c r="CY970" s="25">
        <f t="shared" si="878"/>
        <v>45000</v>
      </c>
      <c r="CZ970" s="25">
        <f t="shared" si="879"/>
        <v>57.692307692307686</v>
      </c>
      <c r="DA970" s="25">
        <f t="shared" si="880"/>
        <v>135000</v>
      </c>
      <c r="EZ970" s="16"/>
      <c r="FA970" s="16"/>
      <c r="FB970" s="16"/>
      <c r="FC970" s="16"/>
      <c r="FD970" s="16"/>
      <c r="FE970" s="16"/>
      <c r="FF970" s="16"/>
      <c r="FG970" s="16"/>
      <c r="FH970" s="16"/>
      <c r="FI970" s="16"/>
      <c r="FJ970" s="16"/>
      <c r="FK970" s="16">
        <f t="shared" si="883"/>
        <v>8.59</v>
      </c>
      <c r="FL970" s="16">
        <f t="shared" si="884"/>
        <v>8.83</v>
      </c>
      <c r="FM970" s="15">
        <v>8.59</v>
      </c>
      <c r="FN970" s="15">
        <f t="shared" si="885"/>
        <v>8.5900000000000004E-2</v>
      </c>
      <c r="FO970" s="15">
        <f>FN970*SQRT(AR970)</f>
        <v>0.14878316437016656</v>
      </c>
      <c r="FP970" s="15">
        <v>8.83</v>
      </c>
      <c r="FQ970" s="15">
        <f t="shared" si="886"/>
        <v>8.8300000000000003E-2</v>
      </c>
      <c r="FR970" s="15">
        <f>FQ970*SQRT(AR970)</f>
        <v>0.15294008630833186</v>
      </c>
      <c r="FS970" s="15">
        <f t="shared" si="887"/>
        <v>1.0279394644935973</v>
      </c>
      <c r="FT970" s="15">
        <f t="shared" si="888"/>
        <v>0.24000000000000021</v>
      </c>
      <c r="FU970" s="15">
        <f t="shared" si="889"/>
        <v>2.7556278619704777E-2</v>
      </c>
      <c r="FV970" s="15">
        <f>((FR970*FR970)/(AR970*FP970*FP970)+(FO970*FO970)/(AR970*FM970*FM970))</f>
        <v>1.9999999999999998E-4</v>
      </c>
      <c r="FX970" s="15">
        <v>15.834000000000001</v>
      </c>
      <c r="FY970" s="15">
        <f t="shared" si="890"/>
        <v>0.15834000000000001</v>
      </c>
      <c r="FZ970" s="15">
        <f>FY970*SQRT(AR970)</f>
        <v>0.27425292487045605</v>
      </c>
      <c r="GA970" s="15">
        <v>28.884</v>
      </c>
      <c r="GB970" s="15">
        <f t="shared" si="891"/>
        <v>0.28883999999999999</v>
      </c>
      <c r="GC970" s="15">
        <f>GB970*SQRT(AR970)</f>
        <v>0.50028555525819451</v>
      </c>
      <c r="GD970" s="15">
        <f t="shared" si="874"/>
        <v>1.8241758241758241</v>
      </c>
      <c r="GE970" s="15">
        <f t="shared" si="875"/>
        <v>13.049999999999999</v>
      </c>
      <c r="GF970" s="15">
        <f t="shared" si="876"/>
        <v>0.60112828183969302</v>
      </c>
      <c r="GG970" s="15">
        <f>((GC970*GC970)/(AR970*GA970*GA970)+(FZ970*FZ970)/(AR970*FX970*FX970))</f>
        <v>1.9999999999999998E-4</v>
      </c>
      <c r="GI970" s="15">
        <v>12.4</v>
      </c>
      <c r="GJ970" s="15">
        <f t="shared" si="892"/>
        <v>0.12400000000000001</v>
      </c>
      <c r="GK970" s="15">
        <f>GJ970*SQRT(AR970)</f>
        <v>0.21477430013854079</v>
      </c>
      <c r="GL970" s="15">
        <v>14.4</v>
      </c>
      <c r="GM970" s="15">
        <f t="shared" si="893"/>
        <v>0.14400000000000002</v>
      </c>
      <c r="GN970" s="15">
        <f>GM970*SQRT(AR970)</f>
        <v>0.24941531628991834</v>
      </c>
      <c r="GO970" s="15">
        <f t="shared" si="894"/>
        <v>1.1612903225806452</v>
      </c>
      <c r="GP970" s="15">
        <f t="shared" si="895"/>
        <v>2</v>
      </c>
      <c r="GQ970" s="15">
        <f t="shared" si="896"/>
        <v>0.14953173397096364</v>
      </c>
      <c r="GR970" s="15">
        <f>((GN970*GN970)/(AR970*GL970*GL970)+(GK970*GK970)/(AR970*GI970*GI970))</f>
        <v>2.0000000000000001E-4</v>
      </c>
      <c r="GT970" s="15">
        <v>86</v>
      </c>
      <c r="GU970" s="15">
        <f t="shared" si="897"/>
        <v>0.86</v>
      </c>
      <c r="GV970" s="15">
        <f>GU970*SQRT(AR970)</f>
        <v>1.4895636945092343</v>
      </c>
      <c r="GW970" s="15">
        <v>84.929291801570471</v>
      </c>
      <c r="GX970" s="15">
        <f t="shared" si="898"/>
        <v>0.84929291801570472</v>
      </c>
      <c r="GY970" s="15">
        <f>GX970*SQRT(AR970)</f>
        <v>1.4710184845116296</v>
      </c>
      <c r="GZ970" s="15">
        <f t="shared" si="899"/>
        <v>0.98754990466942405</v>
      </c>
      <c r="HA970" s="15">
        <f t="shared" si="900"/>
        <v>-1.0707081984295286</v>
      </c>
      <c r="HB970" s="15">
        <f t="shared" si="901"/>
        <v>-1.2528247109679036E-2</v>
      </c>
      <c r="HC970" s="15">
        <f>((GY970*GY970)/(AR970*GW970*GW970)+(GV970*GV970)/(AR970*GT970*GT970))</f>
        <v>1.9999999999999998E-4</v>
      </c>
      <c r="HE970" s="15">
        <v>6.12</v>
      </c>
      <c r="HF970" s="15">
        <v>0.2</v>
      </c>
      <c r="HG970" s="15">
        <f>HF970*SQRT(AR970)</f>
        <v>0.34641016151377546</v>
      </c>
      <c r="HH970" s="15">
        <v>8.75</v>
      </c>
      <c r="HI970" s="15">
        <v>0.2</v>
      </c>
      <c r="HJ970" s="15">
        <f>HI970*SQRT(AR970)</f>
        <v>0.34641016151377546</v>
      </c>
      <c r="HK970" s="15">
        <f t="shared" si="862"/>
        <v>1.4297385620915033</v>
      </c>
      <c r="HL970" s="15">
        <f t="shared" si="863"/>
        <v>2.63</v>
      </c>
      <c r="HM970" s="15">
        <f t="shared" si="864"/>
        <v>0.35749160384528844</v>
      </c>
      <c r="HN970" s="15">
        <f>((HJ970*HJ970)/(AR970*HH970*HH970)+(HG970*HG970)/(AR970*HE970*HE970))</f>
        <v>1.5904142920784871E-3</v>
      </c>
      <c r="HP970" s="15" t="s">
        <v>809</v>
      </c>
      <c r="HV970" s="15">
        <f t="shared" si="865"/>
        <v>3776.3124657446197</v>
      </c>
      <c r="HW970" s="15">
        <f t="shared" si="866"/>
        <v>0.35749160384528844</v>
      </c>
      <c r="HX970" s="25">
        <f>DA970</f>
        <v>135000</v>
      </c>
      <c r="HY970" s="25">
        <f>CY970</f>
        <v>45000</v>
      </c>
      <c r="HZ970" s="25">
        <f>CZ970</f>
        <v>57.692307692307686</v>
      </c>
      <c r="IA970" s="25">
        <f>DA970</f>
        <v>135000</v>
      </c>
    </row>
    <row r="971" spans="1:235" s="15" customFormat="1" x14ac:dyDescent="0.25">
      <c r="A971" s="31">
        <v>969</v>
      </c>
      <c r="B971" s="1">
        <v>160</v>
      </c>
      <c r="C971" s="1">
        <v>184</v>
      </c>
      <c r="D971" s="15" t="s">
        <v>2165</v>
      </c>
      <c r="E971" s="31">
        <v>2</v>
      </c>
      <c r="F971" s="15" t="s">
        <v>777</v>
      </c>
      <c r="G971" s="15" t="s">
        <v>2168</v>
      </c>
      <c r="H971" s="15" t="s">
        <v>2169</v>
      </c>
      <c r="I971" s="1">
        <v>2016</v>
      </c>
      <c r="J971" s="15" t="s">
        <v>592</v>
      </c>
      <c r="K971" s="1">
        <v>2015</v>
      </c>
      <c r="L971" s="15" t="s">
        <v>2170</v>
      </c>
      <c r="M971" s="15" t="s">
        <v>2171</v>
      </c>
      <c r="N971" s="15" t="s">
        <v>783</v>
      </c>
      <c r="O971" s="31">
        <v>2</v>
      </c>
      <c r="P971" s="15">
        <v>45.07</v>
      </c>
      <c r="Q971" s="15">
        <v>7.69</v>
      </c>
      <c r="S971" s="15">
        <v>1000</v>
      </c>
      <c r="T971" s="15">
        <v>15</v>
      </c>
      <c r="U971" s="15" t="s">
        <v>807</v>
      </c>
      <c r="V971" s="31">
        <v>2</v>
      </c>
      <c r="W971" s="16" t="s">
        <v>2172</v>
      </c>
      <c r="X971" s="15" t="s">
        <v>2173</v>
      </c>
      <c r="Y971" s="1">
        <v>8</v>
      </c>
      <c r="Z971" s="15">
        <v>8.3000000000000007</v>
      </c>
      <c r="AA971" s="15" t="s">
        <v>573</v>
      </c>
      <c r="AB971" s="15">
        <f t="shared" si="882"/>
        <v>8.3000000000000007</v>
      </c>
      <c r="AC971" s="1">
        <v>6</v>
      </c>
      <c r="AD971" s="15">
        <v>5.2</v>
      </c>
      <c r="AF971" s="15">
        <v>5.4</v>
      </c>
      <c r="AH971" s="15">
        <v>95</v>
      </c>
      <c r="AJ971" s="15">
        <v>4.8</v>
      </c>
      <c r="AK971" s="15">
        <v>5.5</v>
      </c>
      <c r="AL971" s="15">
        <v>89.7</v>
      </c>
      <c r="AM971" s="1">
        <v>3</v>
      </c>
      <c r="AP971" s="15" t="s">
        <v>2175</v>
      </c>
      <c r="AQ971" s="1">
        <v>9</v>
      </c>
      <c r="AR971" s="1">
        <v>3</v>
      </c>
      <c r="BP971" s="16"/>
      <c r="BQ971" s="16"/>
      <c r="BR971" s="16"/>
      <c r="BU971" s="16"/>
      <c r="CC971" s="15" t="s">
        <v>768</v>
      </c>
      <c r="CE971" s="15">
        <v>2</v>
      </c>
      <c r="CF971" s="15">
        <f t="shared" si="877"/>
        <v>45000</v>
      </c>
      <c r="CG971" s="15" t="s">
        <v>766</v>
      </c>
      <c r="CH971" s="15">
        <v>10.4</v>
      </c>
      <c r="CI971" s="15">
        <v>600</v>
      </c>
      <c r="CJ971" s="15">
        <v>27.5</v>
      </c>
      <c r="CK971" s="15">
        <v>528</v>
      </c>
      <c r="CL971" s="15">
        <v>40.1</v>
      </c>
      <c r="CM971" s="15">
        <v>28.7</v>
      </c>
      <c r="CO971" s="15">
        <v>58.8</v>
      </c>
      <c r="CP971" s="15">
        <v>35.9</v>
      </c>
      <c r="CQ971" s="15">
        <v>24</v>
      </c>
      <c r="CR971" s="15">
        <v>58.8</v>
      </c>
      <c r="CW971" s="15">
        <v>35.4</v>
      </c>
      <c r="CY971" s="25">
        <f t="shared" si="878"/>
        <v>45000</v>
      </c>
      <c r="CZ971" s="25">
        <f t="shared" si="879"/>
        <v>57.692307692307686</v>
      </c>
      <c r="DA971" s="25">
        <f t="shared" si="880"/>
        <v>135000</v>
      </c>
      <c r="EZ971" s="16"/>
      <c r="FA971" s="16"/>
      <c r="FB971" s="16"/>
      <c r="FC971" s="16"/>
      <c r="FD971" s="16"/>
      <c r="FE971" s="16"/>
      <c r="FF971" s="16"/>
      <c r="FG971" s="16"/>
      <c r="FH971" s="16"/>
      <c r="FI971" s="16"/>
      <c r="FJ971" s="16"/>
      <c r="FK971" s="16">
        <f t="shared" si="883"/>
        <v>8.59</v>
      </c>
      <c r="FL971" s="16">
        <f t="shared" si="884"/>
        <v>9.2100000000000009</v>
      </c>
      <c r="FM971" s="15">
        <v>8.59</v>
      </c>
      <c r="FN971" s="15">
        <f t="shared" si="885"/>
        <v>8.5900000000000004E-2</v>
      </c>
      <c r="FO971" s="15">
        <f>FN971*SQRT(AR971)</f>
        <v>0.14878316437016656</v>
      </c>
      <c r="FP971" s="15">
        <v>9.2100000000000009</v>
      </c>
      <c r="FQ971" s="15">
        <f t="shared" si="886"/>
        <v>9.2100000000000015E-2</v>
      </c>
      <c r="FR971" s="15">
        <f>FQ971*SQRT(AR971)</f>
        <v>0.15952187937709361</v>
      </c>
      <c r="FS971" s="15">
        <f t="shared" si="887"/>
        <v>1.0721769499417928</v>
      </c>
      <c r="FT971" s="15">
        <f t="shared" si="888"/>
        <v>0.62000000000000099</v>
      </c>
      <c r="FU971" s="15">
        <f t="shared" si="889"/>
        <v>6.9691114271051458E-2</v>
      </c>
      <c r="FV971" s="15">
        <f>((FR971*FR971)/(AR971*FP971*FP971)+(FO971*FO971)/(AR971*FM971*FM971))</f>
        <v>2.0000000000000001E-4</v>
      </c>
      <c r="FX971" s="15">
        <v>15.834000000000001</v>
      </c>
      <c r="FY971" s="15">
        <f t="shared" si="890"/>
        <v>0.15834000000000001</v>
      </c>
      <c r="FZ971" s="15">
        <f>FY971*SQRT(AR971)</f>
        <v>0.27425292487045605</v>
      </c>
      <c r="GA971" s="15">
        <v>32.885999999999996</v>
      </c>
      <c r="GB971" s="15">
        <f t="shared" si="891"/>
        <v>0.32885999999999999</v>
      </c>
      <c r="GC971" s="15">
        <f>GB971*SQRT(AR971)</f>
        <v>0.56960222857710097</v>
      </c>
      <c r="GD971" s="15">
        <f t="shared" si="874"/>
        <v>2.0769230769230766</v>
      </c>
      <c r="GE971" s="15">
        <f t="shared" si="875"/>
        <v>17.051999999999992</v>
      </c>
      <c r="GF971" s="15">
        <f t="shared" si="876"/>
        <v>0.73088750854279239</v>
      </c>
      <c r="GG971" s="15">
        <f>((GC971*GC971)/(AR971*GA971*GA971)+(FZ971*FZ971)/(AR971*FX971*FX971))</f>
        <v>2.0000000000000004E-4</v>
      </c>
      <c r="GI971" s="15">
        <v>12.4</v>
      </c>
      <c r="GJ971" s="15">
        <f t="shared" si="892"/>
        <v>0.12400000000000001</v>
      </c>
      <c r="GK971" s="15">
        <f>GJ971*SQRT(AR971)</f>
        <v>0.21477430013854079</v>
      </c>
      <c r="GL971" s="15">
        <v>15.4</v>
      </c>
      <c r="GM971" s="15">
        <f t="shared" si="893"/>
        <v>0.154</v>
      </c>
      <c r="GN971" s="15">
        <f>GM971*SQRT(AR971)</f>
        <v>0.26673582436560711</v>
      </c>
      <c r="GO971" s="15">
        <f t="shared" si="894"/>
        <v>1.2419354838709677</v>
      </c>
      <c r="GP971" s="15">
        <f t="shared" si="895"/>
        <v>3</v>
      </c>
      <c r="GQ971" s="15">
        <f t="shared" si="896"/>
        <v>0.21667103680859245</v>
      </c>
      <c r="GR971" s="15">
        <f>((GN971*GN971)/(AR971*GL971*GL971)+(GK971*GK971)/(AR971*GI971*GI971))</f>
        <v>2.0000000000000001E-4</v>
      </c>
      <c r="GT971" s="15">
        <v>86</v>
      </c>
      <c r="GU971" s="15">
        <f t="shared" si="897"/>
        <v>0.86</v>
      </c>
      <c r="GV971" s="15">
        <f>GU971*SQRT(AR971)</f>
        <v>1.4895636945092343</v>
      </c>
      <c r="GW971" s="15">
        <v>93.494348353815809</v>
      </c>
      <c r="GX971" s="15">
        <f t="shared" si="898"/>
        <v>0.93494348353815815</v>
      </c>
      <c r="GY971" s="15">
        <f>GX971*SQRT(AR971)</f>
        <v>1.619369615693526</v>
      </c>
      <c r="GZ971" s="15">
        <f t="shared" si="899"/>
        <v>1.0871435855094862</v>
      </c>
      <c r="HA971" s="15">
        <f t="shared" si="900"/>
        <v>7.4943483538158091</v>
      </c>
      <c r="HB971" s="15">
        <f t="shared" si="901"/>
        <v>8.3553692800501622E-2</v>
      </c>
      <c r="HC971" s="15">
        <f>((GY971*GY971)/(AR971*GW971*GW971)+(GV971*GV971)/(AR971*GT971*GT971))</f>
        <v>1.9999999999999996E-4</v>
      </c>
      <c r="HE971" s="15">
        <v>6.12</v>
      </c>
      <c r="HF971" s="15">
        <v>0.2</v>
      </c>
      <c r="HG971" s="15">
        <f>HF971*SQRT(AR971)</f>
        <v>0.34641016151377546</v>
      </c>
      <c r="HH971" s="15">
        <v>7.31</v>
      </c>
      <c r="HI971" s="15">
        <v>0.2</v>
      </c>
      <c r="HJ971" s="15">
        <f>HI971*SQRT(AR971)</f>
        <v>0.34641016151377546</v>
      </c>
      <c r="HK971" s="15">
        <f t="shared" si="862"/>
        <v>1.1944444444444444</v>
      </c>
      <c r="HL971" s="15">
        <f t="shared" si="863"/>
        <v>1.1899999999999995</v>
      </c>
      <c r="HM971" s="15">
        <f t="shared" si="864"/>
        <v>0.17768117723745247</v>
      </c>
      <c r="HN971" s="15">
        <f>((HJ971*HJ971)/(AR971*HH971*HH971)+(HG971*HG971)/(AR971*HE971*HE971))</f>
        <v>1.8165229355167742E-3</v>
      </c>
      <c r="HP971" s="15" t="s">
        <v>809</v>
      </c>
      <c r="HV971" s="15">
        <f t="shared" si="865"/>
        <v>7597.8785203334455</v>
      </c>
      <c r="HW971" s="15">
        <f t="shared" si="866"/>
        <v>0.17768117723745247</v>
      </c>
      <c r="HX971" s="25">
        <f>DA971</f>
        <v>135000</v>
      </c>
      <c r="HY971" s="25">
        <f>CY971</f>
        <v>45000</v>
      </c>
      <c r="HZ971" s="25">
        <f>CZ971</f>
        <v>57.692307692307686</v>
      </c>
      <c r="IA971" s="25">
        <f>DA971</f>
        <v>135000</v>
      </c>
    </row>
    <row r="972" spans="1:235" s="15" customFormat="1" x14ac:dyDescent="0.25">
      <c r="A972" s="31">
        <v>970</v>
      </c>
      <c r="B972" s="1">
        <v>160</v>
      </c>
      <c r="C972" s="1">
        <v>184</v>
      </c>
      <c r="D972" s="15" t="s">
        <v>2166</v>
      </c>
      <c r="E972" s="31">
        <v>2</v>
      </c>
      <c r="F972" s="15" t="s">
        <v>777</v>
      </c>
      <c r="G972" s="15" t="s">
        <v>2168</v>
      </c>
      <c r="H972" s="15" t="s">
        <v>2169</v>
      </c>
      <c r="I972" s="1">
        <v>2016</v>
      </c>
      <c r="J972" s="15" t="s">
        <v>592</v>
      </c>
      <c r="K972" s="1">
        <v>2015</v>
      </c>
      <c r="L972" s="15" t="s">
        <v>2170</v>
      </c>
      <c r="M972" s="15" t="s">
        <v>2171</v>
      </c>
      <c r="N972" s="15" t="s">
        <v>783</v>
      </c>
      <c r="O972" s="31">
        <v>2</v>
      </c>
      <c r="P972" s="15">
        <v>45.07</v>
      </c>
      <c r="Q972" s="15">
        <v>7.69</v>
      </c>
      <c r="S972" s="15">
        <v>1000</v>
      </c>
      <c r="T972" s="15">
        <v>15</v>
      </c>
      <c r="U972" s="15" t="s">
        <v>807</v>
      </c>
      <c r="V972" s="31">
        <v>2</v>
      </c>
      <c r="W972" s="16" t="s">
        <v>2172</v>
      </c>
      <c r="X972" s="15" t="s">
        <v>2173</v>
      </c>
      <c r="Y972" s="1">
        <v>8</v>
      </c>
      <c r="Z972" s="15">
        <v>8.3000000000000007</v>
      </c>
      <c r="AA972" s="15" t="s">
        <v>573</v>
      </c>
      <c r="AB972" s="15">
        <f t="shared" si="882"/>
        <v>8.3000000000000007</v>
      </c>
      <c r="AC972" s="1">
        <v>6</v>
      </c>
      <c r="AD972" s="15">
        <v>5.2</v>
      </c>
      <c r="AF972" s="15">
        <v>5.4</v>
      </c>
      <c r="AH972" s="15">
        <v>95</v>
      </c>
      <c r="AJ972" s="15">
        <v>4.8</v>
      </c>
      <c r="AK972" s="15">
        <v>5.5</v>
      </c>
      <c r="AL972" s="15">
        <v>89.7</v>
      </c>
      <c r="AM972" s="1">
        <v>3</v>
      </c>
      <c r="AP972" s="15" t="s">
        <v>2175</v>
      </c>
      <c r="AQ972" s="1">
        <v>9</v>
      </c>
      <c r="AR972" s="1">
        <v>3</v>
      </c>
      <c r="BP972" s="16"/>
      <c r="BQ972" s="16"/>
      <c r="BR972" s="16"/>
      <c r="BU972" s="16"/>
      <c r="CC972" s="15" t="s">
        <v>2177</v>
      </c>
      <c r="CE972" s="15">
        <v>2</v>
      </c>
      <c r="CF972" s="15">
        <f t="shared" si="877"/>
        <v>45000</v>
      </c>
      <c r="CG972" s="15" t="s">
        <v>766</v>
      </c>
      <c r="CH972" s="15">
        <v>10</v>
      </c>
      <c r="CI972" s="15">
        <v>400</v>
      </c>
      <c r="CJ972" s="15">
        <v>52.5</v>
      </c>
      <c r="CK972" s="15">
        <v>549</v>
      </c>
      <c r="CL972" s="15">
        <v>22.3</v>
      </c>
      <c r="CM972" s="15">
        <v>22.1</v>
      </c>
      <c r="CO972" s="15">
        <v>16.2</v>
      </c>
      <c r="CP972" s="15">
        <v>20.3</v>
      </c>
      <c r="CQ972" s="15">
        <v>15.7</v>
      </c>
      <c r="CR972" s="15">
        <v>16.2</v>
      </c>
      <c r="CW972" s="15">
        <v>27.5</v>
      </c>
      <c r="CY972" s="25">
        <f t="shared" si="878"/>
        <v>45000</v>
      </c>
      <c r="CZ972" s="25">
        <f t="shared" si="879"/>
        <v>57.692307692307686</v>
      </c>
      <c r="DA972" s="25">
        <f t="shared" si="880"/>
        <v>135000</v>
      </c>
      <c r="EZ972" s="16"/>
      <c r="FA972" s="16"/>
      <c r="FB972" s="16"/>
      <c r="FC972" s="16"/>
      <c r="FD972" s="16"/>
      <c r="FE972" s="16"/>
      <c r="FF972" s="16"/>
      <c r="FG972" s="16"/>
      <c r="FH972" s="16"/>
      <c r="FI972" s="16"/>
      <c r="FJ972" s="16"/>
      <c r="FK972" s="16">
        <f t="shared" si="883"/>
        <v>8.59</v>
      </c>
      <c r="FL972" s="16">
        <f t="shared" si="884"/>
        <v>8.99</v>
      </c>
      <c r="FM972" s="15">
        <v>8.59</v>
      </c>
      <c r="FN972" s="15">
        <f t="shared" si="885"/>
        <v>8.5900000000000004E-2</v>
      </c>
      <c r="FO972" s="15">
        <f>FN972*SQRT(AR972)</f>
        <v>0.14878316437016656</v>
      </c>
      <c r="FP972" s="15">
        <v>8.99</v>
      </c>
      <c r="FQ972" s="15">
        <f t="shared" si="886"/>
        <v>8.9900000000000008E-2</v>
      </c>
      <c r="FR972" s="15">
        <f>FQ972*SQRT(AR972)</f>
        <v>0.15571136760044207</v>
      </c>
      <c r="FS972" s="15">
        <f t="shared" si="887"/>
        <v>1.0465657741559953</v>
      </c>
      <c r="FT972" s="15">
        <f t="shared" si="888"/>
        <v>0.40000000000000036</v>
      </c>
      <c r="FU972" s="15">
        <f t="shared" si="889"/>
        <v>4.5514112487365033E-2</v>
      </c>
      <c r="FV972" s="15">
        <f>((FR972*FR972)/(AR972*FP972*FP972)+(FO972*FO972)/(AR972*FM972*FM972))</f>
        <v>2.0000000000000001E-4</v>
      </c>
      <c r="FX972" s="15">
        <v>15.834000000000001</v>
      </c>
      <c r="FY972" s="15">
        <f t="shared" si="890"/>
        <v>0.15834000000000001</v>
      </c>
      <c r="FZ972" s="15">
        <f>FY972*SQRT(AR972)</f>
        <v>0.27425292487045605</v>
      </c>
      <c r="GA972" s="15">
        <v>34.277999999999999</v>
      </c>
      <c r="GB972" s="15">
        <f t="shared" si="891"/>
        <v>0.34277999999999997</v>
      </c>
      <c r="GC972" s="15">
        <f>GB972*SQRT(AR972)</f>
        <v>0.5937123758184597</v>
      </c>
      <c r="GD972" s="15">
        <f t="shared" si="874"/>
        <v>2.1648351648351647</v>
      </c>
      <c r="GE972" s="15">
        <f t="shared" si="875"/>
        <v>18.443999999999996</v>
      </c>
      <c r="GF972" s="15">
        <f t="shared" si="876"/>
        <v>0.7723442222211383</v>
      </c>
      <c r="GG972" s="15">
        <f>((GC972*GC972)/(AR972*GA972*GA972)+(FZ972*FZ972)/(AR972*FX972*FX972))</f>
        <v>1.9999999999999998E-4</v>
      </c>
      <c r="GI972" s="15">
        <v>12.4</v>
      </c>
      <c r="GJ972" s="15">
        <f t="shared" si="892"/>
        <v>0.12400000000000001</v>
      </c>
      <c r="GK972" s="15">
        <f>GJ972*SQRT(AR972)</f>
        <v>0.21477430013854079</v>
      </c>
      <c r="GL972" s="15">
        <v>16.399999999999999</v>
      </c>
      <c r="GM972" s="15">
        <f t="shared" si="893"/>
        <v>0.16399999999999998</v>
      </c>
      <c r="GN972" s="15">
        <f>GM972*SQRT(AR972)</f>
        <v>0.2840563324412958</v>
      </c>
      <c r="GO972" s="15">
        <f t="shared" si="894"/>
        <v>1.3225806451612903</v>
      </c>
      <c r="GP972" s="15">
        <f t="shared" si="895"/>
        <v>3.9999999999999982</v>
      </c>
      <c r="GQ972" s="15">
        <f t="shared" si="896"/>
        <v>0.27958486221916168</v>
      </c>
      <c r="GR972" s="15">
        <f>((GN972*GN972)/(AR972*GL972*GL972)+(GK972*GK972)/(AR972*GI972*GI972))</f>
        <v>1.9999999999999998E-4</v>
      </c>
      <c r="GT972" s="15">
        <v>86</v>
      </c>
      <c r="GU972" s="15">
        <f t="shared" si="897"/>
        <v>0.86</v>
      </c>
      <c r="GV972" s="15">
        <f>GU972*SQRT(AR972)</f>
        <v>1.4895636945092343</v>
      </c>
      <c r="GW972" s="15">
        <v>85.172329928427487</v>
      </c>
      <c r="GX972" s="15">
        <f t="shared" si="898"/>
        <v>0.85172329928427493</v>
      </c>
      <c r="GY972" s="15">
        <f>GX972*SQRT(AR972)</f>
        <v>1.4752280283505568</v>
      </c>
      <c r="GZ972" s="15">
        <f t="shared" si="899"/>
        <v>0.9903759294003196</v>
      </c>
      <c r="HA972" s="15">
        <f t="shared" si="900"/>
        <v>-0.82767007157251271</v>
      </c>
      <c r="HB972" s="15">
        <f t="shared" si="901"/>
        <v>-9.6706812644367091E-3</v>
      </c>
      <c r="HC972" s="15">
        <f>((GY972*GY972)/(AR972*GW972*GW972)+(GV972*GV972)/(AR972*GT972*GT972))</f>
        <v>1.9999999999999996E-4</v>
      </c>
      <c r="HE972" s="15">
        <v>6.12</v>
      </c>
      <c r="HF972" s="15">
        <v>0.2</v>
      </c>
      <c r="HG972" s="15">
        <f>HF972*SQRT(AR972)</f>
        <v>0.34641016151377546</v>
      </c>
      <c r="HH972" s="15">
        <v>7.82</v>
      </c>
      <c r="HI972" s="15">
        <v>0.2</v>
      </c>
      <c r="HJ972" s="15">
        <f>HI972*SQRT(AR972)</f>
        <v>0.34641016151377546</v>
      </c>
      <c r="HK972" s="15">
        <f t="shared" si="862"/>
        <v>1.2777777777777779</v>
      </c>
      <c r="HL972" s="15">
        <f t="shared" si="863"/>
        <v>1.7000000000000002</v>
      </c>
      <c r="HM972" s="15">
        <f t="shared" si="864"/>
        <v>0.24512245803298516</v>
      </c>
      <c r="HN972" s="15">
        <f>((HJ972*HJ972)/(AR972*HH972*HH972)+(HG972*HG972)/(AR972*HE972*HE972))</f>
        <v>1.722068830909476E-3</v>
      </c>
      <c r="HP972" s="15" t="s">
        <v>809</v>
      </c>
      <c r="HV972" s="15">
        <f t="shared" si="865"/>
        <v>5507.4512993759872</v>
      </c>
      <c r="HW972" s="15">
        <f t="shared" si="866"/>
        <v>0.24512245803298516</v>
      </c>
      <c r="HX972" s="25">
        <f>DA972</f>
        <v>135000</v>
      </c>
      <c r="HY972" s="25">
        <f>CY972</f>
        <v>45000</v>
      </c>
      <c r="HZ972" s="25">
        <f>CZ972</f>
        <v>57.692307692307686</v>
      </c>
      <c r="IA972" s="25">
        <f>DA972</f>
        <v>135000</v>
      </c>
    </row>
    <row r="973" spans="1:235" s="15" customFormat="1" x14ac:dyDescent="0.25">
      <c r="A973" s="31">
        <v>971</v>
      </c>
      <c r="B973" s="1">
        <v>160</v>
      </c>
      <c r="C973" s="1">
        <v>184</v>
      </c>
      <c r="D973" s="15" t="s">
        <v>2167</v>
      </c>
      <c r="E973" s="31">
        <v>2</v>
      </c>
      <c r="F973" s="15" t="s">
        <v>777</v>
      </c>
      <c r="G973" s="15" t="s">
        <v>2168</v>
      </c>
      <c r="H973" s="15" t="s">
        <v>2169</v>
      </c>
      <c r="I973" s="1">
        <v>2016</v>
      </c>
      <c r="J973" s="15" t="s">
        <v>592</v>
      </c>
      <c r="K973" s="1">
        <v>2015</v>
      </c>
      <c r="L973" s="15" t="s">
        <v>2170</v>
      </c>
      <c r="M973" s="15" t="s">
        <v>2171</v>
      </c>
      <c r="N973" s="15" t="s">
        <v>783</v>
      </c>
      <c r="O973" s="31">
        <v>2</v>
      </c>
      <c r="P973" s="15">
        <v>45.07</v>
      </c>
      <c r="Q973" s="15">
        <v>7.69</v>
      </c>
      <c r="S973" s="15">
        <v>1000</v>
      </c>
      <c r="T973" s="15">
        <v>15</v>
      </c>
      <c r="U973" s="15" t="s">
        <v>807</v>
      </c>
      <c r="V973" s="31">
        <v>2</v>
      </c>
      <c r="W973" s="16" t="s">
        <v>2172</v>
      </c>
      <c r="X973" s="15" t="s">
        <v>2173</v>
      </c>
      <c r="Y973" s="1">
        <v>8</v>
      </c>
      <c r="Z973" s="15">
        <v>8.3000000000000007</v>
      </c>
      <c r="AA973" s="15" t="s">
        <v>573</v>
      </c>
      <c r="AB973" s="15">
        <f t="shared" si="882"/>
        <v>8.3000000000000007</v>
      </c>
      <c r="AC973" s="1">
        <v>6</v>
      </c>
      <c r="AD973" s="15">
        <v>5.2</v>
      </c>
      <c r="AF973" s="15">
        <v>5.4</v>
      </c>
      <c r="AH973" s="15">
        <v>95</v>
      </c>
      <c r="AJ973" s="15">
        <v>4.8</v>
      </c>
      <c r="AK973" s="15">
        <v>5.5</v>
      </c>
      <c r="AL973" s="15">
        <v>89.7</v>
      </c>
      <c r="AM973" s="1">
        <v>3</v>
      </c>
      <c r="AP973" s="15" t="s">
        <v>2175</v>
      </c>
      <c r="AQ973" s="1">
        <v>9</v>
      </c>
      <c r="AR973" s="1">
        <v>3</v>
      </c>
      <c r="BP973" s="16"/>
      <c r="BQ973" s="16"/>
      <c r="BR973" s="16"/>
      <c r="BU973" s="16"/>
      <c r="CC973" s="15" t="s">
        <v>2177</v>
      </c>
      <c r="CE973" s="15">
        <v>2</v>
      </c>
      <c r="CF973" s="15">
        <f t="shared" si="877"/>
        <v>45000</v>
      </c>
      <c r="CG973" s="15" t="s">
        <v>766</v>
      </c>
      <c r="CH973" s="15">
        <v>10.4</v>
      </c>
      <c r="CI973" s="15">
        <v>600</v>
      </c>
      <c r="CJ973" s="15">
        <v>18.600000000000001</v>
      </c>
      <c r="CK973" s="15">
        <v>579</v>
      </c>
      <c r="CL973" s="15">
        <v>17.899999999999999</v>
      </c>
      <c r="CM973" s="15">
        <v>28.1</v>
      </c>
      <c r="CO973" s="15">
        <v>35.299999999999997</v>
      </c>
      <c r="CP973" s="15">
        <v>28.9</v>
      </c>
      <c r="CQ973" s="15">
        <v>21.3</v>
      </c>
      <c r="CR973" s="15">
        <v>35.299999999999997</v>
      </c>
      <c r="CW973" s="15">
        <v>34.5</v>
      </c>
      <c r="CY973" s="25">
        <f t="shared" si="878"/>
        <v>45000</v>
      </c>
      <c r="CZ973" s="25">
        <f t="shared" si="879"/>
        <v>57.692307692307686</v>
      </c>
      <c r="DA973" s="25">
        <f t="shared" si="880"/>
        <v>135000</v>
      </c>
      <c r="EZ973" s="16"/>
      <c r="FA973" s="16"/>
      <c r="FB973" s="16"/>
      <c r="FC973" s="16"/>
      <c r="FD973" s="16"/>
      <c r="FE973" s="16"/>
      <c r="FF973" s="16"/>
      <c r="FG973" s="16"/>
      <c r="FH973" s="16"/>
      <c r="FI973" s="16"/>
      <c r="FJ973" s="16"/>
      <c r="FK973" s="16">
        <f t="shared" si="883"/>
        <v>8.59</v>
      </c>
      <c r="FL973" s="16">
        <f t="shared" si="884"/>
        <v>8.9700000000000006</v>
      </c>
      <c r="FM973" s="15">
        <v>8.59</v>
      </c>
      <c r="FN973" s="15">
        <f t="shared" si="885"/>
        <v>8.5900000000000004E-2</v>
      </c>
      <c r="FO973" s="15">
        <f>FN973*SQRT(AR973)</f>
        <v>0.14878316437016656</v>
      </c>
      <c r="FP973" s="15">
        <v>8.9700000000000006</v>
      </c>
      <c r="FQ973" s="15">
        <f t="shared" si="886"/>
        <v>8.9700000000000002E-2</v>
      </c>
      <c r="FR973" s="15">
        <f>FQ973*SQRT(AR973)</f>
        <v>0.15536495743892828</v>
      </c>
      <c r="FS973" s="15">
        <f t="shared" si="887"/>
        <v>1.0442374854481957</v>
      </c>
      <c r="FT973" s="15">
        <f t="shared" si="888"/>
        <v>0.38000000000000078</v>
      </c>
      <c r="FU973" s="15">
        <f t="shared" si="889"/>
        <v>4.3286940074540592E-2</v>
      </c>
      <c r="FV973" s="15">
        <f>((FR973*FR973)/(AR973*FP973*FP973)+(FO973*FO973)/(AR973*FM973*FM973))</f>
        <v>1.9999999999999998E-4</v>
      </c>
      <c r="FX973" s="15">
        <v>15.834000000000001</v>
      </c>
      <c r="FY973" s="15">
        <f t="shared" si="890"/>
        <v>0.15834000000000001</v>
      </c>
      <c r="FZ973" s="15">
        <f>FY973*SQRT(AR973)</f>
        <v>0.27425292487045605</v>
      </c>
      <c r="GA973" s="15">
        <v>30.45</v>
      </c>
      <c r="GB973" s="15">
        <f t="shared" si="891"/>
        <v>0.30449999999999999</v>
      </c>
      <c r="GC973" s="15">
        <f>GB973*SQRT(AR973)</f>
        <v>0.52740947090472312</v>
      </c>
      <c r="GD973" s="15">
        <f t="shared" si="874"/>
        <v>1.9230769230769229</v>
      </c>
      <c r="GE973" s="15">
        <f t="shared" si="875"/>
        <v>14.615999999999998</v>
      </c>
      <c r="GF973" s="15">
        <f t="shared" si="876"/>
        <v>0.65392646740666382</v>
      </c>
      <c r="GG973" s="15">
        <f>((GC973*GC973)/(AR973*GA973*GA973)+(FZ973*FZ973)/(AR973*FX973*FX973))</f>
        <v>2.0000000000000001E-4</v>
      </c>
      <c r="GI973" s="15">
        <v>12.4</v>
      </c>
      <c r="GJ973" s="15">
        <f t="shared" si="892"/>
        <v>0.12400000000000001</v>
      </c>
      <c r="GK973" s="15">
        <f>GJ973*SQRT(AR973)</f>
        <v>0.21477430013854079</v>
      </c>
      <c r="GL973" s="15">
        <v>17.399999999999999</v>
      </c>
      <c r="GM973" s="15">
        <f t="shared" si="893"/>
        <v>0.17399999999999999</v>
      </c>
      <c r="GN973" s="15">
        <f>GM973*SQRT(AR973)</f>
        <v>0.3013768405169846</v>
      </c>
      <c r="GO973" s="15">
        <f t="shared" si="894"/>
        <v>1.4032258064516128</v>
      </c>
      <c r="GP973" s="15">
        <f t="shared" si="895"/>
        <v>4.9999999999999982</v>
      </c>
      <c r="GQ973" s="15">
        <f t="shared" si="896"/>
        <v>0.33877373360949203</v>
      </c>
      <c r="GR973" s="15">
        <f>((GN973*GN973)/(AR973*GL973*GL973)+(GK973*GK973)/(AR973*GI973*GI973))</f>
        <v>1.9999999999999998E-4</v>
      </c>
      <c r="GT973" s="15">
        <v>86</v>
      </c>
      <c r="GU973" s="15">
        <f t="shared" si="897"/>
        <v>0.86</v>
      </c>
      <c r="GV973" s="15">
        <f>GU973*SQRT(AR973)</f>
        <v>1.4895636945092343</v>
      </c>
      <c r="GW973" s="15">
        <v>82.974260101509458</v>
      </c>
      <c r="GX973" s="15">
        <f t="shared" si="898"/>
        <v>0.82974260101509456</v>
      </c>
      <c r="GY973" s="15">
        <f>GX973*SQRT(AR973)</f>
        <v>1.4371563421624951</v>
      </c>
      <c r="GZ973" s="15">
        <f t="shared" si="899"/>
        <v>0.96481697792452858</v>
      </c>
      <c r="HA973" s="15">
        <f t="shared" si="900"/>
        <v>-3.0257398984905421</v>
      </c>
      <c r="HB973" s="15">
        <f t="shared" si="901"/>
        <v>-3.5816855812752735E-2</v>
      </c>
      <c r="HC973" s="15">
        <f>((GY973*GY973)/(AR973*GW973*GW973)+(GV973*GV973)/(AR973*GT973*GT973))</f>
        <v>1.9999999999999993E-4</v>
      </c>
      <c r="HE973" s="15">
        <v>6.12</v>
      </c>
      <c r="HF973" s="15">
        <v>0.2</v>
      </c>
      <c r="HG973" s="15">
        <f>HF973*SQRT(AR973)</f>
        <v>0.34641016151377546</v>
      </c>
      <c r="HH973" s="15">
        <v>7.14</v>
      </c>
      <c r="HI973" s="15">
        <v>0.2</v>
      </c>
      <c r="HJ973" s="15">
        <f>HI973*SQRT(AR973)</f>
        <v>0.34641016151377546</v>
      </c>
      <c r="HK973" s="15">
        <f t="shared" si="862"/>
        <v>1.1666666666666665</v>
      </c>
      <c r="HL973" s="15">
        <f t="shared" si="863"/>
        <v>1.0199999999999996</v>
      </c>
      <c r="HM973" s="15">
        <f t="shared" si="864"/>
        <v>0.15415067982725827</v>
      </c>
      <c r="HN973" s="15">
        <f>((HJ973*HJ973)/(AR973*HH973*HH973)+(HG973*HG973)/(AR973*HE973*HE973))</f>
        <v>1.852592889007455E-3</v>
      </c>
      <c r="HP973" s="15" t="s">
        <v>809</v>
      </c>
      <c r="HV973" s="15">
        <f t="shared" si="865"/>
        <v>8757.6649127516939</v>
      </c>
      <c r="HW973" s="15">
        <f t="shared" si="866"/>
        <v>0.15415067982725827</v>
      </c>
      <c r="HX973" s="25">
        <f>DA973</f>
        <v>135000</v>
      </c>
      <c r="HY973" s="25">
        <f>CY973</f>
        <v>45000</v>
      </c>
      <c r="HZ973" s="25">
        <f>CZ973</f>
        <v>57.692307692307686</v>
      </c>
      <c r="IA973" s="25">
        <f>DA973</f>
        <v>135000</v>
      </c>
    </row>
    <row r="974" spans="1:235" s="15" customFormat="1" x14ac:dyDescent="0.25">
      <c r="A974" s="31">
        <v>972</v>
      </c>
      <c r="B974" s="1">
        <v>161</v>
      </c>
      <c r="C974" s="1">
        <v>185</v>
      </c>
      <c r="D974" s="15" t="s">
        <v>2178</v>
      </c>
      <c r="E974" s="31">
        <v>2</v>
      </c>
      <c r="F974" s="15" t="s">
        <v>777</v>
      </c>
      <c r="G974" s="15" t="s">
        <v>2441</v>
      </c>
      <c r="H974" s="15" t="s">
        <v>2442</v>
      </c>
      <c r="I974" s="1">
        <v>2018</v>
      </c>
      <c r="J974" s="15" t="s">
        <v>2443</v>
      </c>
      <c r="K974" s="1">
        <v>2014</v>
      </c>
      <c r="L974" s="15" t="s">
        <v>2444</v>
      </c>
      <c r="M974" s="15" t="s">
        <v>1314</v>
      </c>
      <c r="N974" s="15" t="s">
        <v>23</v>
      </c>
      <c r="O974" s="31">
        <v>3</v>
      </c>
      <c r="P974" s="15">
        <v>37.28</v>
      </c>
      <c r="Q974" s="15">
        <v>55.35</v>
      </c>
      <c r="S974" s="15">
        <v>332</v>
      </c>
      <c r="T974" s="15">
        <v>17.3</v>
      </c>
      <c r="U974" s="15" t="s">
        <v>549</v>
      </c>
      <c r="V974" s="31">
        <v>1</v>
      </c>
      <c r="W974" s="16" t="s">
        <v>1158</v>
      </c>
      <c r="X974" s="15" t="s">
        <v>1147</v>
      </c>
      <c r="Y974" s="1">
        <v>5</v>
      </c>
      <c r="Z974" s="15">
        <v>7.7</v>
      </c>
      <c r="AA974" s="15" t="s">
        <v>573</v>
      </c>
      <c r="AB974" s="15">
        <f t="shared" si="882"/>
        <v>7.7</v>
      </c>
      <c r="AC974" s="1">
        <v>6</v>
      </c>
      <c r="AD974" s="15">
        <f t="shared" ref="AD974:AD979" si="902">8.4*1.74</f>
        <v>14.616</v>
      </c>
      <c r="AF974" s="15">
        <v>17.95</v>
      </c>
      <c r="AJ974" s="15">
        <v>37</v>
      </c>
      <c r="AK974" s="15">
        <v>50</v>
      </c>
      <c r="AL974" s="15">
        <v>13</v>
      </c>
      <c r="AM974" s="1">
        <v>2</v>
      </c>
      <c r="AN974" s="15">
        <v>1.5</v>
      </c>
      <c r="AP974" s="15" t="s">
        <v>2445</v>
      </c>
      <c r="AQ974" s="1">
        <v>10</v>
      </c>
      <c r="AR974" s="1">
        <v>3</v>
      </c>
      <c r="BP974" s="16"/>
      <c r="BQ974" s="16"/>
      <c r="BR974" s="16"/>
      <c r="BU974" s="16"/>
      <c r="CC974" s="15" t="s">
        <v>2079</v>
      </c>
      <c r="CE974" s="15">
        <v>2500</v>
      </c>
      <c r="CF974" s="15">
        <v>2500</v>
      </c>
      <c r="CG974" s="15" t="s">
        <v>766</v>
      </c>
      <c r="CH974" s="15">
        <v>9.6</v>
      </c>
      <c r="CL974" s="15">
        <v>3.8</v>
      </c>
      <c r="CY974" s="25">
        <f t="shared" si="878"/>
        <v>2500</v>
      </c>
      <c r="CZ974" s="25">
        <f t="shared" si="879"/>
        <v>3.2051282051282053</v>
      </c>
      <c r="DA974" s="25">
        <f t="shared" si="880"/>
        <v>7500</v>
      </c>
      <c r="EZ974" s="16">
        <v>1.59</v>
      </c>
      <c r="FA974" s="16">
        <v>1.2999999999999999E-2</v>
      </c>
      <c r="FB974" s="15">
        <f>FA974*SQRT(AR974)</f>
        <v>2.2516660498395402E-2</v>
      </c>
      <c r="FC974" s="16">
        <v>1.55</v>
      </c>
      <c r="FD974" s="16">
        <v>0.01</v>
      </c>
      <c r="FE974" s="15">
        <f>FD974*SQRT(AR974)</f>
        <v>1.7320508075688773E-2</v>
      </c>
      <c r="FF974" s="15">
        <f t="shared" ref="FF974:FF979" si="903">FC974/EZ974</f>
        <v>0.97484276729559749</v>
      </c>
      <c r="FG974" s="15">
        <f t="shared" ref="FG974:FG979" si="904">FC974-EZ974</f>
        <v>-4.0000000000000036E-2</v>
      </c>
      <c r="FH974" s="15">
        <f t="shared" ref="FH974:FH979" si="905">LN(FC974)-LN(EZ974)</f>
        <v>-2.5479085300984916E-2</v>
      </c>
      <c r="FI974" s="15">
        <f>((FE974*FE974)/(AR974*FC974*FC974)+(FB974*FB974)/(AR974*EZ974*EZ974))</f>
        <v>1.0847193054747261E-4</v>
      </c>
      <c r="FJ974" s="16"/>
      <c r="FK974" s="16">
        <f t="shared" ref="FK974:FK979" si="906">FM974+0.77</f>
        <v>8.4700000000000006</v>
      </c>
      <c r="FL974" s="16">
        <f t="shared" ref="FL974:FL979" si="907">FP974+0.77</f>
        <v>8.49</v>
      </c>
      <c r="FM974" s="15">
        <v>7.7</v>
      </c>
      <c r="FN974" s="15">
        <f t="shared" si="885"/>
        <v>7.6999999999999999E-2</v>
      </c>
      <c r="FO974" s="15">
        <f>FN974*SQRT(AR974)</f>
        <v>0.13336791218280356</v>
      </c>
      <c r="FP974" s="15">
        <v>7.72</v>
      </c>
      <c r="FQ974" s="15">
        <f t="shared" si="886"/>
        <v>7.7200000000000005E-2</v>
      </c>
      <c r="FR974" s="15">
        <f>FQ974*SQRT(AR974)</f>
        <v>0.13371432234431732</v>
      </c>
      <c r="FS974" s="15">
        <f t="shared" si="887"/>
        <v>1.0025974025974025</v>
      </c>
      <c r="FT974" s="15">
        <f t="shared" si="888"/>
        <v>1.9999999999999574E-2</v>
      </c>
      <c r="FU974" s="15">
        <f t="shared" si="889"/>
        <v>2.5940351770463721E-3</v>
      </c>
      <c r="FV974" s="15">
        <f>((FR974*FR974)/(AR974*FP974*FP974)+(FO974*FO974)/(AR974*FM974*FM974))</f>
        <v>2.0000000000000001E-4</v>
      </c>
      <c r="GI974" s="15">
        <v>17</v>
      </c>
      <c r="GJ974" s="15">
        <f t="shared" si="892"/>
        <v>0.17</v>
      </c>
      <c r="GK974" s="15">
        <f>GJ974*SQRT(AR974)</f>
        <v>0.29444863728670917</v>
      </c>
      <c r="GL974" s="15">
        <v>18.66</v>
      </c>
      <c r="GM974" s="15">
        <f t="shared" si="893"/>
        <v>0.18660000000000002</v>
      </c>
      <c r="GN974" s="15">
        <f>GM974*SQRT(AR974)</f>
        <v>0.32320068069235253</v>
      </c>
      <c r="GO974" s="15">
        <f t="shared" si="894"/>
        <v>1.0976470588235294</v>
      </c>
      <c r="GP974" s="15">
        <f t="shared" si="895"/>
        <v>1.6600000000000001</v>
      </c>
      <c r="GQ974" s="15">
        <f t="shared" si="896"/>
        <v>9.3168851362981808E-2</v>
      </c>
      <c r="GR974" s="15">
        <f>((GN974*GN974)/(AR974*GL974*GL974)+(GK974*GK974)/(AR974*GI974*GI974))</f>
        <v>2.0000000000000004E-4</v>
      </c>
      <c r="HE974" s="15">
        <v>2335</v>
      </c>
      <c r="HF974" s="15">
        <f t="shared" ref="HF974:HF979" si="908">HE974*0.05</f>
        <v>116.75</v>
      </c>
      <c r="HG974" s="15">
        <f>HF974*SQRT(AR974)</f>
        <v>202.21693178366641</v>
      </c>
      <c r="HH974" s="15">
        <v>3347</v>
      </c>
      <c r="HI974" s="15">
        <f t="shared" ref="HI974:HI979" si="909">HH974*0.05</f>
        <v>167.35000000000002</v>
      </c>
      <c r="HJ974" s="15">
        <f>HI974*SQRT(AR974)</f>
        <v>289.85870264665164</v>
      </c>
      <c r="HK974" s="15">
        <f t="shared" si="862"/>
        <v>1.4334047109207708</v>
      </c>
      <c r="HL974" s="15">
        <f t="shared" si="863"/>
        <v>1012</v>
      </c>
      <c r="HM974" s="15">
        <f t="shared" si="864"/>
        <v>0.36005253110832935</v>
      </c>
      <c r="HN974" s="15">
        <f>((HJ974*HJ974)/(AR974*HH974*HH974)+(HG974*HG974)/(AR974*HE974*HE974))</f>
        <v>5.0000000000000001E-3</v>
      </c>
      <c r="HP974" s="15" t="s">
        <v>766</v>
      </c>
      <c r="HV974" s="15">
        <f t="shared" si="865"/>
        <v>208.3029378216888</v>
      </c>
      <c r="HW974" s="15">
        <f t="shared" si="866"/>
        <v>0.36005253110832935</v>
      </c>
      <c r="HX974" s="25">
        <f>DA974</f>
        <v>7500</v>
      </c>
      <c r="HY974" s="25">
        <f>CY974</f>
        <v>2500</v>
      </c>
      <c r="HZ974" s="25">
        <f>CZ974</f>
        <v>3.2051282051282053</v>
      </c>
      <c r="IA974" s="25">
        <f>DA974</f>
        <v>7500</v>
      </c>
    </row>
    <row r="975" spans="1:235" s="15" customFormat="1" x14ac:dyDescent="0.25">
      <c r="A975" s="31">
        <v>973</v>
      </c>
      <c r="B975" s="1">
        <v>161</v>
      </c>
      <c r="C975" s="1">
        <v>185</v>
      </c>
      <c r="D975" s="15" t="s">
        <v>2179</v>
      </c>
      <c r="E975" s="31">
        <v>2</v>
      </c>
      <c r="F975" s="15" t="s">
        <v>777</v>
      </c>
      <c r="G975" s="15" t="s">
        <v>2441</v>
      </c>
      <c r="H975" s="15" t="s">
        <v>2442</v>
      </c>
      <c r="I975" s="1">
        <v>2018</v>
      </c>
      <c r="J975" s="15" t="s">
        <v>2443</v>
      </c>
      <c r="K975" s="1">
        <v>2014</v>
      </c>
      <c r="L975" s="15" t="s">
        <v>2444</v>
      </c>
      <c r="M975" s="15" t="s">
        <v>1314</v>
      </c>
      <c r="N975" s="15" t="s">
        <v>23</v>
      </c>
      <c r="O975" s="31">
        <v>3</v>
      </c>
      <c r="P975" s="15">
        <v>37.28</v>
      </c>
      <c r="Q975" s="15">
        <v>55.35</v>
      </c>
      <c r="S975" s="15">
        <v>332</v>
      </c>
      <c r="T975" s="15">
        <v>17.3</v>
      </c>
      <c r="U975" s="15" t="s">
        <v>549</v>
      </c>
      <c r="V975" s="31">
        <v>1</v>
      </c>
      <c r="W975" s="16" t="s">
        <v>1158</v>
      </c>
      <c r="X975" s="15" t="s">
        <v>1147</v>
      </c>
      <c r="Y975" s="1">
        <v>5</v>
      </c>
      <c r="Z975" s="15">
        <v>7.7</v>
      </c>
      <c r="AA975" s="15" t="s">
        <v>573</v>
      </c>
      <c r="AB975" s="15">
        <f t="shared" si="882"/>
        <v>7.7</v>
      </c>
      <c r="AC975" s="1">
        <v>6</v>
      </c>
      <c r="AD975" s="15">
        <f t="shared" si="902"/>
        <v>14.616</v>
      </c>
      <c r="AF975" s="15">
        <v>17.95</v>
      </c>
      <c r="AJ975" s="15">
        <v>37</v>
      </c>
      <c r="AK975" s="15">
        <v>50</v>
      </c>
      <c r="AL975" s="15">
        <v>13</v>
      </c>
      <c r="AM975" s="1">
        <v>2</v>
      </c>
      <c r="AN975" s="15">
        <v>1.5</v>
      </c>
      <c r="AP975" s="15" t="s">
        <v>2445</v>
      </c>
      <c r="AQ975" s="1">
        <v>10</v>
      </c>
      <c r="AR975" s="1">
        <v>3</v>
      </c>
      <c r="BP975" s="16"/>
      <c r="BQ975" s="16"/>
      <c r="BR975" s="16"/>
      <c r="BU975" s="16"/>
      <c r="CC975" s="15" t="s">
        <v>2079</v>
      </c>
      <c r="CE975" s="15">
        <v>8000</v>
      </c>
      <c r="CF975" s="15">
        <v>8000</v>
      </c>
      <c r="CG975" s="15" t="s">
        <v>766</v>
      </c>
      <c r="CH975" s="15">
        <v>9.6</v>
      </c>
      <c r="CL975" s="15">
        <v>3.8</v>
      </c>
      <c r="CY975" s="25">
        <f t="shared" si="878"/>
        <v>8000</v>
      </c>
      <c r="CZ975" s="25">
        <f t="shared" si="879"/>
        <v>10.256410256410255</v>
      </c>
      <c r="DA975" s="25">
        <f t="shared" si="880"/>
        <v>24000</v>
      </c>
      <c r="EZ975" s="16">
        <v>1.59</v>
      </c>
      <c r="FA975" s="16">
        <v>1.2999999999999999E-2</v>
      </c>
      <c r="FB975" s="15">
        <f>FA975*SQRT(AR975)</f>
        <v>2.2516660498395402E-2</v>
      </c>
      <c r="FC975" s="16">
        <v>1.53</v>
      </c>
      <c r="FD975" s="16">
        <v>0.01</v>
      </c>
      <c r="FE975" s="15">
        <f>FD975*SQRT(AR975)</f>
        <v>1.7320508075688773E-2</v>
      </c>
      <c r="FF975" s="15">
        <f t="shared" si="903"/>
        <v>0.96226415094339623</v>
      </c>
      <c r="FG975" s="15">
        <f t="shared" si="904"/>
        <v>-6.0000000000000053E-2</v>
      </c>
      <c r="FH975" s="15">
        <f t="shared" si="905"/>
        <v>-3.8466280827796129E-2</v>
      </c>
      <c r="FI975" s="15">
        <f>((FE975*FE975)/(AR975*FC975*FC975)+(FB975*FB975)/(AR975*EZ975*EZ975))</f>
        <v>1.0956723399386891E-4</v>
      </c>
      <c r="FJ975" s="16"/>
      <c r="FK975" s="16">
        <f t="shared" si="906"/>
        <v>8.4700000000000006</v>
      </c>
      <c r="FL975" s="16">
        <f t="shared" si="907"/>
        <v>8.6300000000000008</v>
      </c>
      <c r="FM975" s="15">
        <v>7.7</v>
      </c>
      <c r="FN975" s="15">
        <f t="shared" si="885"/>
        <v>7.6999999999999999E-2</v>
      </c>
      <c r="FO975" s="15">
        <f>FN975*SQRT(AR975)</f>
        <v>0.13336791218280356</v>
      </c>
      <c r="FP975" s="15">
        <v>7.86</v>
      </c>
      <c r="FQ975" s="15">
        <f t="shared" si="886"/>
        <v>7.8600000000000003E-2</v>
      </c>
      <c r="FR975" s="15">
        <f>FQ975*SQRT(AR975)</f>
        <v>0.13613919347491377</v>
      </c>
      <c r="FS975" s="15">
        <f t="shared" si="887"/>
        <v>1.0207792207792208</v>
      </c>
      <c r="FT975" s="15">
        <f t="shared" si="888"/>
        <v>0.16000000000000014</v>
      </c>
      <c r="FU975" s="15">
        <f t="shared" si="889"/>
        <v>2.0566277581476999E-2</v>
      </c>
      <c r="FV975" s="15">
        <f>((FR975*FR975)/(AR975*FP975*FP975)+(FO975*FO975)/(AR975*FM975*FM975))</f>
        <v>2.0000000000000001E-4</v>
      </c>
      <c r="GI975" s="15">
        <v>17</v>
      </c>
      <c r="GJ975" s="15">
        <f t="shared" si="892"/>
        <v>0.17</v>
      </c>
      <c r="GK975" s="15">
        <f>GJ975*SQRT(AR975)</f>
        <v>0.29444863728670917</v>
      </c>
      <c r="GL975" s="15">
        <v>18.64</v>
      </c>
      <c r="GM975" s="15">
        <f t="shared" si="893"/>
        <v>0.18640000000000001</v>
      </c>
      <c r="GN975" s="15">
        <f>GM975*SQRT(AR975)</f>
        <v>0.32285427053083871</v>
      </c>
      <c r="GO975" s="15">
        <f t="shared" si="894"/>
        <v>1.0964705882352941</v>
      </c>
      <c r="GP975" s="15">
        <f t="shared" si="895"/>
        <v>1.6400000000000006</v>
      </c>
      <c r="GQ975" s="15">
        <f t="shared" si="896"/>
        <v>9.2096465201228828E-2</v>
      </c>
      <c r="GR975" s="15">
        <f>((GN975*GN975)/(AR975*GL975*GL975)+(GK975*GK975)/(AR975*GI975*GI975))</f>
        <v>2.0000000000000001E-4</v>
      </c>
      <c r="HE975" s="15">
        <v>2335</v>
      </c>
      <c r="HF975" s="15">
        <f t="shared" si="908"/>
        <v>116.75</v>
      </c>
      <c r="HG975" s="15">
        <f>HF975*SQRT(AR975)</f>
        <v>202.21693178366641</v>
      </c>
      <c r="HH975" s="15">
        <v>3417</v>
      </c>
      <c r="HI975" s="15">
        <f t="shared" si="909"/>
        <v>170.85000000000002</v>
      </c>
      <c r="HJ975" s="15">
        <f>HI975*SQRT(AR975)</f>
        <v>295.92088047314269</v>
      </c>
      <c r="HK975" s="15">
        <f t="shared" si="862"/>
        <v>1.4633832976445396</v>
      </c>
      <c r="HL975" s="15">
        <f t="shared" si="863"/>
        <v>1082</v>
      </c>
      <c r="HM975" s="15">
        <f t="shared" si="864"/>
        <v>0.38075108201229302</v>
      </c>
      <c r="HN975" s="15">
        <f>((HJ975*HJ975)/(AR975*HH975*HH975)+(HG975*HG975)/(AR975*HE975*HE975))</f>
        <v>4.9999999999999992E-3</v>
      </c>
      <c r="HP975" s="15" t="s">
        <v>766</v>
      </c>
      <c r="HV975" s="15">
        <f t="shared" si="865"/>
        <v>630.33307412177305</v>
      </c>
      <c r="HW975" s="15">
        <f t="shared" si="866"/>
        <v>0.38075108201229302</v>
      </c>
      <c r="HX975" s="25">
        <f>DA975</f>
        <v>24000</v>
      </c>
      <c r="HY975" s="25">
        <f>CY975</f>
        <v>8000</v>
      </c>
      <c r="HZ975" s="25">
        <f>CZ975</f>
        <v>10.256410256410255</v>
      </c>
      <c r="IA975" s="25">
        <f>DA975</f>
        <v>24000</v>
      </c>
    </row>
    <row r="976" spans="1:235" s="15" customFormat="1" x14ac:dyDescent="0.25">
      <c r="A976" s="31">
        <v>974</v>
      </c>
      <c r="B976" s="1">
        <v>161</v>
      </c>
      <c r="C976" s="1">
        <v>185</v>
      </c>
      <c r="D976" s="15" t="s">
        <v>2180</v>
      </c>
      <c r="E976" s="31">
        <v>2</v>
      </c>
      <c r="F976" s="15" t="s">
        <v>777</v>
      </c>
      <c r="G976" s="15" t="s">
        <v>2441</v>
      </c>
      <c r="H976" s="15" t="s">
        <v>2442</v>
      </c>
      <c r="I976" s="1">
        <v>2018</v>
      </c>
      <c r="J976" s="15" t="s">
        <v>2443</v>
      </c>
      <c r="K976" s="1">
        <v>2014</v>
      </c>
      <c r="L976" s="15" t="s">
        <v>2444</v>
      </c>
      <c r="M976" s="15" t="s">
        <v>1314</v>
      </c>
      <c r="N976" s="15" t="s">
        <v>23</v>
      </c>
      <c r="O976" s="31">
        <v>3</v>
      </c>
      <c r="P976" s="15">
        <v>37.28</v>
      </c>
      <c r="Q976" s="15">
        <v>55.35</v>
      </c>
      <c r="S976" s="15">
        <v>332</v>
      </c>
      <c r="T976" s="15">
        <v>17.3</v>
      </c>
      <c r="U976" s="15" t="s">
        <v>549</v>
      </c>
      <c r="V976" s="31">
        <v>1</v>
      </c>
      <c r="W976" s="16" t="s">
        <v>1158</v>
      </c>
      <c r="X976" s="15" t="s">
        <v>1147</v>
      </c>
      <c r="Y976" s="1">
        <v>5</v>
      </c>
      <c r="Z976" s="15">
        <v>7.7</v>
      </c>
      <c r="AA976" s="15" t="s">
        <v>573</v>
      </c>
      <c r="AB976" s="15">
        <f t="shared" si="882"/>
        <v>7.7</v>
      </c>
      <c r="AC976" s="1">
        <v>6</v>
      </c>
      <c r="AD976" s="15">
        <f t="shared" si="902"/>
        <v>14.616</v>
      </c>
      <c r="AF976" s="15">
        <v>17.95</v>
      </c>
      <c r="AJ976" s="15">
        <v>37</v>
      </c>
      <c r="AK976" s="15">
        <v>50</v>
      </c>
      <c r="AL976" s="15">
        <v>13</v>
      </c>
      <c r="AM976" s="1">
        <v>2</v>
      </c>
      <c r="AN976" s="15">
        <v>1.5</v>
      </c>
      <c r="AP976" s="15" t="s">
        <v>2445</v>
      </c>
      <c r="AQ976" s="1">
        <v>10</v>
      </c>
      <c r="AR976" s="1">
        <v>3</v>
      </c>
      <c r="BP976" s="16"/>
      <c r="BQ976" s="16"/>
      <c r="BR976" s="16"/>
      <c r="BU976" s="16"/>
      <c r="CC976" s="15" t="s">
        <v>2079</v>
      </c>
      <c r="CE976" s="15">
        <v>16000</v>
      </c>
      <c r="CF976" s="15">
        <v>16000</v>
      </c>
      <c r="CG976" s="15" t="s">
        <v>766</v>
      </c>
      <c r="CH976" s="15">
        <v>9.6</v>
      </c>
      <c r="CL976" s="15">
        <v>3.8</v>
      </c>
      <c r="CY976" s="25">
        <f t="shared" si="878"/>
        <v>16000</v>
      </c>
      <c r="CZ976" s="25">
        <f t="shared" si="879"/>
        <v>20.512820512820511</v>
      </c>
      <c r="DA976" s="25">
        <f t="shared" si="880"/>
        <v>48000</v>
      </c>
      <c r="EZ976" s="16">
        <v>1.59</v>
      </c>
      <c r="FA976" s="16">
        <v>1.2999999999999999E-2</v>
      </c>
      <c r="FB976" s="15">
        <f>FA976*SQRT(AR976)</f>
        <v>2.2516660498395402E-2</v>
      </c>
      <c r="FC976" s="16">
        <v>1.52</v>
      </c>
      <c r="FD976" s="16">
        <v>0.01</v>
      </c>
      <c r="FE976" s="15">
        <f>FD976*SQRT(AR976)</f>
        <v>1.7320508075688773E-2</v>
      </c>
      <c r="FF976" s="15">
        <f t="shared" si="903"/>
        <v>0.95597484276729561</v>
      </c>
      <c r="FG976" s="15">
        <f t="shared" si="904"/>
        <v>-7.0000000000000062E-2</v>
      </c>
      <c r="FH976" s="15">
        <f t="shared" si="905"/>
        <v>-4.5023681373955182E-2</v>
      </c>
      <c r="FI976" s="15">
        <f>((FE976*FE976)/(AR976*FC976*FC976)+(FB976*FB976)/(AR976*EZ976*EZ976))</f>
        <v>1.1013116997085718E-4</v>
      </c>
      <c r="FJ976" s="16"/>
      <c r="FK976" s="16">
        <f t="shared" si="906"/>
        <v>8.4700000000000006</v>
      </c>
      <c r="FL976" s="16">
        <f t="shared" si="907"/>
        <v>8.65</v>
      </c>
      <c r="FM976" s="15">
        <v>7.7</v>
      </c>
      <c r="FN976" s="15">
        <f t="shared" si="885"/>
        <v>7.6999999999999999E-2</v>
      </c>
      <c r="FO976" s="15">
        <f>FN976*SQRT(AR976)</f>
        <v>0.13336791218280356</v>
      </c>
      <c r="FP976" s="15">
        <v>7.88</v>
      </c>
      <c r="FQ976" s="15">
        <f t="shared" si="886"/>
        <v>7.8799999999999995E-2</v>
      </c>
      <c r="FR976" s="15">
        <f>FQ976*SQRT(AR976)</f>
        <v>0.1364856036364275</v>
      </c>
      <c r="FS976" s="15">
        <f t="shared" si="887"/>
        <v>1.0233766233766233</v>
      </c>
      <c r="FT976" s="15">
        <f t="shared" si="888"/>
        <v>0.17999999999999972</v>
      </c>
      <c r="FU976" s="15">
        <f t="shared" si="889"/>
        <v>2.3107575010149706E-2</v>
      </c>
      <c r="FV976" s="15">
        <f>((FR976*FR976)/(AR976*FP976*FP976)+(FO976*FO976)/(AR976*FM976*FM976))</f>
        <v>1.9999999999999998E-4</v>
      </c>
      <c r="GI976" s="15">
        <v>17</v>
      </c>
      <c r="GJ976" s="15">
        <f t="shared" si="892"/>
        <v>0.17</v>
      </c>
      <c r="GK976" s="15">
        <f>GJ976*SQRT(AR976)</f>
        <v>0.29444863728670917</v>
      </c>
      <c r="GL976" s="15">
        <v>19.239999999999998</v>
      </c>
      <c r="GM976" s="15">
        <f t="shared" si="893"/>
        <v>0.19239999999999999</v>
      </c>
      <c r="GN976" s="15">
        <f>GM976*SQRT(AR976)</f>
        <v>0.33324657537625196</v>
      </c>
      <c r="GO976" s="15">
        <f t="shared" si="894"/>
        <v>1.1317647058823528</v>
      </c>
      <c r="GP976" s="15">
        <f t="shared" si="895"/>
        <v>2.2399999999999984</v>
      </c>
      <c r="GQ976" s="15">
        <f t="shared" si="896"/>
        <v>0.12377810118134436</v>
      </c>
      <c r="GR976" s="15">
        <f>((GN976*GN976)/(AR976*GL976*GL976)+(GK976*GK976)/(AR976*GI976*GI976))</f>
        <v>1.9999999999999998E-4</v>
      </c>
      <c r="HE976" s="15">
        <v>2335</v>
      </c>
      <c r="HF976" s="15">
        <f t="shared" si="908"/>
        <v>116.75</v>
      </c>
      <c r="HG976" s="15">
        <f>HF976*SQRT(AR976)</f>
        <v>202.21693178366641</v>
      </c>
      <c r="HH976" s="15">
        <v>3292</v>
      </c>
      <c r="HI976" s="15">
        <f t="shared" si="909"/>
        <v>164.60000000000002</v>
      </c>
      <c r="HJ976" s="15">
        <f>HI976*SQRT(AR976)</f>
        <v>285.09556292583721</v>
      </c>
      <c r="HK976" s="15">
        <f t="shared" si="862"/>
        <v>1.4098501070663811</v>
      </c>
      <c r="HL976" s="15">
        <f t="shared" si="863"/>
        <v>957</v>
      </c>
      <c r="HM976" s="15">
        <f t="shared" si="864"/>
        <v>0.34348339169396258</v>
      </c>
      <c r="HN976" s="15">
        <f>((HJ976*HJ976)/(AR976*HH976*HH976)+(HG976*HG976)/(AR976*HE976*HE976))</f>
        <v>5.0000000000000001E-3</v>
      </c>
      <c r="HP976" s="15" t="s">
        <v>766</v>
      </c>
      <c r="HV976" s="15">
        <f t="shared" si="865"/>
        <v>1397.4474795790745</v>
      </c>
      <c r="HW976" s="15">
        <f t="shared" si="866"/>
        <v>0.34348339169396258</v>
      </c>
      <c r="HX976" s="25">
        <f>DA976</f>
        <v>48000</v>
      </c>
      <c r="HY976" s="25">
        <f>CY976</f>
        <v>16000</v>
      </c>
      <c r="HZ976" s="25">
        <f>CZ976</f>
        <v>20.512820512820511</v>
      </c>
      <c r="IA976" s="25">
        <f>DA976</f>
        <v>48000</v>
      </c>
    </row>
    <row r="977" spans="1:235" s="15" customFormat="1" x14ac:dyDescent="0.25">
      <c r="A977" s="31">
        <v>975</v>
      </c>
      <c r="B977" s="1">
        <v>161</v>
      </c>
      <c r="C977" s="1">
        <v>185</v>
      </c>
      <c r="D977" s="15" t="s">
        <v>2181</v>
      </c>
      <c r="E977" s="31">
        <v>2</v>
      </c>
      <c r="F977" s="15" t="s">
        <v>777</v>
      </c>
      <c r="G977" s="15" t="s">
        <v>2441</v>
      </c>
      <c r="H977" s="15" t="s">
        <v>2442</v>
      </c>
      <c r="I977" s="1">
        <v>2018</v>
      </c>
      <c r="J977" s="15" t="s">
        <v>2443</v>
      </c>
      <c r="K977" s="1">
        <v>2014</v>
      </c>
      <c r="L977" s="15" t="s">
        <v>2444</v>
      </c>
      <c r="M977" s="15" t="s">
        <v>1314</v>
      </c>
      <c r="N977" s="15" t="s">
        <v>23</v>
      </c>
      <c r="O977" s="31">
        <v>3</v>
      </c>
      <c r="P977" s="15">
        <v>37.28</v>
      </c>
      <c r="Q977" s="15">
        <v>55.35</v>
      </c>
      <c r="S977" s="15">
        <v>332</v>
      </c>
      <c r="T977" s="15">
        <v>17.3</v>
      </c>
      <c r="U977" s="15" t="s">
        <v>549</v>
      </c>
      <c r="V977" s="31">
        <v>1</v>
      </c>
      <c r="W977" s="16" t="s">
        <v>1158</v>
      </c>
      <c r="X977" s="15" t="s">
        <v>1147</v>
      </c>
      <c r="Y977" s="1">
        <v>5</v>
      </c>
      <c r="Z977" s="15">
        <v>7.7</v>
      </c>
      <c r="AA977" s="15" t="s">
        <v>573</v>
      </c>
      <c r="AB977" s="15">
        <f t="shared" si="882"/>
        <v>7.7</v>
      </c>
      <c r="AC977" s="1">
        <v>6</v>
      </c>
      <c r="AD977" s="15">
        <f t="shared" si="902"/>
        <v>14.616</v>
      </c>
      <c r="AF977" s="15">
        <v>17.95</v>
      </c>
      <c r="AJ977" s="15">
        <v>37</v>
      </c>
      <c r="AK977" s="15">
        <v>50</v>
      </c>
      <c r="AL977" s="15">
        <v>13</v>
      </c>
      <c r="AM977" s="1">
        <v>2</v>
      </c>
      <c r="AN977" s="15">
        <v>1.5</v>
      </c>
      <c r="AP977" s="15" t="s">
        <v>2445</v>
      </c>
      <c r="AQ977" s="1">
        <v>10</v>
      </c>
      <c r="AR977" s="1">
        <v>3</v>
      </c>
      <c r="BP977" s="16"/>
      <c r="BQ977" s="16"/>
      <c r="BR977" s="16"/>
      <c r="BU977" s="16"/>
      <c r="CC977" s="15" t="s">
        <v>2079</v>
      </c>
      <c r="CE977" s="15">
        <v>2500</v>
      </c>
      <c r="CF977" s="15">
        <v>2500</v>
      </c>
      <c r="CG977" s="15" t="s">
        <v>766</v>
      </c>
      <c r="CH977" s="15">
        <v>9.6</v>
      </c>
      <c r="CL977" s="15">
        <v>3.8</v>
      </c>
      <c r="CY977" s="25">
        <f t="shared" si="878"/>
        <v>2500</v>
      </c>
      <c r="CZ977" s="25">
        <f t="shared" si="879"/>
        <v>3.2051282051282053</v>
      </c>
      <c r="DA977" s="25">
        <f t="shared" si="880"/>
        <v>7500</v>
      </c>
      <c r="EZ977" s="16">
        <v>1.58</v>
      </c>
      <c r="FA977" s="16">
        <v>1.2999999999999999E-2</v>
      </c>
      <c r="FB977" s="15">
        <f>FA977*SQRT(AR977)</f>
        <v>2.2516660498395402E-2</v>
      </c>
      <c r="FC977" s="16">
        <v>1.54</v>
      </c>
      <c r="FD977" s="16">
        <v>1.4E-2</v>
      </c>
      <c r="FE977" s="15">
        <f>FD977*SQRT(AR977)</f>
        <v>2.4248711305964281E-2</v>
      </c>
      <c r="FF977" s="15">
        <f t="shared" si="903"/>
        <v>0.97468354430379744</v>
      </c>
      <c r="FG977" s="15">
        <f t="shared" si="904"/>
        <v>-4.0000000000000036E-2</v>
      </c>
      <c r="FH977" s="15">
        <f t="shared" si="905"/>
        <v>-2.5642430613337652E-2</v>
      </c>
      <c r="FI977" s="15">
        <f>((FE977*FE977)/(AR977*FC977*FC977)+(FB977*FB977)/(AR977*EZ977*EZ977))</f>
        <v>1.5034211247667715E-4</v>
      </c>
      <c r="FJ977" s="16"/>
      <c r="FK977" s="16">
        <f t="shared" si="906"/>
        <v>8.34</v>
      </c>
      <c r="FL977" s="16">
        <f t="shared" si="907"/>
        <v>8.61</v>
      </c>
      <c r="FM977" s="15">
        <v>7.57</v>
      </c>
      <c r="FN977" s="15">
        <f t="shared" si="885"/>
        <v>7.5700000000000003E-2</v>
      </c>
      <c r="FO977" s="15">
        <f>FN977*SQRT(AR977)</f>
        <v>0.13111624613296402</v>
      </c>
      <c r="FP977" s="15">
        <v>7.84</v>
      </c>
      <c r="FQ977" s="15">
        <f t="shared" si="886"/>
        <v>7.8399999999999997E-2</v>
      </c>
      <c r="FR977" s="15">
        <f>FQ977*SQRT(AR977)</f>
        <v>0.13579278331339997</v>
      </c>
      <c r="FS977" s="15">
        <f t="shared" si="887"/>
        <v>1.035667107001321</v>
      </c>
      <c r="FT977" s="15">
        <f t="shared" si="888"/>
        <v>0.26999999999999957</v>
      </c>
      <c r="FU977" s="15">
        <f t="shared" si="889"/>
        <v>3.5045766912958687E-2</v>
      </c>
      <c r="FV977" s="15">
        <f>((FR977*FR977)/(AR977*FP977*FP977)+(FO977*FO977)/(AR977*FM977*FM977))</f>
        <v>2.0000000000000001E-4</v>
      </c>
      <c r="GI977" s="15">
        <v>17.399999999999999</v>
      </c>
      <c r="GJ977" s="15">
        <f t="shared" si="892"/>
        <v>0.17399999999999999</v>
      </c>
      <c r="GK977" s="15">
        <f>GJ977*SQRT(AR977)</f>
        <v>0.3013768405169846</v>
      </c>
      <c r="GL977" s="15">
        <v>17.64</v>
      </c>
      <c r="GM977" s="15">
        <f t="shared" si="893"/>
        <v>0.1764</v>
      </c>
      <c r="GN977" s="15">
        <f>GM977*SQRT(AR977)</f>
        <v>0.30553376245514996</v>
      </c>
      <c r="GO977" s="15">
        <f t="shared" si="894"/>
        <v>1.0137931034482759</v>
      </c>
      <c r="GP977" s="15">
        <f t="shared" si="895"/>
        <v>0.24000000000000199</v>
      </c>
      <c r="GQ977" s="15">
        <f t="shared" si="896"/>
        <v>1.3698844358162265E-2</v>
      </c>
      <c r="GR977" s="15">
        <f>((GN977*GN977)/(AR977*GL977*GL977)+(GK977*GK977)/(AR977*GI977*GI977))</f>
        <v>1.9999999999999998E-4</v>
      </c>
      <c r="HE977" s="15">
        <v>2335</v>
      </c>
      <c r="HF977" s="15">
        <f t="shared" si="908"/>
        <v>116.75</v>
      </c>
      <c r="HG977" s="15">
        <f>HF977*SQRT(AR977)</f>
        <v>202.21693178366641</v>
      </c>
      <c r="HH977" s="15">
        <v>3347</v>
      </c>
      <c r="HI977" s="15">
        <f t="shared" si="909"/>
        <v>167.35000000000002</v>
      </c>
      <c r="HJ977" s="15">
        <f>HI977*SQRT(AR977)</f>
        <v>289.85870264665164</v>
      </c>
      <c r="HK977" s="15">
        <f t="shared" si="862"/>
        <v>1.4334047109207708</v>
      </c>
      <c r="HL977" s="15">
        <f t="shared" si="863"/>
        <v>1012</v>
      </c>
      <c r="HM977" s="15">
        <f t="shared" si="864"/>
        <v>0.36005253110832935</v>
      </c>
      <c r="HN977" s="15">
        <f>((HJ977*HJ977)/(AR977*HH977*HH977)+(HG977*HG977)/(AR977*HE977*HE977))</f>
        <v>5.0000000000000001E-3</v>
      </c>
      <c r="HP977" s="15" t="s">
        <v>766</v>
      </c>
      <c r="HV977" s="15">
        <f t="shared" si="865"/>
        <v>208.3029378216888</v>
      </c>
      <c r="HW977" s="15">
        <f t="shared" si="866"/>
        <v>0.36005253110832935</v>
      </c>
      <c r="HX977" s="25">
        <f>DA977</f>
        <v>7500</v>
      </c>
      <c r="HY977" s="25">
        <f>CY977</f>
        <v>2500</v>
      </c>
      <c r="HZ977" s="25">
        <f>CZ977</f>
        <v>3.2051282051282053</v>
      </c>
      <c r="IA977" s="25">
        <f>DA977</f>
        <v>7500</v>
      </c>
    </row>
    <row r="978" spans="1:235" s="15" customFormat="1" x14ac:dyDescent="0.25">
      <c r="A978" s="31">
        <v>976</v>
      </c>
      <c r="B978" s="1">
        <v>161</v>
      </c>
      <c r="C978" s="1">
        <v>185</v>
      </c>
      <c r="D978" s="15" t="s">
        <v>2182</v>
      </c>
      <c r="E978" s="31">
        <v>2</v>
      </c>
      <c r="F978" s="15" t="s">
        <v>777</v>
      </c>
      <c r="G978" s="15" t="s">
        <v>2441</v>
      </c>
      <c r="H978" s="15" t="s">
        <v>2442</v>
      </c>
      <c r="I978" s="1">
        <v>2018</v>
      </c>
      <c r="J978" s="15" t="s">
        <v>2443</v>
      </c>
      <c r="K978" s="1">
        <v>2014</v>
      </c>
      <c r="L978" s="15" t="s">
        <v>2444</v>
      </c>
      <c r="M978" s="15" t="s">
        <v>1314</v>
      </c>
      <c r="N978" s="15" t="s">
        <v>23</v>
      </c>
      <c r="O978" s="31">
        <v>3</v>
      </c>
      <c r="P978" s="15">
        <v>37.28</v>
      </c>
      <c r="Q978" s="15">
        <v>55.35</v>
      </c>
      <c r="S978" s="15">
        <v>332</v>
      </c>
      <c r="T978" s="15">
        <v>17.3</v>
      </c>
      <c r="U978" s="15" t="s">
        <v>549</v>
      </c>
      <c r="V978" s="31">
        <v>1</v>
      </c>
      <c r="W978" s="16" t="s">
        <v>1158</v>
      </c>
      <c r="X978" s="15" t="s">
        <v>1147</v>
      </c>
      <c r="Y978" s="1">
        <v>5</v>
      </c>
      <c r="Z978" s="15">
        <v>7.7</v>
      </c>
      <c r="AA978" s="15" t="s">
        <v>573</v>
      </c>
      <c r="AB978" s="15">
        <f t="shared" si="882"/>
        <v>7.7</v>
      </c>
      <c r="AC978" s="1">
        <v>6</v>
      </c>
      <c r="AD978" s="15">
        <f t="shared" si="902"/>
        <v>14.616</v>
      </c>
      <c r="AF978" s="15">
        <v>17.95</v>
      </c>
      <c r="AJ978" s="15">
        <v>37</v>
      </c>
      <c r="AK978" s="15">
        <v>50</v>
      </c>
      <c r="AL978" s="15">
        <v>13</v>
      </c>
      <c r="AM978" s="1">
        <v>2</v>
      </c>
      <c r="AN978" s="15">
        <v>1.5</v>
      </c>
      <c r="AP978" s="15" t="s">
        <v>2445</v>
      </c>
      <c r="AQ978" s="1">
        <v>10</v>
      </c>
      <c r="AR978" s="1">
        <v>3</v>
      </c>
      <c r="BP978" s="16"/>
      <c r="BQ978" s="16"/>
      <c r="BR978" s="16"/>
      <c r="BU978" s="16"/>
      <c r="CC978" s="15" t="s">
        <v>2079</v>
      </c>
      <c r="CE978" s="15">
        <v>8000</v>
      </c>
      <c r="CF978" s="15">
        <v>8000</v>
      </c>
      <c r="CG978" s="15" t="s">
        <v>766</v>
      </c>
      <c r="CH978" s="15">
        <v>9.6</v>
      </c>
      <c r="CL978" s="15">
        <v>3.8</v>
      </c>
      <c r="CY978" s="25">
        <f t="shared" si="878"/>
        <v>8000</v>
      </c>
      <c r="CZ978" s="25">
        <f t="shared" si="879"/>
        <v>10.256410256410255</v>
      </c>
      <c r="DA978" s="25">
        <f t="shared" si="880"/>
        <v>24000</v>
      </c>
      <c r="EZ978" s="16">
        <v>1.58</v>
      </c>
      <c r="FA978" s="16">
        <v>1.2999999999999999E-2</v>
      </c>
      <c r="FB978" s="15">
        <f>FA978*SQRT(AR978)</f>
        <v>2.2516660498395402E-2</v>
      </c>
      <c r="FC978" s="16">
        <v>1.53</v>
      </c>
      <c r="FD978" s="16">
        <v>1.4E-2</v>
      </c>
      <c r="FE978" s="15">
        <f>FD978*SQRT(AR978)</f>
        <v>2.4248711305964281E-2</v>
      </c>
      <c r="FF978" s="15">
        <f t="shared" si="903"/>
        <v>0.96835443037974678</v>
      </c>
      <c r="FG978" s="15">
        <f t="shared" si="904"/>
        <v>-5.0000000000000044E-2</v>
      </c>
      <c r="FH978" s="15">
        <f t="shared" si="905"/>
        <v>-3.2157111634531388E-2</v>
      </c>
      <c r="FI978" s="15">
        <f>((FE978*FE978)/(AR978*FC978*FC978)+(FB978*FB978)/(AR978*EZ978*EZ978))</f>
        <v>1.5142596487645698E-4</v>
      </c>
      <c r="FJ978" s="16"/>
      <c r="FK978" s="16">
        <f t="shared" si="906"/>
        <v>8.34</v>
      </c>
      <c r="FL978" s="16">
        <f t="shared" si="907"/>
        <v>8.6</v>
      </c>
      <c r="FM978" s="15">
        <v>7.57</v>
      </c>
      <c r="FN978" s="15">
        <f t="shared" si="885"/>
        <v>7.5700000000000003E-2</v>
      </c>
      <c r="FO978" s="15">
        <f>FN978*SQRT(AR978)</f>
        <v>0.13111624613296402</v>
      </c>
      <c r="FP978" s="15">
        <v>7.83</v>
      </c>
      <c r="FQ978" s="15">
        <f t="shared" si="886"/>
        <v>7.8300000000000008E-2</v>
      </c>
      <c r="FR978" s="15">
        <f>FQ978*SQRT(AR978)</f>
        <v>0.13561957823264309</v>
      </c>
      <c r="FS978" s="15">
        <f t="shared" si="887"/>
        <v>1.034346103038309</v>
      </c>
      <c r="FT978" s="15">
        <f t="shared" si="888"/>
        <v>0.25999999999999979</v>
      </c>
      <c r="FU978" s="15">
        <f t="shared" si="889"/>
        <v>3.3769442553354345E-2</v>
      </c>
      <c r="FV978" s="15">
        <f>((FR978*FR978)/(AR978*FP978*FP978)+(FO978*FO978)/(AR978*FM978*FM978))</f>
        <v>2.0000000000000001E-4</v>
      </c>
      <c r="GI978" s="15">
        <v>17.399999999999999</v>
      </c>
      <c r="GJ978" s="15">
        <f t="shared" si="892"/>
        <v>0.17399999999999999</v>
      </c>
      <c r="GK978" s="15">
        <f>GJ978*SQRT(AR978)</f>
        <v>0.3013768405169846</v>
      </c>
      <c r="GL978" s="15">
        <v>18.27</v>
      </c>
      <c r="GM978" s="15">
        <f t="shared" si="893"/>
        <v>0.1827</v>
      </c>
      <c r="GN978" s="15">
        <f>GM978*SQRT(AR978)</f>
        <v>0.31644568254283384</v>
      </c>
      <c r="GO978" s="15">
        <f t="shared" si="894"/>
        <v>1.05</v>
      </c>
      <c r="GP978" s="15">
        <f t="shared" si="895"/>
        <v>0.87000000000000099</v>
      </c>
      <c r="GQ978" s="15">
        <f t="shared" si="896"/>
        <v>4.879016416943216E-2</v>
      </c>
      <c r="GR978" s="15">
        <f>((GN978*GN978)/(AR978*GL978*GL978)+(GK978*GK978)/(AR978*GI978*GI978))</f>
        <v>1.9999999999999996E-4</v>
      </c>
      <c r="HE978" s="15">
        <v>2335</v>
      </c>
      <c r="HF978" s="15">
        <f t="shared" si="908"/>
        <v>116.75</v>
      </c>
      <c r="HG978" s="15">
        <f>HF978*SQRT(AR978)</f>
        <v>202.21693178366641</v>
      </c>
      <c r="HH978" s="15">
        <v>3417</v>
      </c>
      <c r="HI978" s="15">
        <f t="shared" si="909"/>
        <v>170.85000000000002</v>
      </c>
      <c r="HJ978" s="15">
        <f>HI978*SQRT(AR978)</f>
        <v>295.92088047314269</v>
      </c>
      <c r="HK978" s="15">
        <f t="shared" si="862"/>
        <v>1.4633832976445396</v>
      </c>
      <c r="HL978" s="15">
        <f t="shared" si="863"/>
        <v>1082</v>
      </c>
      <c r="HM978" s="15">
        <f t="shared" si="864"/>
        <v>0.38075108201229302</v>
      </c>
      <c r="HN978" s="15">
        <f>((HJ978*HJ978)/(AR978*HH978*HH978)+(HG978*HG978)/(AR978*HE978*HE978))</f>
        <v>4.9999999999999992E-3</v>
      </c>
      <c r="HP978" s="15" t="s">
        <v>766</v>
      </c>
      <c r="HV978" s="15">
        <f t="shared" si="865"/>
        <v>630.33307412177305</v>
      </c>
      <c r="HW978" s="15">
        <f t="shared" si="866"/>
        <v>0.38075108201229302</v>
      </c>
      <c r="HX978" s="25">
        <f>DA978</f>
        <v>24000</v>
      </c>
      <c r="HY978" s="25">
        <f>CY978</f>
        <v>8000</v>
      </c>
      <c r="HZ978" s="25">
        <f>CZ978</f>
        <v>10.256410256410255</v>
      </c>
      <c r="IA978" s="25">
        <f>DA978</f>
        <v>24000</v>
      </c>
    </row>
    <row r="979" spans="1:235" s="15" customFormat="1" x14ac:dyDescent="0.25">
      <c r="A979" s="31">
        <v>977</v>
      </c>
      <c r="B979" s="1">
        <v>161</v>
      </c>
      <c r="C979" s="1">
        <v>185</v>
      </c>
      <c r="D979" s="15" t="s">
        <v>2183</v>
      </c>
      <c r="E979" s="31">
        <v>2</v>
      </c>
      <c r="F979" s="15" t="s">
        <v>777</v>
      </c>
      <c r="G979" s="15" t="s">
        <v>2441</v>
      </c>
      <c r="H979" s="15" t="s">
        <v>2442</v>
      </c>
      <c r="I979" s="1">
        <v>2018</v>
      </c>
      <c r="J979" s="15" t="s">
        <v>2443</v>
      </c>
      <c r="K979" s="1">
        <v>2014</v>
      </c>
      <c r="L979" s="15" t="s">
        <v>2444</v>
      </c>
      <c r="M979" s="15" t="s">
        <v>1314</v>
      </c>
      <c r="N979" s="15" t="s">
        <v>23</v>
      </c>
      <c r="O979" s="31">
        <v>3</v>
      </c>
      <c r="P979" s="15">
        <v>37.28</v>
      </c>
      <c r="Q979" s="15">
        <v>55.35</v>
      </c>
      <c r="S979" s="15">
        <v>332</v>
      </c>
      <c r="T979" s="15">
        <v>17.3</v>
      </c>
      <c r="U979" s="15" t="s">
        <v>549</v>
      </c>
      <c r="V979" s="31">
        <v>1</v>
      </c>
      <c r="W979" s="16" t="s">
        <v>1158</v>
      </c>
      <c r="X979" s="15" t="s">
        <v>1147</v>
      </c>
      <c r="Y979" s="1">
        <v>5</v>
      </c>
      <c r="Z979" s="15">
        <v>7.7</v>
      </c>
      <c r="AA979" s="15" t="s">
        <v>573</v>
      </c>
      <c r="AB979" s="15">
        <f t="shared" si="882"/>
        <v>7.7</v>
      </c>
      <c r="AC979" s="1">
        <v>6</v>
      </c>
      <c r="AD979" s="15">
        <f t="shared" si="902"/>
        <v>14.616</v>
      </c>
      <c r="AF979" s="15">
        <v>17.95</v>
      </c>
      <c r="AJ979" s="15">
        <v>37</v>
      </c>
      <c r="AK979" s="15">
        <v>50</v>
      </c>
      <c r="AL979" s="15">
        <v>13</v>
      </c>
      <c r="AM979" s="1">
        <v>2</v>
      </c>
      <c r="AN979" s="15">
        <v>1.5</v>
      </c>
      <c r="AP979" s="15" t="s">
        <v>2445</v>
      </c>
      <c r="AQ979" s="1">
        <v>10</v>
      </c>
      <c r="AR979" s="1">
        <v>3</v>
      </c>
      <c r="BP979" s="16"/>
      <c r="BQ979" s="16"/>
      <c r="BR979" s="16"/>
      <c r="BU979" s="16"/>
      <c r="CC979" s="15" t="s">
        <v>2079</v>
      </c>
      <c r="CE979" s="15">
        <v>16000</v>
      </c>
      <c r="CF979" s="15">
        <v>16000</v>
      </c>
      <c r="CG979" s="15" t="s">
        <v>766</v>
      </c>
      <c r="CH979" s="15">
        <v>9.6</v>
      </c>
      <c r="CL979" s="15">
        <v>3.8</v>
      </c>
      <c r="CY979" s="25">
        <f t="shared" si="878"/>
        <v>16000</v>
      </c>
      <c r="CZ979" s="25">
        <f t="shared" si="879"/>
        <v>20.512820512820511</v>
      </c>
      <c r="DA979" s="25">
        <f t="shared" si="880"/>
        <v>48000</v>
      </c>
      <c r="EZ979" s="16">
        <v>1.58</v>
      </c>
      <c r="FA979" s="16">
        <v>1.2999999999999999E-2</v>
      </c>
      <c r="FB979" s="15">
        <f>FA979*SQRT(AR979)</f>
        <v>2.2516660498395402E-2</v>
      </c>
      <c r="FC979" s="16">
        <v>1.51</v>
      </c>
      <c r="FD979" s="16">
        <v>1.4E-2</v>
      </c>
      <c r="FE979" s="15">
        <f>FD979*SQRT(AR979)</f>
        <v>2.4248711305964281E-2</v>
      </c>
      <c r="FF979" s="15">
        <f t="shared" si="903"/>
        <v>0.95569620253164556</v>
      </c>
      <c r="FG979" s="15">
        <f t="shared" si="904"/>
        <v>-7.0000000000000062E-2</v>
      </c>
      <c r="FH979" s="15">
        <f t="shared" si="905"/>
        <v>-4.5315196212042497E-2</v>
      </c>
      <c r="FI979" s="15">
        <f>((FE979*FE979)/(AR979*FC979*FC979)+(FB979*FB979)/(AR979*EZ979*EZ979))</f>
        <v>1.536586264326766E-4</v>
      </c>
      <c r="FJ979" s="16"/>
      <c r="FK979" s="16">
        <f t="shared" si="906"/>
        <v>8.34</v>
      </c>
      <c r="FL979" s="16">
        <f t="shared" si="907"/>
        <v>8.67</v>
      </c>
      <c r="FM979" s="15">
        <v>7.57</v>
      </c>
      <c r="FN979" s="15">
        <f t="shared" si="885"/>
        <v>7.5700000000000003E-2</v>
      </c>
      <c r="FO979" s="15">
        <f>FN979*SQRT(AR979)</f>
        <v>0.13111624613296402</v>
      </c>
      <c r="FP979" s="15">
        <v>7.9</v>
      </c>
      <c r="FQ979" s="15">
        <f t="shared" si="886"/>
        <v>7.9000000000000001E-2</v>
      </c>
      <c r="FR979" s="15">
        <f>FQ979*SQRT(AR979)</f>
        <v>0.1368320137979413</v>
      </c>
      <c r="FS979" s="15">
        <f t="shared" si="887"/>
        <v>1.0435931307793924</v>
      </c>
      <c r="FT979" s="15">
        <f t="shared" si="888"/>
        <v>0.33000000000000007</v>
      </c>
      <c r="FU979" s="15">
        <f t="shared" si="889"/>
        <v>4.2669692023618477E-2</v>
      </c>
      <c r="FV979" s="15">
        <f>((FR979*FR979)/(AR979*FP979*FP979)+(FO979*FO979)/(AR979*FM979*FM979))</f>
        <v>1.9999999999999998E-4</v>
      </c>
      <c r="GI979" s="15">
        <v>17.399999999999999</v>
      </c>
      <c r="GJ979" s="15">
        <f t="shared" si="892"/>
        <v>0.17399999999999999</v>
      </c>
      <c r="GK979" s="15">
        <f>GJ979*SQRT(AR979)</f>
        <v>0.3013768405169846</v>
      </c>
      <c r="GL979" s="15">
        <v>19.149999999999999</v>
      </c>
      <c r="GM979" s="15">
        <f t="shared" si="893"/>
        <v>0.1915</v>
      </c>
      <c r="GN979" s="15">
        <f>GM979*SQRT(AR979)</f>
        <v>0.33168772964943999</v>
      </c>
      <c r="GO979" s="15">
        <f t="shared" si="894"/>
        <v>1.1005747126436782</v>
      </c>
      <c r="GP979" s="15">
        <f t="shared" si="895"/>
        <v>1.75</v>
      </c>
      <c r="GQ979" s="15">
        <f t="shared" si="896"/>
        <v>9.5832509406171607E-2</v>
      </c>
      <c r="GR979" s="15">
        <f>((GN979*GN979)/(AR979*GL979*GL979)+(GK979*GK979)/(AR979*GI979*GI979))</f>
        <v>1.9999999999999998E-4</v>
      </c>
      <c r="HE979" s="15">
        <v>2335</v>
      </c>
      <c r="HF979" s="15">
        <f t="shared" si="908"/>
        <v>116.75</v>
      </c>
      <c r="HG979" s="15">
        <f>HF979*SQRT(AR979)</f>
        <v>202.21693178366641</v>
      </c>
      <c r="HH979" s="15">
        <v>3292</v>
      </c>
      <c r="HI979" s="15">
        <f t="shared" si="909"/>
        <v>164.60000000000002</v>
      </c>
      <c r="HJ979" s="15">
        <f>HI979*SQRT(AR979)</f>
        <v>285.09556292583721</v>
      </c>
      <c r="HK979" s="15">
        <f t="shared" si="862"/>
        <v>1.4098501070663811</v>
      </c>
      <c r="HL979" s="15">
        <f t="shared" si="863"/>
        <v>957</v>
      </c>
      <c r="HM979" s="15">
        <f t="shared" si="864"/>
        <v>0.34348339169396258</v>
      </c>
      <c r="HN979" s="15">
        <f>((HJ979*HJ979)/(AR979*HH979*HH979)+(HG979*HG979)/(AR979*HE979*HE979))</f>
        <v>5.0000000000000001E-3</v>
      </c>
      <c r="HP979" s="15" t="s">
        <v>766</v>
      </c>
      <c r="HV979" s="15">
        <f t="shared" si="865"/>
        <v>1397.4474795790745</v>
      </c>
      <c r="HW979" s="15">
        <f t="shared" si="866"/>
        <v>0.34348339169396258</v>
      </c>
      <c r="HX979" s="25">
        <f>DA979</f>
        <v>48000</v>
      </c>
      <c r="HY979" s="25">
        <f>CY979</f>
        <v>16000</v>
      </c>
      <c r="HZ979" s="25">
        <f>CZ979</f>
        <v>20.512820512820511</v>
      </c>
      <c r="IA979" s="25">
        <f>DA979</f>
        <v>48000</v>
      </c>
    </row>
    <row r="980" spans="1:235" s="15" customFormat="1" x14ac:dyDescent="0.25">
      <c r="A980" s="31">
        <v>978</v>
      </c>
      <c r="B980" s="1">
        <v>162</v>
      </c>
      <c r="C980" s="1">
        <v>186</v>
      </c>
      <c r="D980" s="15" t="s">
        <v>2184</v>
      </c>
      <c r="E980" s="31">
        <v>2</v>
      </c>
      <c r="F980" s="15" t="s">
        <v>777</v>
      </c>
      <c r="G980" s="15" t="s">
        <v>2446</v>
      </c>
      <c r="H980" s="15" t="s">
        <v>2447</v>
      </c>
      <c r="I980" s="1">
        <v>2017</v>
      </c>
      <c r="J980" s="15" t="s">
        <v>2186</v>
      </c>
      <c r="K980" s="1" t="s">
        <v>1948</v>
      </c>
      <c r="L980" s="15" t="s">
        <v>2448</v>
      </c>
      <c r="M980" s="15" t="s">
        <v>2449</v>
      </c>
      <c r="N980" s="15" t="s">
        <v>23</v>
      </c>
      <c r="O980" s="31">
        <v>2</v>
      </c>
      <c r="P980" s="15">
        <v>31.02</v>
      </c>
      <c r="Q980" s="15">
        <v>71.47</v>
      </c>
      <c r="S980" s="15">
        <v>350</v>
      </c>
      <c r="T980" s="15">
        <v>29</v>
      </c>
      <c r="U980" s="15" t="s">
        <v>549</v>
      </c>
      <c r="V980" s="31">
        <v>1</v>
      </c>
      <c r="W980" s="16" t="s">
        <v>1153</v>
      </c>
      <c r="X980" s="15" t="s">
        <v>731</v>
      </c>
      <c r="Y980" s="1">
        <v>12</v>
      </c>
      <c r="Z980" s="15">
        <v>8.24</v>
      </c>
      <c r="AA980" s="15" t="s">
        <v>573</v>
      </c>
      <c r="AB980" s="15">
        <f t="shared" si="882"/>
        <v>8.24</v>
      </c>
      <c r="AC980" s="1">
        <v>6</v>
      </c>
      <c r="AD980" s="15">
        <f>12.7*1.74</f>
        <v>22.097999999999999</v>
      </c>
      <c r="AM980" s="1">
        <v>2</v>
      </c>
      <c r="AQ980" s="1"/>
      <c r="AR980" s="1">
        <v>3</v>
      </c>
      <c r="BP980" s="16"/>
      <c r="BQ980" s="16"/>
      <c r="BR980" s="16"/>
      <c r="BU980" s="16"/>
      <c r="CC980" s="15" t="s">
        <v>2450</v>
      </c>
      <c r="CE980" s="15">
        <v>10000</v>
      </c>
      <c r="CF980" s="15">
        <v>10000</v>
      </c>
      <c r="CG980" s="15" t="s">
        <v>766</v>
      </c>
      <c r="CH980" s="15">
        <v>7.35</v>
      </c>
      <c r="CI980" s="15">
        <v>450</v>
      </c>
      <c r="CK980" s="15">
        <v>568</v>
      </c>
      <c r="CL980" s="15">
        <v>9.52</v>
      </c>
      <c r="CM980" s="15">
        <v>10.89</v>
      </c>
      <c r="CY980" s="25">
        <f t="shared" si="878"/>
        <v>10000</v>
      </c>
      <c r="CZ980" s="25">
        <f t="shared" si="879"/>
        <v>12.820512820512821</v>
      </c>
      <c r="DA980" s="25">
        <f t="shared" si="880"/>
        <v>30000</v>
      </c>
      <c r="EZ980" s="16"/>
      <c r="FA980" s="16"/>
      <c r="FB980" s="16"/>
      <c r="FC980" s="16"/>
      <c r="FD980" s="16"/>
      <c r="FE980" s="16"/>
      <c r="FF980" s="16"/>
      <c r="FG980" s="16"/>
      <c r="FH980" s="16"/>
      <c r="FI980" s="16"/>
      <c r="FJ980" s="16"/>
      <c r="FK980" s="16">
        <f>FM980</f>
        <v>7.53</v>
      </c>
      <c r="FL980" s="16">
        <f>FP980</f>
        <v>7.52</v>
      </c>
      <c r="FM980" s="15">
        <v>7.53</v>
      </c>
      <c r="FN980" s="15">
        <v>0.03</v>
      </c>
      <c r="FO980" s="15">
        <f>FN980*SQRT(AR980)</f>
        <v>5.1961524227066312E-2</v>
      </c>
      <c r="FP980" s="15">
        <v>7.52</v>
      </c>
      <c r="FQ980" s="15">
        <v>0.04</v>
      </c>
      <c r="FR980" s="15">
        <f>FQ980*SQRT(AR980)</f>
        <v>6.9282032302755092E-2</v>
      </c>
      <c r="FS980" s="15">
        <f t="shared" si="887"/>
        <v>0.99867197875165992</v>
      </c>
      <c r="FT980" s="15">
        <f t="shared" si="888"/>
        <v>-1.0000000000000675E-2</v>
      </c>
      <c r="FU980" s="15">
        <f t="shared" si="889"/>
        <v>-1.3289038500539085E-3</v>
      </c>
      <c r="FV980" s="15">
        <f>((FR980*FR980)/(AR980*FP980*FP980)+(FO980*FO980)/(AR980*FM980*FM980))</f>
        <v>4.4166109329542859E-5</v>
      </c>
      <c r="FX980" s="25">
        <f>6.97*1.74</f>
        <v>12.127799999999999</v>
      </c>
      <c r="FY980" s="15">
        <v>0.59</v>
      </c>
      <c r="FZ980" s="15">
        <f>FY980*SQRT(AR980)</f>
        <v>1.0219099764656374</v>
      </c>
      <c r="GA980" s="15">
        <f>7.93*1.74</f>
        <v>13.7982</v>
      </c>
      <c r="GB980" s="15">
        <v>0.3</v>
      </c>
      <c r="GC980" s="15">
        <f>GB980*SQRT(AR980)</f>
        <v>0.51961524227066314</v>
      </c>
      <c r="GD980" s="15">
        <f>GA980/FX980</f>
        <v>1.1377331420373029</v>
      </c>
      <c r="GE980" s="15">
        <f>GA980-FX980</f>
        <v>1.6704000000000008</v>
      </c>
      <c r="GF980" s="15">
        <f>LN(GA980)-LN(FX980)</f>
        <v>0.12903781087432398</v>
      </c>
      <c r="GG980" s="15">
        <f>((GC980*GC980)/(AR980*GA980*GA980)+(FZ980*FZ980)/(AR980*FX980*FX980))</f>
        <v>2.8393954426735204E-3</v>
      </c>
      <c r="HE980" s="15">
        <v>2502</v>
      </c>
      <c r="HF980" s="15">
        <v>83</v>
      </c>
      <c r="HG980" s="15">
        <f>HF980*SQRT(AR980)</f>
        <v>143.7602170282168</v>
      </c>
      <c r="HH980" s="15">
        <v>3263</v>
      </c>
      <c r="HI980" s="15">
        <v>78</v>
      </c>
      <c r="HJ980" s="15">
        <f>HI980*SQRT(AR980)</f>
        <v>135.09996299037243</v>
      </c>
      <c r="HK980" s="15">
        <f t="shared" si="862"/>
        <v>1.3041566746602717</v>
      </c>
      <c r="HL980" s="15">
        <f t="shared" si="863"/>
        <v>761</v>
      </c>
      <c r="HM980" s="15">
        <f t="shared" si="864"/>
        <v>0.26555660556646377</v>
      </c>
      <c r="HN980" s="15">
        <f>((HJ980*HJ980)/(AR980*HH980*HH980)+(HG980*HG980)/(AR980*HE980*HE980))</f>
        <v>1.671898031323425E-3</v>
      </c>
      <c r="HP980" s="15" t="s">
        <v>766</v>
      </c>
      <c r="HV980" s="15">
        <f t="shared" si="865"/>
        <v>1129.7026461084047</v>
      </c>
      <c r="HW980" s="15">
        <f t="shared" si="866"/>
        <v>0.26555660556646377</v>
      </c>
      <c r="HX980" s="25">
        <f>DA980</f>
        <v>30000</v>
      </c>
      <c r="HY980" s="25">
        <f>CY980</f>
        <v>10000</v>
      </c>
      <c r="HZ980" s="25">
        <f>CZ980</f>
        <v>12.820512820512821</v>
      </c>
      <c r="IA980" s="25">
        <f>DA980</f>
        <v>30000</v>
      </c>
    </row>
    <row r="981" spans="1:235" s="15" customFormat="1" x14ac:dyDescent="0.25">
      <c r="A981" s="31">
        <v>979</v>
      </c>
      <c r="B981" s="1">
        <v>162</v>
      </c>
      <c r="C981" s="1">
        <v>186</v>
      </c>
      <c r="D981" s="15" t="s">
        <v>2185</v>
      </c>
      <c r="E981" s="31">
        <v>2</v>
      </c>
      <c r="F981" s="15" t="s">
        <v>777</v>
      </c>
      <c r="G981" s="15" t="s">
        <v>2446</v>
      </c>
      <c r="H981" s="15" t="s">
        <v>2447</v>
      </c>
      <c r="I981" s="1">
        <v>2017</v>
      </c>
      <c r="J981" s="15" t="s">
        <v>2186</v>
      </c>
      <c r="K981" s="1" t="s">
        <v>1948</v>
      </c>
      <c r="L981" s="15" t="s">
        <v>2448</v>
      </c>
      <c r="M981" s="15" t="s">
        <v>2449</v>
      </c>
      <c r="N981" s="15" t="s">
        <v>23</v>
      </c>
      <c r="O981" s="31">
        <v>2</v>
      </c>
      <c r="P981" s="15">
        <v>31.02</v>
      </c>
      <c r="Q981" s="15">
        <v>71.47</v>
      </c>
      <c r="S981" s="15">
        <v>350</v>
      </c>
      <c r="T981" s="15">
        <v>29</v>
      </c>
      <c r="U981" s="15" t="s">
        <v>549</v>
      </c>
      <c r="V981" s="31">
        <v>1</v>
      </c>
      <c r="W981" s="16" t="s">
        <v>1153</v>
      </c>
      <c r="X981" s="15" t="s">
        <v>729</v>
      </c>
      <c r="Y981" s="61">
        <v>11</v>
      </c>
      <c r="Z981" s="15">
        <v>8.24</v>
      </c>
      <c r="AA981" s="15" t="s">
        <v>573</v>
      </c>
      <c r="AB981" s="15">
        <f t="shared" si="882"/>
        <v>8.24</v>
      </c>
      <c r="AC981" s="1">
        <v>6</v>
      </c>
      <c r="AD981" s="15">
        <f>12.7*1.74</f>
        <v>22.097999999999999</v>
      </c>
      <c r="AM981" s="1">
        <v>2</v>
      </c>
      <c r="AQ981" s="1"/>
      <c r="AR981" s="1">
        <v>3</v>
      </c>
      <c r="BP981" s="16"/>
      <c r="BQ981" s="16"/>
      <c r="BR981" s="16"/>
      <c r="BU981" s="16"/>
      <c r="CC981" s="15" t="s">
        <v>2450</v>
      </c>
      <c r="CE981" s="15">
        <v>10000</v>
      </c>
      <c r="CF981" s="15">
        <v>10000</v>
      </c>
      <c r="CG981" s="15" t="s">
        <v>766</v>
      </c>
      <c r="CH981" s="15">
        <v>7.35</v>
      </c>
      <c r="CI981" s="15">
        <v>450</v>
      </c>
      <c r="CK981" s="15">
        <v>568</v>
      </c>
      <c r="CL981" s="15">
        <v>9.52</v>
      </c>
      <c r="CM981" s="15">
        <v>10.89</v>
      </c>
      <c r="CY981" s="25">
        <f t="shared" si="878"/>
        <v>10000</v>
      </c>
      <c r="CZ981" s="25">
        <f t="shared" si="879"/>
        <v>12.820512820512821</v>
      </c>
      <c r="DA981" s="25">
        <f t="shared" si="880"/>
        <v>30000</v>
      </c>
      <c r="EZ981" s="16"/>
      <c r="FA981" s="16"/>
      <c r="FB981" s="16"/>
      <c r="FC981" s="16"/>
      <c r="FD981" s="16"/>
      <c r="FE981" s="16"/>
      <c r="FF981" s="16"/>
      <c r="FG981" s="16"/>
      <c r="FH981" s="16"/>
      <c r="FI981" s="16"/>
      <c r="FJ981" s="16"/>
      <c r="FK981" s="16">
        <f>FM981</f>
        <v>8.11</v>
      </c>
      <c r="FL981" s="16">
        <f>FP981</f>
        <v>8.16</v>
      </c>
      <c r="FM981" s="15">
        <v>8.11</v>
      </c>
      <c r="FN981" s="15">
        <v>0.02</v>
      </c>
      <c r="FO981" s="15">
        <f>FN981*SQRT(AR981)</f>
        <v>3.4641016151377546E-2</v>
      </c>
      <c r="FP981" s="15">
        <v>8.16</v>
      </c>
      <c r="FQ981" s="15">
        <v>0.01</v>
      </c>
      <c r="FR981" s="15">
        <f>FQ981*SQRT(AR981)</f>
        <v>1.7320508075688773E-2</v>
      </c>
      <c r="FS981" s="15">
        <f t="shared" si="887"/>
        <v>1.0061652281134403</v>
      </c>
      <c r="FT981" s="15">
        <f t="shared" si="888"/>
        <v>5.0000000000000711E-2</v>
      </c>
      <c r="FU981" s="15">
        <f t="shared" si="889"/>
        <v>6.1463008486941639E-3</v>
      </c>
      <c r="FV981" s="15">
        <f>((FR981*FR981)/(AR981*FP981*FP981)+(FO981*FO981)/(AR981*FM981*FM981))</f>
        <v>7.5834322512048933E-6</v>
      </c>
      <c r="FX981" s="25">
        <f>8.37*1.74</f>
        <v>14.563799999999999</v>
      </c>
      <c r="FY981" s="15">
        <v>0.51</v>
      </c>
      <c r="FZ981" s="15">
        <f>FY981*SQRT(AR981)</f>
        <v>0.88334591186012734</v>
      </c>
      <c r="GA981" s="15">
        <f>10.96*1.74</f>
        <v>19.070400000000003</v>
      </c>
      <c r="GB981" s="15">
        <v>1.05</v>
      </c>
      <c r="GC981" s="15">
        <f>GB981*SQRT(AR981)</f>
        <v>1.818653347947321</v>
      </c>
      <c r="GD981" s="15">
        <f>GA981/FX981</f>
        <v>1.3094384707287936</v>
      </c>
      <c r="GE981" s="15">
        <f>GA981-FX981</f>
        <v>4.5066000000000042</v>
      </c>
      <c r="GF981" s="15">
        <f>LN(GA981)-LN(FX981)</f>
        <v>0.26959839701848587</v>
      </c>
      <c r="GG981" s="15">
        <f>((GC981*GC981)/(AR981*GA981*GA981)+(FZ981*FZ981)/(AR981*FX981*FX981))</f>
        <v>4.2577935719759234E-3</v>
      </c>
      <c r="HE981" s="15">
        <v>2985</v>
      </c>
      <c r="HF981" s="15">
        <v>52</v>
      </c>
      <c r="HG981" s="15">
        <f>HF981*SQRT(AR981)</f>
        <v>90.066641993581612</v>
      </c>
      <c r="HH981" s="15">
        <v>3396</v>
      </c>
      <c r="HI981" s="15">
        <v>48</v>
      </c>
      <c r="HJ981" s="15">
        <f>HI981*SQRT(AR981)</f>
        <v>83.138438763306112</v>
      </c>
      <c r="HK981" s="15">
        <f t="shared" si="862"/>
        <v>1.1376884422110554</v>
      </c>
      <c r="HL981" s="15">
        <f t="shared" si="863"/>
        <v>411</v>
      </c>
      <c r="HM981" s="15">
        <f t="shared" si="864"/>
        <v>0.12899852160453484</v>
      </c>
      <c r="HN981" s="15">
        <f>((HJ981*HJ981)/(AR981*HH981*HH981)+(HG981*HG981)/(AR981*HE981*HE981))</f>
        <v>5.0324932064517718E-4</v>
      </c>
      <c r="HP981" s="15" t="s">
        <v>766</v>
      </c>
      <c r="HV981" s="15">
        <f t="shared" si="865"/>
        <v>2325.6080478169893</v>
      </c>
      <c r="HW981" s="15">
        <f t="shared" si="866"/>
        <v>0.12899852160453484</v>
      </c>
      <c r="HX981" s="25">
        <f>DA981</f>
        <v>30000</v>
      </c>
      <c r="HY981" s="25">
        <f>CY981</f>
        <v>10000</v>
      </c>
      <c r="HZ981" s="25">
        <f>CZ981</f>
        <v>12.820512820512821</v>
      </c>
      <c r="IA981" s="25">
        <f>DA981</f>
        <v>30000</v>
      </c>
    </row>
    <row r="982" spans="1:235" s="15" customFormat="1" x14ac:dyDescent="0.25">
      <c r="A982" s="31">
        <v>980</v>
      </c>
      <c r="B982" s="1">
        <v>163</v>
      </c>
      <c r="C982" s="1">
        <v>187</v>
      </c>
      <c r="D982" s="15" t="s">
        <v>2187</v>
      </c>
      <c r="E982" s="31">
        <v>2</v>
      </c>
      <c r="F982" s="15" t="s">
        <v>777</v>
      </c>
      <c r="G982" s="15" t="s">
        <v>2190</v>
      </c>
      <c r="H982" s="15" t="s">
        <v>839</v>
      </c>
      <c r="I982" s="1">
        <v>2020</v>
      </c>
      <c r="J982" s="15" t="s">
        <v>2193</v>
      </c>
      <c r="K982" s="1" t="s">
        <v>2194</v>
      </c>
      <c r="L982" s="15" t="s">
        <v>2195</v>
      </c>
      <c r="M982" s="15" t="s">
        <v>480</v>
      </c>
      <c r="N982" s="15" t="s">
        <v>23</v>
      </c>
      <c r="O982" s="31">
        <v>2</v>
      </c>
      <c r="P982" s="15">
        <v>37.130000000000003</v>
      </c>
      <c r="Q982" s="15">
        <v>112.97</v>
      </c>
      <c r="S982" s="15">
        <v>950</v>
      </c>
      <c r="T982" s="15">
        <v>17</v>
      </c>
      <c r="U982" s="15" t="s">
        <v>549</v>
      </c>
      <c r="V982" s="31">
        <v>1</v>
      </c>
      <c r="W982" s="16" t="s">
        <v>1164</v>
      </c>
      <c r="X982" s="15" t="s">
        <v>729</v>
      </c>
      <c r="Y982" s="61">
        <v>11</v>
      </c>
      <c r="Z982" s="15">
        <v>5.92</v>
      </c>
      <c r="AA982" s="15" t="s">
        <v>573</v>
      </c>
      <c r="AB982" s="15">
        <f t="shared" si="882"/>
        <v>5.92</v>
      </c>
      <c r="AC982" s="1">
        <v>4</v>
      </c>
      <c r="AD982" s="15">
        <f>13.24*1.75</f>
        <v>23.17</v>
      </c>
      <c r="AM982" s="1">
        <v>1</v>
      </c>
      <c r="AN982" s="15">
        <v>1.5</v>
      </c>
      <c r="AP982" s="15" t="s">
        <v>2196</v>
      </c>
      <c r="AQ982" s="1">
        <v>9</v>
      </c>
      <c r="AR982" s="1">
        <v>3</v>
      </c>
      <c r="BP982" s="16"/>
      <c r="BQ982" s="16"/>
      <c r="BR982" s="16"/>
      <c r="BU982" s="16"/>
      <c r="CC982" s="15" t="s">
        <v>2197</v>
      </c>
      <c r="CE982" s="15">
        <v>4500</v>
      </c>
      <c r="CF982" s="15">
        <v>4500</v>
      </c>
      <c r="CG982" s="15" t="s">
        <v>766</v>
      </c>
      <c r="CH982" s="15">
        <v>9.16</v>
      </c>
      <c r="CI982" s="15">
        <v>500</v>
      </c>
      <c r="CJ982" s="15">
        <v>148</v>
      </c>
      <c r="CK982" s="15">
        <v>647</v>
      </c>
      <c r="CL982" s="15">
        <v>15.22</v>
      </c>
      <c r="CW982" s="15">
        <v>2.41</v>
      </c>
      <c r="CY982" s="25">
        <f t="shared" si="878"/>
        <v>4500</v>
      </c>
      <c r="CZ982" s="25">
        <f t="shared" si="879"/>
        <v>5.7692307692307683</v>
      </c>
      <c r="DA982" s="25">
        <f t="shared" si="880"/>
        <v>13500</v>
      </c>
      <c r="EZ982" s="16"/>
      <c r="FA982" s="16"/>
      <c r="FB982" s="16"/>
      <c r="FC982" s="16"/>
      <c r="FD982" s="16"/>
      <c r="FE982" s="16"/>
      <c r="FF982" s="16"/>
      <c r="FG982" s="16"/>
      <c r="FH982" s="16"/>
      <c r="FI982" s="16"/>
      <c r="FJ982" s="16"/>
      <c r="FK982" s="16">
        <f>FM982</f>
        <v>5.6</v>
      </c>
      <c r="FL982" s="16">
        <f>FP982</f>
        <v>5.59</v>
      </c>
      <c r="FM982" s="15">
        <v>5.6</v>
      </c>
      <c r="FN982" s="15">
        <v>0.15</v>
      </c>
      <c r="FO982" s="15">
        <f>FN982*SQRT(AR982)</f>
        <v>0.25980762113533157</v>
      </c>
      <c r="FP982" s="15">
        <v>5.59</v>
      </c>
      <c r="FQ982" s="15">
        <v>0.24</v>
      </c>
      <c r="FR982" s="15">
        <f>FQ982*SQRT(AR982)</f>
        <v>0.4156921938165305</v>
      </c>
      <c r="FS982" s="15">
        <f t="shared" si="887"/>
        <v>0.99821428571428572</v>
      </c>
      <c r="FT982" s="15">
        <f t="shared" si="888"/>
        <v>-9.9999999999997868E-3</v>
      </c>
      <c r="FU982" s="15">
        <f t="shared" si="889"/>
        <v>-1.7873105740957573E-3</v>
      </c>
      <c r="FV982" s="15">
        <f>((FR982*FR982)/(AR982*FP982*FP982)+(FO982*FO982)/(AR982*FM982*FM982))</f>
        <v>2.5607865631699792E-3</v>
      </c>
      <c r="FX982" s="15">
        <f>12.59*1.74</f>
        <v>21.906600000000001</v>
      </c>
      <c r="FY982" s="15">
        <v>0.28999999999999998</v>
      </c>
      <c r="FZ982" s="15">
        <f>FY982*SQRT(AR982)</f>
        <v>0.50229473419497439</v>
      </c>
      <c r="GA982" s="15">
        <f>14.57*1.74</f>
        <v>25.351800000000001</v>
      </c>
      <c r="GB982" s="15">
        <v>0.39</v>
      </c>
      <c r="GC982" s="15">
        <f>GB982*SQRT(AR982)</f>
        <v>0.67549981495186218</v>
      </c>
      <c r="GD982" s="15">
        <f>GA982/FX982</f>
        <v>1.1572676727561557</v>
      </c>
      <c r="GE982" s="15">
        <f>GA982-FX982</f>
        <v>3.4451999999999998</v>
      </c>
      <c r="GF982" s="15">
        <f>LN(GA982)-LN(FX982)</f>
        <v>0.14606177215085747</v>
      </c>
      <c r="GG982" s="15">
        <f>((GC982*GC982)/(AR982*GA982*GA982)+(FZ982*FZ982)/(AR982*FX982*FX982))</f>
        <v>4.1189794456903013E-4</v>
      </c>
      <c r="HE982" s="15">
        <v>7422.84</v>
      </c>
      <c r="HF982" s="15">
        <v>137</v>
      </c>
      <c r="HG982" s="15">
        <f>HF982*SQRT(AR982)</f>
        <v>237.29096063693618</v>
      </c>
      <c r="HH982" s="15">
        <v>7961.3</v>
      </c>
      <c r="HI982" s="15">
        <v>138</v>
      </c>
      <c r="HJ982" s="15">
        <f>HI982*SQRT(AR982)</f>
        <v>239.02301144450504</v>
      </c>
      <c r="HK982" s="15">
        <f t="shared" si="862"/>
        <v>1.0725409681469626</v>
      </c>
      <c r="HL982" s="15">
        <f t="shared" si="863"/>
        <v>538.46</v>
      </c>
      <c r="HM982" s="15">
        <f t="shared" si="864"/>
        <v>7.003056982890854E-2</v>
      </c>
      <c r="HN982" s="15">
        <f>((HJ982*HJ982)/(AR982*HH982*HH982)+(HG982*HG982)/(AR982*HE982*HE982))</f>
        <v>6.4110659326066413E-4</v>
      </c>
      <c r="HP982" s="15" t="s">
        <v>766</v>
      </c>
      <c r="HV982" s="15">
        <f t="shared" si="865"/>
        <v>1927.7295662425431</v>
      </c>
      <c r="HW982" s="15">
        <f t="shared" si="866"/>
        <v>7.003056982890854E-2</v>
      </c>
      <c r="HX982" s="25">
        <f>DA982</f>
        <v>13500</v>
      </c>
      <c r="HY982" s="25">
        <f>CY982</f>
        <v>4500</v>
      </c>
      <c r="HZ982" s="25">
        <f>CZ982</f>
        <v>5.7692307692307683</v>
      </c>
      <c r="IA982" s="25">
        <f>DA982</f>
        <v>13500</v>
      </c>
    </row>
    <row r="983" spans="1:235" s="15" customFormat="1" x14ac:dyDescent="0.25">
      <c r="A983" s="31">
        <v>981</v>
      </c>
      <c r="B983" s="1">
        <v>163</v>
      </c>
      <c r="C983" s="1">
        <v>187</v>
      </c>
      <c r="D983" s="15" t="s">
        <v>2188</v>
      </c>
      <c r="E983" s="1">
        <v>4</v>
      </c>
      <c r="F983" s="15" t="s">
        <v>879</v>
      </c>
      <c r="G983" s="15" t="s">
        <v>2191</v>
      </c>
      <c r="H983" s="15" t="s">
        <v>839</v>
      </c>
      <c r="I983" s="1">
        <v>2020</v>
      </c>
      <c r="J983" s="15" t="s">
        <v>2193</v>
      </c>
      <c r="K983" s="1" t="s">
        <v>2194</v>
      </c>
      <c r="L983" s="15" t="s">
        <v>2195</v>
      </c>
      <c r="M983" s="15" t="s">
        <v>480</v>
      </c>
      <c r="N983" s="15" t="s">
        <v>23</v>
      </c>
      <c r="O983" s="31">
        <v>2</v>
      </c>
      <c r="P983" s="15">
        <v>37.130000000000003</v>
      </c>
      <c r="Q983" s="15">
        <v>112.97</v>
      </c>
      <c r="S983" s="15">
        <v>950</v>
      </c>
      <c r="T983" s="15">
        <v>17</v>
      </c>
      <c r="U983" s="15" t="s">
        <v>549</v>
      </c>
      <c r="V983" s="31">
        <v>1</v>
      </c>
      <c r="W983" s="16" t="s">
        <v>1164</v>
      </c>
      <c r="X983" s="15" t="s">
        <v>729</v>
      </c>
      <c r="Y983" s="61">
        <v>11</v>
      </c>
      <c r="Z983" s="15">
        <v>5.92</v>
      </c>
      <c r="AA983" s="15" t="s">
        <v>573</v>
      </c>
      <c r="AB983" s="15">
        <f t="shared" si="882"/>
        <v>5.92</v>
      </c>
      <c r="AC983" s="1">
        <v>4</v>
      </c>
      <c r="AD983" s="15">
        <f>13.24*1.75</f>
        <v>23.17</v>
      </c>
      <c r="AM983" s="1">
        <v>1</v>
      </c>
      <c r="AN983" s="15">
        <v>1.5</v>
      </c>
      <c r="AP983" s="15" t="s">
        <v>2196</v>
      </c>
      <c r="AQ983" s="1">
        <v>9</v>
      </c>
      <c r="AR983" s="1">
        <v>3</v>
      </c>
      <c r="BF983" s="15">
        <v>8.16</v>
      </c>
      <c r="BG983" s="15" t="s">
        <v>746</v>
      </c>
      <c r="BI983" s="15">
        <v>283</v>
      </c>
      <c r="BJ983" s="15">
        <v>12</v>
      </c>
      <c r="BK983" s="15">
        <v>19.05</v>
      </c>
      <c r="BL983" s="15">
        <v>17.829999999999998</v>
      </c>
      <c r="BP983" s="16"/>
      <c r="BQ983" s="16"/>
      <c r="BR983" s="16"/>
      <c r="BS983" s="15">
        <v>9000</v>
      </c>
      <c r="BT983" s="15">
        <v>9000</v>
      </c>
      <c r="BU983" s="16" t="s">
        <v>766</v>
      </c>
      <c r="BY983" s="15">
        <f t="shared" ref="BY983:BY994" si="910">BT983</f>
        <v>9000</v>
      </c>
      <c r="BZ983" s="15">
        <f t="shared" ref="BZ983:BZ994" si="911">BY983/1.1/1000</f>
        <v>8.1818181818181817</v>
      </c>
      <c r="CA983" s="15">
        <f t="shared" ref="CA983:CA994" si="912">BY983*2</f>
        <v>18000</v>
      </c>
      <c r="EZ983" s="16"/>
      <c r="FA983" s="16"/>
      <c r="FB983" s="16"/>
      <c r="FC983" s="16"/>
      <c r="FD983" s="16"/>
      <c r="FE983" s="16"/>
      <c r="FF983" s="16"/>
      <c r="FG983" s="16"/>
      <c r="FH983" s="16"/>
      <c r="FI983" s="16"/>
      <c r="FJ983" s="16"/>
      <c r="FK983" s="16">
        <f>FM983</f>
        <v>5.6</v>
      </c>
      <c r="FL983" s="16">
        <f>FP983</f>
        <v>5.46</v>
      </c>
      <c r="FM983" s="15">
        <v>5.6</v>
      </c>
      <c r="FN983" s="15">
        <v>0.15</v>
      </c>
      <c r="FO983" s="15">
        <f>FN983*SQRT(AR983)</f>
        <v>0.25980762113533157</v>
      </c>
      <c r="FP983" s="15">
        <v>5.46</v>
      </c>
      <c r="FQ983" s="15">
        <v>0.16</v>
      </c>
      <c r="FR983" s="15">
        <f>FQ983*SQRT(AR983)</f>
        <v>0.27712812921102037</v>
      </c>
      <c r="FS983" s="15">
        <f t="shared" si="887"/>
        <v>0.97500000000000009</v>
      </c>
      <c r="FT983" s="15">
        <f t="shared" si="888"/>
        <v>-0.13999999999999968</v>
      </c>
      <c r="FU983" s="15">
        <f t="shared" si="889"/>
        <v>-2.5317807984289953E-2</v>
      </c>
      <c r="FV983" s="15">
        <f>((FR983*FR983)/(AR983*FP983*FP983)+(FO983*FO983)/(AR983*FM983*FM983))</f>
        <v>1.5762006232473268E-3</v>
      </c>
      <c r="FX983" s="15">
        <f>12.59*1.74</f>
        <v>21.906600000000001</v>
      </c>
      <c r="FY983" s="15">
        <v>0.28999999999999998</v>
      </c>
      <c r="FZ983" s="15">
        <f>FY983*SQRT(AR983)</f>
        <v>0.50229473419497439</v>
      </c>
      <c r="GA983" s="15">
        <f>14.26*1.74</f>
        <v>24.8124</v>
      </c>
      <c r="GB983" s="15">
        <v>0.2</v>
      </c>
      <c r="GC983" s="15">
        <f>GB983*SQRT(AR983)</f>
        <v>0.34641016151377546</v>
      </c>
      <c r="GD983" s="15">
        <f>GA983/FX983</f>
        <v>1.1326449563145353</v>
      </c>
      <c r="GE983" s="15">
        <f>GA983-FX983</f>
        <v>2.9057999999999993</v>
      </c>
      <c r="GF983" s="15">
        <f>LN(GA983)-LN(FX983)</f>
        <v>0.12455556692989411</v>
      </c>
      <c r="GG983" s="15">
        <f>((GC983*GC983)/(AR983*GA983*GA983)+(FZ983*FZ983)/(AR983*FX983*FX983))</f>
        <v>2.4021659544514118E-4</v>
      </c>
      <c r="HE983" s="15">
        <v>7422.84</v>
      </c>
      <c r="HF983" s="15">
        <v>137</v>
      </c>
      <c r="HG983" s="15">
        <f>HF983*SQRT(AR983)</f>
        <v>237.29096063693618</v>
      </c>
      <c r="HH983" s="15">
        <v>8121</v>
      </c>
      <c r="HI983" s="15">
        <v>51</v>
      </c>
      <c r="HJ983" s="15">
        <f>HI983*SQRT(AR983)</f>
        <v>88.33459118601273</v>
      </c>
      <c r="HK983" s="15">
        <f t="shared" si="862"/>
        <v>1.0940556444703105</v>
      </c>
      <c r="HL983" s="15">
        <f t="shared" si="863"/>
        <v>698.15999999999985</v>
      </c>
      <c r="HM983" s="15">
        <f t="shared" si="864"/>
        <v>8.9891566024677516E-2</v>
      </c>
      <c r="HN983" s="15">
        <f>((HJ983*HJ983)/(AR983*HH983*HH983)+(HG983*HG983)/(AR983*HE983*HE983))</f>
        <v>3.8008273596250558E-4</v>
      </c>
      <c r="HP983" s="15" t="s">
        <v>766</v>
      </c>
      <c r="HV983" s="15">
        <f t="shared" si="865"/>
        <v>2002.4125505899567</v>
      </c>
      <c r="HW983" s="15">
        <f t="shared" si="866"/>
        <v>8.9891566024677516E-2</v>
      </c>
      <c r="HX983" s="15">
        <f>CA983</f>
        <v>18000</v>
      </c>
      <c r="HY983" s="15">
        <f>BY983</f>
        <v>9000</v>
      </c>
      <c r="HZ983" s="15">
        <f>BZ983</f>
        <v>8.1818181818181817</v>
      </c>
      <c r="IA983" s="15">
        <f>CA983</f>
        <v>18000</v>
      </c>
    </row>
    <row r="984" spans="1:235" s="15" customFormat="1" x14ac:dyDescent="0.25">
      <c r="A984" s="31">
        <v>982</v>
      </c>
      <c r="B984" s="1">
        <v>163</v>
      </c>
      <c r="C984" s="1">
        <v>187</v>
      </c>
      <c r="D984" s="15" t="s">
        <v>2189</v>
      </c>
      <c r="E984" s="1">
        <v>6</v>
      </c>
      <c r="F984" s="15" t="s">
        <v>1155</v>
      </c>
      <c r="G984" s="15" t="s">
        <v>2192</v>
      </c>
      <c r="H984" s="15" t="s">
        <v>839</v>
      </c>
      <c r="I984" s="1">
        <v>2020</v>
      </c>
      <c r="J984" s="15" t="s">
        <v>2193</v>
      </c>
      <c r="K984" s="1" t="s">
        <v>2194</v>
      </c>
      <c r="L984" s="15" t="s">
        <v>2195</v>
      </c>
      <c r="M984" s="15" t="s">
        <v>480</v>
      </c>
      <c r="N984" s="15" t="s">
        <v>23</v>
      </c>
      <c r="O984" s="31">
        <v>2</v>
      </c>
      <c r="P984" s="15">
        <v>37.130000000000003</v>
      </c>
      <c r="Q984" s="15">
        <v>112.97</v>
      </c>
      <c r="S984" s="15">
        <v>950</v>
      </c>
      <c r="T984" s="15">
        <v>17</v>
      </c>
      <c r="U984" s="15" t="s">
        <v>549</v>
      </c>
      <c r="V984" s="31">
        <v>1</v>
      </c>
      <c r="W984" s="16" t="s">
        <v>1164</v>
      </c>
      <c r="X984" s="15" t="s">
        <v>729</v>
      </c>
      <c r="Y984" s="61">
        <v>11</v>
      </c>
      <c r="Z984" s="15">
        <v>5.92</v>
      </c>
      <c r="AA984" s="15" t="s">
        <v>573</v>
      </c>
      <c r="AB984" s="15">
        <f t="shared" si="882"/>
        <v>5.92</v>
      </c>
      <c r="AC984" s="1">
        <v>4</v>
      </c>
      <c r="AD984" s="15">
        <f>13.24*1.75</f>
        <v>23.17</v>
      </c>
      <c r="AM984" s="1">
        <v>1</v>
      </c>
      <c r="AN984" s="15">
        <v>1.5</v>
      </c>
      <c r="AP984" s="15" t="s">
        <v>2196</v>
      </c>
      <c r="AQ984" s="1">
        <v>9</v>
      </c>
      <c r="AR984" s="1">
        <v>3</v>
      </c>
      <c r="BF984" s="15">
        <v>8.16</v>
      </c>
      <c r="BG984" s="15" t="s">
        <v>746</v>
      </c>
      <c r="BI984" s="15">
        <v>283</v>
      </c>
      <c r="BJ984" s="15">
        <v>12</v>
      </c>
      <c r="BK984" s="15">
        <v>19.05</v>
      </c>
      <c r="BL984" s="15">
        <v>17.829999999999998</v>
      </c>
      <c r="BP984" s="16"/>
      <c r="BQ984" s="16"/>
      <c r="BR984" s="16"/>
      <c r="BS984" s="15">
        <v>9000</v>
      </c>
      <c r="BT984" s="15">
        <v>9000</v>
      </c>
      <c r="BU984" s="16" t="s">
        <v>766</v>
      </c>
      <c r="BY984" s="15">
        <f t="shared" si="910"/>
        <v>9000</v>
      </c>
      <c r="BZ984" s="15">
        <f t="shared" si="911"/>
        <v>8.1818181818181817</v>
      </c>
      <c r="CA984" s="15">
        <f t="shared" si="912"/>
        <v>18000</v>
      </c>
      <c r="CC984" s="15" t="s">
        <v>2197</v>
      </c>
      <c r="CE984" s="15">
        <v>4500</v>
      </c>
      <c r="CF984" s="15">
        <v>4500</v>
      </c>
      <c r="CG984" s="15" t="s">
        <v>766</v>
      </c>
      <c r="CH984" s="15">
        <v>9.16</v>
      </c>
      <c r="CI984" s="15">
        <v>500</v>
      </c>
      <c r="CJ984" s="15">
        <v>148</v>
      </c>
      <c r="CK984" s="15">
        <v>647</v>
      </c>
      <c r="CL984" s="15">
        <v>15.22</v>
      </c>
      <c r="CW984" s="15">
        <v>2.41</v>
      </c>
      <c r="CY984" s="25">
        <f>CF984</f>
        <v>4500</v>
      </c>
      <c r="CZ984" s="25">
        <f>CY984/0.78/1000</f>
        <v>5.7692307692307683</v>
      </c>
      <c r="DA984" s="25">
        <f>CY984*3</f>
        <v>13500</v>
      </c>
      <c r="EW984" s="46">
        <f>AX984+BT984+CF984+DE984+DY984</f>
        <v>13500</v>
      </c>
      <c r="EX984" s="46">
        <f>BA984+BZ984+CZ984+DT984+ET984</f>
        <v>13.95104895104895</v>
      </c>
      <c r="EY984" s="46">
        <f>BB984+CA984+DA984+DU984+EU984</f>
        <v>31500</v>
      </c>
      <c r="EZ984" s="16"/>
      <c r="FA984" s="16"/>
      <c r="FB984" s="16"/>
      <c r="FC984" s="16"/>
      <c r="FD984" s="16"/>
      <c r="FE984" s="16"/>
      <c r="FF984" s="16"/>
      <c r="FG984" s="16"/>
      <c r="FH984" s="16"/>
      <c r="FI984" s="16"/>
      <c r="FJ984" s="16"/>
      <c r="FK984" s="16">
        <f>FM984</f>
        <v>5.6</v>
      </c>
      <c r="FL984" s="16">
        <f>FP984</f>
        <v>5.62</v>
      </c>
      <c r="FM984" s="15">
        <v>5.6</v>
      </c>
      <c r="FN984" s="15">
        <v>0.15</v>
      </c>
      <c r="FO984" s="15">
        <f>FN984*SQRT(AR984)</f>
        <v>0.25980762113533157</v>
      </c>
      <c r="FP984" s="15">
        <v>5.62</v>
      </c>
      <c r="FQ984" s="15">
        <v>0.19</v>
      </c>
      <c r="FR984" s="15">
        <f>FQ984*SQRT(AR984)</f>
        <v>0.32908965343808666</v>
      </c>
      <c r="FS984" s="15">
        <f t="shared" si="887"/>
        <v>1.0035714285714286</v>
      </c>
      <c r="FT984" s="15">
        <f t="shared" si="888"/>
        <v>2.0000000000000462E-2</v>
      </c>
      <c r="FU984" s="15">
        <f t="shared" si="889"/>
        <v>3.5650661644961446E-3</v>
      </c>
      <c r="FV984" s="15">
        <f>((FR984*FR984)/(AR984*FP984*FP984)+(FO984*FO984)/(AR984*FM984*FM984))</f>
        <v>1.8604438037610402E-3</v>
      </c>
      <c r="FX984" s="15">
        <f>12.59*1.74</f>
        <v>21.906600000000001</v>
      </c>
      <c r="FY984" s="15">
        <v>0.28999999999999998</v>
      </c>
      <c r="FZ984" s="15">
        <f>FY984*SQRT(AR984)</f>
        <v>0.50229473419497439</v>
      </c>
      <c r="GA984" s="15">
        <f>15.33*1.74</f>
        <v>26.674199999999999</v>
      </c>
      <c r="GB984" s="15">
        <v>0.28000000000000003</v>
      </c>
      <c r="GC984" s="15">
        <f>GB984*SQRT(AR984)</f>
        <v>0.48497422611928565</v>
      </c>
      <c r="GD984" s="15">
        <f>GA984/FX984</f>
        <v>1.2176330420969022</v>
      </c>
      <c r="GE984" s="15">
        <f>GA984-FX984</f>
        <v>4.7675999999999981</v>
      </c>
      <c r="GF984" s="15">
        <f>LN(GA984)-LN(FX984)</f>
        <v>0.19690884482746673</v>
      </c>
      <c r="GG984" s="15">
        <f>((GC984*GC984)/(AR984*GA984*GA984)+(FZ984*FZ984)/(AR984*FX984*FX984))</f>
        <v>2.8543289786127601E-4</v>
      </c>
      <c r="HE984" s="15">
        <v>7422.84</v>
      </c>
      <c r="HF984" s="15">
        <v>137</v>
      </c>
      <c r="HG984" s="15">
        <f>HF984*SQRT(AR984)</f>
        <v>237.29096063693618</v>
      </c>
      <c r="HH984" s="15">
        <v>8370</v>
      </c>
      <c r="HI984" s="15">
        <v>89</v>
      </c>
      <c r="HJ984" s="15">
        <f>HI984*SQRT(AR984)</f>
        <v>154.15252187363006</v>
      </c>
      <c r="HK984" s="15">
        <f t="shared" si="862"/>
        <v>1.1276007565837334</v>
      </c>
      <c r="HL984" s="15">
        <f t="shared" si="863"/>
        <v>947.15999999999985</v>
      </c>
      <c r="HM984" s="15">
        <f t="shared" si="864"/>
        <v>0.12009215122578709</v>
      </c>
      <c r="HN984" s="15">
        <f>((HJ984*HJ984)/(AR984*HH984*HH984)+(HG984*HG984)/(AR984*HE984*HE984))</f>
        <v>4.5370938734104157E-4</v>
      </c>
      <c r="HP984" s="15" t="s">
        <v>766</v>
      </c>
      <c r="HV984" s="15">
        <f t="shared" si="865"/>
        <v>2622.9857387412749</v>
      </c>
      <c r="HW984" s="15">
        <f t="shared" si="866"/>
        <v>0.12009215122578709</v>
      </c>
      <c r="HX984" s="15">
        <f>EY984</f>
        <v>31500</v>
      </c>
      <c r="HY984" s="15">
        <f>EW984</f>
        <v>13500</v>
      </c>
      <c r="HZ984" s="15">
        <f>EX984</f>
        <v>13.95104895104895</v>
      </c>
      <c r="IA984" s="15">
        <f>EY984</f>
        <v>31500</v>
      </c>
    </row>
    <row r="985" spans="1:235" s="15" customFormat="1" x14ac:dyDescent="0.25">
      <c r="A985" s="31">
        <v>983</v>
      </c>
      <c r="B985" s="1">
        <v>164</v>
      </c>
      <c r="C985" s="1">
        <v>188</v>
      </c>
      <c r="D985" s="15" t="s">
        <v>2198</v>
      </c>
      <c r="E985" s="1">
        <v>4</v>
      </c>
      <c r="F985" s="15" t="s">
        <v>879</v>
      </c>
      <c r="G985" s="15" t="s">
        <v>2451</v>
      </c>
      <c r="H985" s="15" t="s">
        <v>2452</v>
      </c>
      <c r="I985" s="1">
        <v>2020</v>
      </c>
      <c r="J985" s="15" t="s">
        <v>2453</v>
      </c>
      <c r="K985" s="1" t="s">
        <v>1315</v>
      </c>
      <c r="L985" s="15" t="s">
        <v>2454</v>
      </c>
      <c r="M985" s="15" t="s">
        <v>480</v>
      </c>
      <c r="N985" s="15" t="s">
        <v>23</v>
      </c>
      <c r="O985" s="31">
        <v>3</v>
      </c>
      <c r="P985" s="15">
        <v>34.299999999999997</v>
      </c>
      <c r="Q985" s="15">
        <v>108.01</v>
      </c>
      <c r="S985" s="15">
        <v>575</v>
      </c>
      <c r="T985" s="15">
        <v>12.9</v>
      </c>
      <c r="U985" s="15" t="s">
        <v>549</v>
      </c>
      <c r="V985" s="31">
        <v>1</v>
      </c>
      <c r="W985" s="16" t="s">
        <v>1179</v>
      </c>
      <c r="X985" s="15" t="s">
        <v>729</v>
      </c>
      <c r="Y985" s="61">
        <v>11</v>
      </c>
      <c r="Z985" s="15">
        <v>8.6</v>
      </c>
      <c r="AA985" s="15" t="s">
        <v>573</v>
      </c>
      <c r="AB985" s="15">
        <f t="shared" si="882"/>
        <v>8.6</v>
      </c>
      <c r="AC985" s="1">
        <v>6</v>
      </c>
      <c r="AD985" s="15">
        <v>15.1</v>
      </c>
      <c r="AJ985" s="15">
        <v>32</v>
      </c>
      <c r="AK985" s="15">
        <v>52</v>
      </c>
      <c r="AL985" s="15">
        <v>16</v>
      </c>
      <c r="AM985" s="1">
        <v>2</v>
      </c>
      <c r="AN985" s="15">
        <v>1.34</v>
      </c>
      <c r="AP985" s="15" t="s">
        <v>2455</v>
      </c>
      <c r="AQ985" s="1">
        <v>3</v>
      </c>
      <c r="AR985" s="1">
        <v>3</v>
      </c>
      <c r="BI985" s="15">
        <v>264</v>
      </c>
      <c r="BJ985" s="15">
        <v>29</v>
      </c>
      <c r="BK985" s="15">
        <v>13</v>
      </c>
      <c r="BL985" s="15">
        <v>7</v>
      </c>
      <c r="BP985" s="16"/>
      <c r="BQ985" s="16"/>
      <c r="BR985" s="16"/>
      <c r="BS985" s="15">
        <v>86.2</v>
      </c>
      <c r="BT985" s="15">
        <f t="shared" ref="BT985:BT992" si="913">BS985/0.03</f>
        <v>2873.3333333333335</v>
      </c>
      <c r="BU985" s="16" t="s">
        <v>766</v>
      </c>
      <c r="BY985" s="15">
        <f t="shared" si="910"/>
        <v>2873.3333333333335</v>
      </c>
      <c r="BZ985" s="15">
        <f t="shared" si="911"/>
        <v>2.6121212121212118</v>
      </c>
      <c r="CA985" s="15">
        <f t="shared" si="912"/>
        <v>5746.666666666667</v>
      </c>
      <c r="EZ985" s="16"/>
      <c r="FA985" s="16"/>
      <c r="FB985" s="16"/>
      <c r="FC985" s="16"/>
      <c r="FD985" s="16"/>
      <c r="FE985" s="16"/>
      <c r="FF985" s="16"/>
      <c r="FG985" s="16"/>
      <c r="FH985" s="16"/>
      <c r="FI985" s="16"/>
      <c r="FJ985" s="16"/>
      <c r="FK985" s="16"/>
      <c r="FL985" s="16"/>
      <c r="HE985" s="15">
        <v>6674</v>
      </c>
      <c r="HG985" s="15">
        <v>287</v>
      </c>
      <c r="HH985" s="15">
        <v>6963</v>
      </c>
      <c r="HJ985" s="15">
        <v>287</v>
      </c>
      <c r="HK985" s="15">
        <f t="shared" si="862"/>
        <v>1.0433023673958646</v>
      </c>
      <c r="HL985" s="15">
        <f t="shared" si="863"/>
        <v>289</v>
      </c>
      <c r="HM985" s="15">
        <f t="shared" si="864"/>
        <v>4.2391035631228036E-2</v>
      </c>
      <c r="HN985" s="15">
        <f>((HJ985*HJ985)/(AR985*HH985*HH985)+(HG985*HG985)/(AR985*HE985*HE985))</f>
        <v>1.1827148061289098E-3</v>
      </c>
      <c r="HP985" s="15" t="s">
        <v>766</v>
      </c>
      <c r="HV985" s="15">
        <f t="shared" si="865"/>
        <v>1355.6325249183799</v>
      </c>
      <c r="HW985" s="15">
        <f t="shared" si="866"/>
        <v>4.2391035631228036E-2</v>
      </c>
      <c r="HX985" s="15">
        <f>CA985</f>
        <v>5746.666666666667</v>
      </c>
      <c r="HY985" s="15">
        <f>BY985</f>
        <v>2873.3333333333335</v>
      </c>
      <c r="HZ985" s="15">
        <f>BZ985</f>
        <v>2.6121212121212118</v>
      </c>
      <c r="IA985" s="15">
        <f>CA985</f>
        <v>5746.666666666667</v>
      </c>
    </row>
    <row r="986" spans="1:235" s="15" customFormat="1" x14ac:dyDescent="0.25">
      <c r="A986" s="31">
        <v>984</v>
      </c>
      <c r="B986" s="1">
        <v>164</v>
      </c>
      <c r="C986" s="1">
        <v>188</v>
      </c>
      <c r="D986" s="15" t="s">
        <v>2199</v>
      </c>
      <c r="E986" s="1">
        <v>4</v>
      </c>
      <c r="F986" s="15" t="s">
        <v>879</v>
      </c>
      <c r="G986" s="15" t="s">
        <v>2451</v>
      </c>
      <c r="H986" s="15" t="s">
        <v>2452</v>
      </c>
      <c r="I986" s="1">
        <v>2020</v>
      </c>
      <c r="J986" s="15" t="s">
        <v>2453</v>
      </c>
      <c r="K986" s="1" t="s">
        <v>1315</v>
      </c>
      <c r="L986" s="15" t="s">
        <v>2454</v>
      </c>
      <c r="M986" s="15" t="s">
        <v>480</v>
      </c>
      <c r="N986" s="15" t="s">
        <v>23</v>
      </c>
      <c r="O986" s="31">
        <v>3</v>
      </c>
      <c r="P986" s="15">
        <v>34.299999999999997</v>
      </c>
      <c r="Q986" s="15">
        <v>108.01</v>
      </c>
      <c r="S986" s="15">
        <v>575</v>
      </c>
      <c r="T986" s="15">
        <v>12.9</v>
      </c>
      <c r="U986" s="15" t="s">
        <v>549</v>
      </c>
      <c r="V986" s="31">
        <v>1</v>
      </c>
      <c r="W986" s="16" t="s">
        <v>1179</v>
      </c>
      <c r="X986" s="15" t="s">
        <v>729</v>
      </c>
      <c r="Y986" s="61">
        <v>11</v>
      </c>
      <c r="Z986" s="15">
        <v>8.6</v>
      </c>
      <c r="AA986" s="15" t="s">
        <v>573</v>
      </c>
      <c r="AB986" s="15">
        <f t="shared" si="882"/>
        <v>8.6</v>
      </c>
      <c r="AC986" s="1">
        <v>6</v>
      </c>
      <c r="AD986" s="15">
        <v>15.1</v>
      </c>
      <c r="AJ986" s="15">
        <v>32</v>
      </c>
      <c r="AK986" s="15">
        <v>52</v>
      </c>
      <c r="AL986" s="15">
        <v>16</v>
      </c>
      <c r="AM986" s="1">
        <v>2</v>
      </c>
      <c r="AN986" s="15">
        <v>1.34</v>
      </c>
      <c r="AP986" s="15" t="s">
        <v>2455</v>
      </c>
      <c r="AQ986" s="1">
        <v>3</v>
      </c>
      <c r="AR986" s="1">
        <v>3</v>
      </c>
      <c r="BI986" s="15">
        <v>264</v>
      </c>
      <c r="BJ986" s="15">
        <v>29</v>
      </c>
      <c r="BK986" s="15">
        <v>13</v>
      </c>
      <c r="BL986" s="15">
        <v>7</v>
      </c>
      <c r="BP986" s="16"/>
      <c r="BQ986" s="16"/>
      <c r="BR986" s="16"/>
      <c r="BS986" s="15">
        <v>172.5</v>
      </c>
      <c r="BT986" s="15">
        <f t="shared" si="913"/>
        <v>5750</v>
      </c>
      <c r="BU986" s="16" t="s">
        <v>766</v>
      </c>
      <c r="BY986" s="15">
        <f t="shared" si="910"/>
        <v>5750</v>
      </c>
      <c r="BZ986" s="15">
        <f t="shared" si="911"/>
        <v>5.2272727272727266</v>
      </c>
      <c r="CA986" s="15">
        <f t="shared" si="912"/>
        <v>11500</v>
      </c>
      <c r="EZ986" s="16"/>
      <c r="FA986" s="16"/>
      <c r="FB986" s="16"/>
      <c r="FC986" s="16"/>
      <c r="FD986" s="16"/>
      <c r="FE986" s="16"/>
      <c r="FF986" s="16"/>
      <c r="FG986" s="16"/>
      <c r="FH986" s="16"/>
      <c r="FI986" s="16"/>
      <c r="FJ986" s="16"/>
      <c r="FK986" s="16"/>
      <c r="FL986" s="16"/>
      <c r="HE986" s="15">
        <v>6674</v>
      </c>
      <c r="HG986" s="15">
        <v>287</v>
      </c>
      <c r="HH986" s="15">
        <v>6971</v>
      </c>
      <c r="HJ986" s="15">
        <v>471</v>
      </c>
      <c r="HK986" s="15">
        <f t="shared" si="862"/>
        <v>1.0445010488462692</v>
      </c>
      <c r="HL986" s="15">
        <f t="shared" si="863"/>
        <v>297</v>
      </c>
      <c r="HM986" s="15">
        <f t="shared" si="864"/>
        <v>4.3539306175079062E-2</v>
      </c>
      <c r="HN986" s="15">
        <f>((HJ986*HJ986)/(AR986*HH986*HH986)+(HG986*HG986)/(AR986*HE986*HE986))</f>
        <v>2.1381153929906711E-3</v>
      </c>
      <c r="HP986" s="15" t="s">
        <v>766</v>
      </c>
      <c r="HV986" s="15">
        <f t="shared" si="865"/>
        <v>2641.2915157068683</v>
      </c>
      <c r="HW986" s="15">
        <f t="shared" si="866"/>
        <v>4.3539306175079062E-2</v>
      </c>
      <c r="HX986" s="15">
        <f>CA986</f>
        <v>11500</v>
      </c>
      <c r="HY986" s="15">
        <f>BY986</f>
        <v>5750</v>
      </c>
      <c r="HZ986" s="15">
        <f>BZ986</f>
        <v>5.2272727272727266</v>
      </c>
      <c r="IA986" s="15">
        <f>CA986</f>
        <v>11500</v>
      </c>
    </row>
    <row r="987" spans="1:235" s="15" customFormat="1" x14ac:dyDescent="0.25">
      <c r="A987" s="31">
        <v>985</v>
      </c>
      <c r="B987" s="1">
        <v>164</v>
      </c>
      <c r="C987" s="1">
        <v>188</v>
      </c>
      <c r="D987" s="15" t="s">
        <v>2200</v>
      </c>
      <c r="E987" s="1">
        <v>4</v>
      </c>
      <c r="F987" s="15" t="s">
        <v>879</v>
      </c>
      <c r="G987" s="15" t="s">
        <v>2451</v>
      </c>
      <c r="H987" s="15" t="s">
        <v>2452</v>
      </c>
      <c r="I987" s="1">
        <v>2020</v>
      </c>
      <c r="J987" s="15" t="s">
        <v>2453</v>
      </c>
      <c r="K987" s="1" t="s">
        <v>1315</v>
      </c>
      <c r="L987" s="15" t="s">
        <v>2454</v>
      </c>
      <c r="M987" s="15" t="s">
        <v>480</v>
      </c>
      <c r="N987" s="15" t="s">
        <v>23</v>
      </c>
      <c r="O987" s="31">
        <v>3</v>
      </c>
      <c r="P987" s="15">
        <v>34.299999999999997</v>
      </c>
      <c r="Q987" s="15">
        <v>108.01</v>
      </c>
      <c r="S987" s="15">
        <v>575</v>
      </c>
      <c r="T987" s="15">
        <v>12.9</v>
      </c>
      <c r="U987" s="15" t="s">
        <v>549</v>
      </c>
      <c r="V987" s="31">
        <v>1</v>
      </c>
      <c r="W987" s="16" t="s">
        <v>1179</v>
      </c>
      <c r="X987" s="15" t="s">
        <v>729</v>
      </c>
      <c r="Y987" s="61">
        <v>11</v>
      </c>
      <c r="Z987" s="15">
        <v>8.6</v>
      </c>
      <c r="AA987" s="15" t="s">
        <v>573</v>
      </c>
      <c r="AB987" s="15">
        <f t="shared" si="882"/>
        <v>8.6</v>
      </c>
      <c r="AC987" s="1">
        <v>6</v>
      </c>
      <c r="AD987" s="15">
        <v>15.1</v>
      </c>
      <c r="AJ987" s="15">
        <v>32</v>
      </c>
      <c r="AK987" s="15">
        <v>52</v>
      </c>
      <c r="AL987" s="15">
        <v>16</v>
      </c>
      <c r="AM987" s="1">
        <v>2</v>
      </c>
      <c r="AN987" s="15">
        <v>1.34</v>
      </c>
      <c r="AP987" s="15" t="s">
        <v>2455</v>
      </c>
      <c r="AQ987" s="1">
        <v>3</v>
      </c>
      <c r="AR987" s="1">
        <v>3</v>
      </c>
      <c r="BI987" s="15">
        <v>264</v>
      </c>
      <c r="BJ987" s="15">
        <v>29</v>
      </c>
      <c r="BK987" s="15">
        <v>13</v>
      </c>
      <c r="BL987" s="15">
        <v>7</v>
      </c>
      <c r="BP987" s="16"/>
      <c r="BQ987" s="16"/>
      <c r="BR987" s="16"/>
      <c r="BS987" s="15">
        <v>258.7</v>
      </c>
      <c r="BT987" s="15">
        <f t="shared" si="913"/>
        <v>8623.3333333333339</v>
      </c>
      <c r="BU987" s="16" t="s">
        <v>766</v>
      </c>
      <c r="BY987" s="15">
        <f t="shared" si="910"/>
        <v>8623.3333333333339</v>
      </c>
      <c r="BZ987" s="15">
        <f t="shared" si="911"/>
        <v>7.8393939393939389</v>
      </c>
      <c r="CA987" s="15">
        <f t="shared" si="912"/>
        <v>17246.666666666668</v>
      </c>
      <c r="EZ987" s="16"/>
      <c r="FA987" s="16"/>
      <c r="FB987" s="16"/>
      <c r="FC987" s="16"/>
      <c r="FD987" s="16"/>
      <c r="FE987" s="16"/>
      <c r="FF987" s="16"/>
      <c r="FG987" s="16"/>
      <c r="FH987" s="16"/>
      <c r="FI987" s="16"/>
      <c r="FJ987" s="16"/>
      <c r="FK987" s="16"/>
      <c r="FL987" s="16"/>
      <c r="HE987" s="15">
        <v>6674</v>
      </c>
      <c r="HG987" s="15">
        <v>287</v>
      </c>
      <c r="HH987" s="15">
        <v>7225</v>
      </c>
      <c r="HJ987" s="15">
        <v>212</v>
      </c>
      <c r="HK987" s="15">
        <f t="shared" si="862"/>
        <v>1.0825591848966136</v>
      </c>
      <c r="HL987" s="15">
        <f t="shared" si="863"/>
        <v>551</v>
      </c>
      <c r="HM987" s="15">
        <f t="shared" si="864"/>
        <v>7.9327853669314052E-2</v>
      </c>
      <c r="HN987" s="15">
        <f>((HJ987*HJ987)/(AR987*HH987*HH987)+(HG987*HG987)/(AR987*HE987*HE987))</f>
        <v>9.0340593732609123E-4</v>
      </c>
      <c r="HP987" s="15" t="s">
        <v>766</v>
      </c>
      <c r="HV987" s="15">
        <f t="shared" si="865"/>
        <v>2174.0997479348289</v>
      </c>
      <c r="HW987" s="15">
        <f t="shared" ref="HW987:HW1018" si="914">HM987</f>
        <v>7.9327853669314052E-2</v>
      </c>
      <c r="HX987" s="15">
        <f>CA987</f>
        <v>17246.666666666668</v>
      </c>
      <c r="HY987" s="15">
        <f>BY987</f>
        <v>8623.3333333333339</v>
      </c>
      <c r="HZ987" s="15">
        <f>BZ987</f>
        <v>7.8393939393939389</v>
      </c>
      <c r="IA987" s="15">
        <f>CA987</f>
        <v>17246.666666666668</v>
      </c>
    </row>
    <row r="988" spans="1:235" s="15" customFormat="1" x14ac:dyDescent="0.25">
      <c r="A988" s="31">
        <v>986</v>
      </c>
      <c r="B988" s="1">
        <v>164</v>
      </c>
      <c r="C988" s="1">
        <v>188</v>
      </c>
      <c r="D988" s="15" t="s">
        <v>2201</v>
      </c>
      <c r="E988" s="1">
        <v>4</v>
      </c>
      <c r="F988" s="15" t="s">
        <v>879</v>
      </c>
      <c r="G988" s="15" t="s">
        <v>2451</v>
      </c>
      <c r="H988" s="15" t="s">
        <v>2452</v>
      </c>
      <c r="I988" s="1">
        <v>2020</v>
      </c>
      <c r="J988" s="15" t="s">
        <v>2453</v>
      </c>
      <c r="K988" s="1" t="s">
        <v>1315</v>
      </c>
      <c r="L988" s="15" t="s">
        <v>2454</v>
      </c>
      <c r="M988" s="15" t="s">
        <v>480</v>
      </c>
      <c r="N988" s="15" t="s">
        <v>23</v>
      </c>
      <c r="O988" s="31">
        <v>3</v>
      </c>
      <c r="P988" s="15">
        <v>34.299999999999997</v>
      </c>
      <c r="Q988" s="15">
        <v>108.01</v>
      </c>
      <c r="S988" s="15">
        <v>575</v>
      </c>
      <c r="T988" s="15">
        <v>12.9</v>
      </c>
      <c r="U988" s="15" t="s">
        <v>549</v>
      </c>
      <c r="V988" s="31">
        <v>1</v>
      </c>
      <c r="W988" s="16" t="s">
        <v>1179</v>
      </c>
      <c r="X988" s="15" t="s">
        <v>729</v>
      </c>
      <c r="Y988" s="61">
        <v>11</v>
      </c>
      <c r="Z988" s="15">
        <v>8.6</v>
      </c>
      <c r="AA988" s="15" t="s">
        <v>573</v>
      </c>
      <c r="AB988" s="15">
        <f t="shared" si="882"/>
        <v>8.6</v>
      </c>
      <c r="AC988" s="1">
        <v>6</v>
      </c>
      <c r="AD988" s="15">
        <v>15.1</v>
      </c>
      <c r="AJ988" s="15">
        <v>32</v>
      </c>
      <c r="AK988" s="15">
        <v>52</v>
      </c>
      <c r="AL988" s="15">
        <v>16</v>
      </c>
      <c r="AM988" s="1">
        <v>2</v>
      </c>
      <c r="AN988" s="15">
        <v>1.34</v>
      </c>
      <c r="AP988" s="15" t="s">
        <v>2455</v>
      </c>
      <c r="AQ988" s="1">
        <v>3</v>
      </c>
      <c r="AR988" s="1">
        <v>3</v>
      </c>
      <c r="BI988" s="15">
        <v>264</v>
      </c>
      <c r="BJ988" s="15">
        <v>29</v>
      </c>
      <c r="BK988" s="15">
        <v>13</v>
      </c>
      <c r="BL988" s="15">
        <v>7</v>
      </c>
      <c r="BP988" s="16"/>
      <c r="BQ988" s="16"/>
      <c r="BR988" s="16"/>
      <c r="BS988" s="15">
        <v>345</v>
      </c>
      <c r="BT988" s="15">
        <f t="shared" si="913"/>
        <v>11500</v>
      </c>
      <c r="BU988" s="16" t="s">
        <v>766</v>
      </c>
      <c r="BY988" s="15">
        <f t="shared" si="910"/>
        <v>11500</v>
      </c>
      <c r="BZ988" s="15">
        <f t="shared" si="911"/>
        <v>10.454545454545453</v>
      </c>
      <c r="CA988" s="15">
        <f t="shared" si="912"/>
        <v>23000</v>
      </c>
      <c r="EZ988" s="16"/>
      <c r="FA988" s="16"/>
      <c r="FB988" s="16"/>
      <c r="FC988" s="16"/>
      <c r="FD988" s="16"/>
      <c r="FE988" s="16"/>
      <c r="FF988" s="16"/>
      <c r="FG988" s="16"/>
      <c r="FH988" s="16"/>
      <c r="FI988" s="16"/>
      <c r="FJ988" s="16"/>
      <c r="FK988" s="16"/>
      <c r="FL988" s="16"/>
      <c r="HE988" s="15">
        <v>6674</v>
      </c>
      <c r="HG988" s="15">
        <v>287</v>
      </c>
      <c r="HH988" s="15">
        <v>6858</v>
      </c>
      <c r="HJ988" s="15">
        <v>429</v>
      </c>
      <c r="HK988" s="15">
        <f t="shared" si="862"/>
        <v>1.0275696733593047</v>
      </c>
      <c r="HL988" s="15">
        <f t="shared" si="863"/>
        <v>184</v>
      </c>
      <c r="HM988" s="15">
        <f t="shared" si="864"/>
        <v>2.7196473711546432E-2</v>
      </c>
      <c r="HN988" s="15">
        <f>((HJ988*HJ988)/(AR988*HH988*HH988)+(HG988*HG988)/(AR988*HE988*HE988))</f>
        <v>1.9207733417414561E-3</v>
      </c>
      <c r="HP988" s="15" t="s">
        <v>766</v>
      </c>
      <c r="HV988" s="15">
        <f t="shared" si="865"/>
        <v>8456.9787406796077</v>
      </c>
      <c r="HW988" s="15">
        <f t="shared" si="914"/>
        <v>2.7196473711546432E-2</v>
      </c>
      <c r="HX988" s="15">
        <f>CA988</f>
        <v>23000</v>
      </c>
      <c r="HY988" s="15">
        <f>BY988</f>
        <v>11500</v>
      </c>
      <c r="HZ988" s="15">
        <f>BZ988</f>
        <v>10.454545454545453</v>
      </c>
      <c r="IA988" s="15">
        <f>CA988</f>
        <v>23000</v>
      </c>
    </row>
    <row r="989" spans="1:235" s="15" customFormat="1" x14ac:dyDescent="0.25">
      <c r="A989" s="31">
        <v>987</v>
      </c>
      <c r="B989" s="1">
        <v>164</v>
      </c>
      <c r="C989" s="1">
        <v>188</v>
      </c>
      <c r="D989" s="15" t="s">
        <v>2202</v>
      </c>
      <c r="E989" s="1">
        <v>4</v>
      </c>
      <c r="F989" s="15" t="s">
        <v>879</v>
      </c>
      <c r="G989" s="15" t="s">
        <v>2451</v>
      </c>
      <c r="H989" s="15" t="s">
        <v>2452</v>
      </c>
      <c r="I989" s="1">
        <v>2020</v>
      </c>
      <c r="J989" s="15" t="s">
        <v>2453</v>
      </c>
      <c r="K989" s="1" t="s">
        <v>1315</v>
      </c>
      <c r="L989" s="15" t="s">
        <v>2454</v>
      </c>
      <c r="M989" s="15" t="s">
        <v>480</v>
      </c>
      <c r="N989" s="15" t="s">
        <v>23</v>
      </c>
      <c r="O989" s="31">
        <v>3</v>
      </c>
      <c r="P989" s="15">
        <v>34.299999999999997</v>
      </c>
      <c r="Q989" s="15">
        <v>108.01</v>
      </c>
      <c r="S989" s="15">
        <v>575</v>
      </c>
      <c r="T989" s="15">
        <v>12.9</v>
      </c>
      <c r="U989" s="15" t="s">
        <v>549</v>
      </c>
      <c r="V989" s="31">
        <v>1</v>
      </c>
      <c r="W989" s="16" t="s">
        <v>1179</v>
      </c>
      <c r="X989" s="15" t="s">
        <v>731</v>
      </c>
      <c r="Y989" s="1">
        <v>12</v>
      </c>
      <c r="Z989" s="15">
        <v>8.6</v>
      </c>
      <c r="AA989" s="15" t="s">
        <v>573</v>
      </c>
      <c r="AB989" s="15">
        <f t="shared" si="882"/>
        <v>8.6</v>
      </c>
      <c r="AC989" s="1">
        <v>6</v>
      </c>
      <c r="AD989" s="15">
        <v>15.1</v>
      </c>
      <c r="AJ989" s="15">
        <v>32</v>
      </c>
      <c r="AK989" s="15">
        <v>52</v>
      </c>
      <c r="AL989" s="15">
        <v>16</v>
      </c>
      <c r="AM989" s="1">
        <v>2</v>
      </c>
      <c r="AN989" s="15">
        <v>1.34</v>
      </c>
      <c r="AP989" s="15" t="s">
        <v>2455</v>
      </c>
      <c r="AQ989" s="1">
        <v>3</v>
      </c>
      <c r="AR989" s="1">
        <v>3</v>
      </c>
      <c r="BI989" s="15">
        <v>264</v>
      </c>
      <c r="BJ989" s="15">
        <v>29</v>
      </c>
      <c r="BK989" s="15">
        <v>13</v>
      </c>
      <c r="BL989" s="15">
        <v>7</v>
      </c>
      <c r="BP989" s="16"/>
      <c r="BQ989" s="16"/>
      <c r="BR989" s="16"/>
      <c r="BS989" s="15">
        <v>86.2</v>
      </c>
      <c r="BT989" s="15">
        <f t="shared" si="913"/>
        <v>2873.3333333333335</v>
      </c>
      <c r="BU989" s="16" t="s">
        <v>766</v>
      </c>
      <c r="BY989" s="15">
        <f t="shared" si="910"/>
        <v>2873.3333333333335</v>
      </c>
      <c r="BZ989" s="15">
        <f t="shared" si="911"/>
        <v>2.6121212121212118</v>
      </c>
      <c r="CA989" s="15">
        <f t="shared" si="912"/>
        <v>5746.666666666667</v>
      </c>
      <c r="EZ989" s="16"/>
      <c r="FA989" s="16"/>
      <c r="FB989" s="16"/>
      <c r="FC989" s="16"/>
      <c r="FD989" s="16"/>
      <c r="FE989" s="16"/>
      <c r="FF989" s="16"/>
      <c r="FG989" s="16"/>
      <c r="FH989" s="16"/>
      <c r="FI989" s="16"/>
      <c r="FJ989" s="16"/>
      <c r="FK989" s="16"/>
      <c r="FL989" s="16"/>
      <c r="HE989" s="15">
        <v>8313</v>
      </c>
      <c r="HG989" s="15">
        <v>1384</v>
      </c>
      <c r="HH989" s="15">
        <v>8012</v>
      </c>
      <c r="HJ989" s="15">
        <v>723</v>
      </c>
      <c r="HK989" s="15">
        <f t="shared" si="862"/>
        <v>0.96379165162997715</v>
      </c>
      <c r="HL989" s="15">
        <f t="shared" si="863"/>
        <v>-301</v>
      </c>
      <c r="HM989" s="15">
        <f t="shared" si="864"/>
        <v>-3.6880136745379488E-2</v>
      </c>
      <c r="HN989" s="15">
        <f>((HJ989*HJ989)/(AR989*HH989*HH989)+(HG989*HG989)/(AR989*HE989*HE989))</f>
        <v>1.1953618767674352E-2</v>
      </c>
      <c r="HP989" s="15" t="s">
        <v>766</v>
      </c>
      <c r="HV989" s="15">
        <f t="shared" si="865"/>
        <v>-1558.201019248291</v>
      </c>
      <c r="HW989" s="15">
        <f t="shared" si="914"/>
        <v>-3.6880136745379488E-2</v>
      </c>
      <c r="HX989" s="15">
        <f>CA989</f>
        <v>5746.666666666667</v>
      </c>
      <c r="HY989" s="15">
        <f>BY989</f>
        <v>2873.3333333333335</v>
      </c>
      <c r="HZ989" s="15">
        <f>BZ989</f>
        <v>2.6121212121212118</v>
      </c>
      <c r="IA989" s="15">
        <f>CA989</f>
        <v>5746.666666666667</v>
      </c>
    </row>
    <row r="990" spans="1:235" s="15" customFormat="1" x14ac:dyDescent="0.25">
      <c r="A990" s="31">
        <v>988</v>
      </c>
      <c r="B990" s="1">
        <v>164</v>
      </c>
      <c r="C990" s="1">
        <v>188</v>
      </c>
      <c r="D990" s="15" t="s">
        <v>2203</v>
      </c>
      <c r="E990" s="1">
        <v>4</v>
      </c>
      <c r="F990" s="15" t="s">
        <v>879</v>
      </c>
      <c r="G990" s="15" t="s">
        <v>2451</v>
      </c>
      <c r="H990" s="15" t="s">
        <v>2452</v>
      </c>
      <c r="I990" s="1">
        <v>2020</v>
      </c>
      <c r="J990" s="15" t="s">
        <v>2453</v>
      </c>
      <c r="K990" s="1" t="s">
        <v>1315</v>
      </c>
      <c r="L990" s="15" t="s">
        <v>2454</v>
      </c>
      <c r="M990" s="15" t="s">
        <v>480</v>
      </c>
      <c r="N990" s="15" t="s">
        <v>23</v>
      </c>
      <c r="O990" s="31">
        <v>3</v>
      </c>
      <c r="P990" s="15">
        <v>34.299999999999997</v>
      </c>
      <c r="Q990" s="15">
        <v>108.01</v>
      </c>
      <c r="S990" s="15">
        <v>575</v>
      </c>
      <c r="T990" s="15">
        <v>12.9</v>
      </c>
      <c r="U990" s="15" t="s">
        <v>549</v>
      </c>
      <c r="V990" s="31">
        <v>1</v>
      </c>
      <c r="W990" s="16" t="s">
        <v>1179</v>
      </c>
      <c r="X990" s="15" t="s">
        <v>731</v>
      </c>
      <c r="Y990" s="1">
        <v>12</v>
      </c>
      <c r="Z990" s="15">
        <v>8.6</v>
      </c>
      <c r="AA990" s="15" t="s">
        <v>573</v>
      </c>
      <c r="AB990" s="15">
        <f t="shared" si="882"/>
        <v>8.6</v>
      </c>
      <c r="AC990" s="1">
        <v>6</v>
      </c>
      <c r="AD990" s="15">
        <v>15.1</v>
      </c>
      <c r="AJ990" s="15">
        <v>32</v>
      </c>
      <c r="AK990" s="15">
        <v>52</v>
      </c>
      <c r="AL990" s="15">
        <v>16</v>
      </c>
      <c r="AM990" s="1">
        <v>2</v>
      </c>
      <c r="AN990" s="15">
        <v>1.34</v>
      </c>
      <c r="AP990" s="15" t="s">
        <v>2455</v>
      </c>
      <c r="AQ990" s="1">
        <v>3</v>
      </c>
      <c r="AR990" s="1">
        <v>3</v>
      </c>
      <c r="BI990" s="15">
        <v>264</v>
      </c>
      <c r="BJ990" s="15">
        <v>29</v>
      </c>
      <c r="BK990" s="15">
        <v>13</v>
      </c>
      <c r="BL990" s="15">
        <v>7</v>
      </c>
      <c r="BP990" s="16"/>
      <c r="BQ990" s="16"/>
      <c r="BR990" s="16"/>
      <c r="BS990" s="15">
        <v>172.5</v>
      </c>
      <c r="BT990" s="15">
        <f t="shared" si="913"/>
        <v>5750</v>
      </c>
      <c r="BU990" s="16" t="s">
        <v>766</v>
      </c>
      <c r="BY990" s="15">
        <f t="shared" si="910"/>
        <v>5750</v>
      </c>
      <c r="BZ990" s="15">
        <f t="shared" si="911"/>
        <v>5.2272727272727266</v>
      </c>
      <c r="CA990" s="15">
        <f t="shared" si="912"/>
        <v>11500</v>
      </c>
      <c r="EZ990" s="16"/>
      <c r="FA990" s="16"/>
      <c r="FB990" s="16"/>
      <c r="FC990" s="16"/>
      <c r="FD990" s="16"/>
      <c r="FE990" s="16"/>
      <c r="FF990" s="16"/>
      <c r="FG990" s="16"/>
      <c r="FH990" s="16"/>
      <c r="FI990" s="16"/>
      <c r="FJ990" s="16"/>
      <c r="FK990" s="16"/>
      <c r="FL990" s="16"/>
      <c r="HE990" s="15">
        <v>8313</v>
      </c>
      <c r="HG990" s="15">
        <v>1384</v>
      </c>
      <c r="HH990" s="15">
        <v>8058</v>
      </c>
      <c r="HJ990" s="15">
        <v>1050</v>
      </c>
      <c r="HK990" s="15">
        <f t="shared" si="862"/>
        <v>0.96932515337423308</v>
      </c>
      <c r="HL990" s="15">
        <f t="shared" si="863"/>
        <v>-255</v>
      </c>
      <c r="HM990" s="15">
        <f t="shared" si="864"/>
        <v>-3.1155167779795434E-2</v>
      </c>
      <c r="HN990" s="15">
        <f>((HJ990*HJ990)/(AR990*HH990*HH990)+(HG990*HG990)/(AR990*HE990*HE990))</f>
        <v>1.4899043770985488E-2</v>
      </c>
      <c r="HP990" s="15" t="s">
        <v>766</v>
      </c>
      <c r="HV990" s="15">
        <f t="shared" si="865"/>
        <v>-3691.2014344721042</v>
      </c>
      <c r="HW990" s="15">
        <f t="shared" si="914"/>
        <v>-3.1155167779795434E-2</v>
      </c>
      <c r="HX990" s="15">
        <f>CA990</f>
        <v>11500</v>
      </c>
      <c r="HY990" s="15">
        <f>BY990</f>
        <v>5750</v>
      </c>
      <c r="HZ990" s="15">
        <f>BZ990</f>
        <v>5.2272727272727266</v>
      </c>
      <c r="IA990" s="15">
        <f>CA990</f>
        <v>11500</v>
      </c>
    </row>
    <row r="991" spans="1:235" s="15" customFormat="1" x14ac:dyDescent="0.25">
      <c r="A991" s="31">
        <v>989</v>
      </c>
      <c r="B991" s="1">
        <v>164</v>
      </c>
      <c r="C991" s="1">
        <v>188</v>
      </c>
      <c r="D991" s="15" t="s">
        <v>2204</v>
      </c>
      <c r="E991" s="1">
        <v>4</v>
      </c>
      <c r="F991" s="15" t="s">
        <v>879</v>
      </c>
      <c r="G991" s="15" t="s">
        <v>2451</v>
      </c>
      <c r="H991" s="15" t="s">
        <v>2452</v>
      </c>
      <c r="I991" s="1">
        <v>2020</v>
      </c>
      <c r="J991" s="15" t="s">
        <v>2453</v>
      </c>
      <c r="K991" s="1" t="s">
        <v>1315</v>
      </c>
      <c r="L991" s="15" t="s">
        <v>2454</v>
      </c>
      <c r="M991" s="15" t="s">
        <v>480</v>
      </c>
      <c r="N991" s="15" t="s">
        <v>23</v>
      </c>
      <c r="O991" s="31">
        <v>3</v>
      </c>
      <c r="P991" s="15">
        <v>34.299999999999997</v>
      </c>
      <c r="Q991" s="15">
        <v>108.01</v>
      </c>
      <c r="S991" s="15">
        <v>575</v>
      </c>
      <c r="T991" s="15">
        <v>12.9</v>
      </c>
      <c r="U991" s="15" t="s">
        <v>549</v>
      </c>
      <c r="V991" s="31">
        <v>1</v>
      </c>
      <c r="W991" s="16" t="s">
        <v>1179</v>
      </c>
      <c r="X991" s="15" t="s">
        <v>731</v>
      </c>
      <c r="Y991" s="1">
        <v>12</v>
      </c>
      <c r="Z991" s="15">
        <v>8.6</v>
      </c>
      <c r="AA991" s="15" t="s">
        <v>573</v>
      </c>
      <c r="AB991" s="15">
        <f t="shared" si="882"/>
        <v>8.6</v>
      </c>
      <c r="AC991" s="1">
        <v>6</v>
      </c>
      <c r="AD991" s="15">
        <v>15.1</v>
      </c>
      <c r="AJ991" s="15">
        <v>32</v>
      </c>
      <c r="AK991" s="15">
        <v>52</v>
      </c>
      <c r="AL991" s="15">
        <v>16</v>
      </c>
      <c r="AM991" s="1">
        <v>2</v>
      </c>
      <c r="AN991" s="15">
        <v>1.34</v>
      </c>
      <c r="AP991" s="15" t="s">
        <v>2455</v>
      </c>
      <c r="AQ991" s="1">
        <v>3</v>
      </c>
      <c r="AR991" s="1">
        <v>3</v>
      </c>
      <c r="BI991" s="15">
        <v>264</v>
      </c>
      <c r="BJ991" s="15">
        <v>29</v>
      </c>
      <c r="BK991" s="15">
        <v>13</v>
      </c>
      <c r="BL991" s="15">
        <v>7</v>
      </c>
      <c r="BP991" s="16"/>
      <c r="BQ991" s="16"/>
      <c r="BR991" s="16"/>
      <c r="BS991" s="15">
        <v>258.7</v>
      </c>
      <c r="BT991" s="15">
        <f t="shared" si="913"/>
        <v>8623.3333333333339</v>
      </c>
      <c r="BU991" s="16" t="s">
        <v>766</v>
      </c>
      <c r="BY991" s="15">
        <f t="shared" si="910"/>
        <v>8623.3333333333339</v>
      </c>
      <c r="BZ991" s="15">
        <f t="shared" si="911"/>
        <v>7.8393939393939389</v>
      </c>
      <c r="CA991" s="15">
        <f t="shared" si="912"/>
        <v>17246.666666666668</v>
      </c>
      <c r="EZ991" s="16"/>
      <c r="FA991" s="16"/>
      <c r="FB991" s="16"/>
      <c r="FC991" s="16"/>
      <c r="FD991" s="16"/>
      <c r="FE991" s="16"/>
      <c r="FF991" s="16"/>
      <c r="FG991" s="16"/>
      <c r="FH991" s="16"/>
      <c r="FI991" s="16"/>
      <c r="FJ991" s="16"/>
      <c r="FK991" s="16"/>
      <c r="FL991" s="16"/>
      <c r="HE991" s="15">
        <v>8313</v>
      </c>
      <c r="HG991" s="15">
        <v>1384</v>
      </c>
      <c r="HH991" s="15">
        <v>8358</v>
      </c>
      <c r="HJ991" s="15">
        <v>966</v>
      </c>
      <c r="HK991" s="15">
        <f t="shared" si="862"/>
        <v>1.0054132082280764</v>
      </c>
      <c r="HL991" s="15">
        <f t="shared" si="863"/>
        <v>45</v>
      </c>
      <c r="HM991" s="15">
        <f t="shared" si="864"/>
        <v>5.39860947677262E-3</v>
      </c>
      <c r="HN991" s="15">
        <f>((HJ991*HJ991)/(AR991*HH991*HH991)+(HG991*HG991)/(AR991*HE991*HE991))</f>
        <v>1.3691970702486055E-2</v>
      </c>
      <c r="HP991" s="15" t="s">
        <v>766</v>
      </c>
      <c r="HV991" s="15">
        <f t="shared" si="865"/>
        <v>31946.497965578012</v>
      </c>
      <c r="HW991" s="15">
        <f t="shared" si="914"/>
        <v>5.39860947677262E-3</v>
      </c>
      <c r="HX991" s="15">
        <f>CA991</f>
        <v>17246.666666666668</v>
      </c>
      <c r="HY991" s="15">
        <f>BY991</f>
        <v>8623.3333333333339</v>
      </c>
      <c r="HZ991" s="15">
        <f>BZ991</f>
        <v>7.8393939393939389</v>
      </c>
      <c r="IA991" s="15">
        <f>CA991</f>
        <v>17246.666666666668</v>
      </c>
    </row>
    <row r="992" spans="1:235" s="15" customFormat="1" x14ac:dyDescent="0.25">
      <c r="A992" s="31">
        <v>990</v>
      </c>
      <c r="B992" s="1">
        <v>164</v>
      </c>
      <c r="C992" s="1">
        <v>188</v>
      </c>
      <c r="D992" s="15" t="s">
        <v>2205</v>
      </c>
      <c r="E992" s="1">
        <v>4</v>
      </c>
      <c r="F992" s="15" t="s">
        <v>879</v>
      </c>
      <c r="G992" s="15" t="s">
        <v>2451</v>
      </c>
      <c r="H992" s="15" t="s">
        <v>2452</v>
      </c>
      <c r="I992" s="1">
        <v>2020</v>
      </c>
      <c r="J992" s="15" t="s">
        <v>2453</v>
      </c>
      <c r="K992" s="1" t="s">
        <v>1315</v>
      </c>
      <c r="L992" s="15" t="s">
        <v>2454</v>
      </c>
      <c r="M992" s="15" t="s">
        <v>480</v>
      </c>
      <c r="N992" s="15" t="s">
        <v>23</v>
      </c>
      <c r="O992" s="31">
        <v>3</v>
      </c>
      <c r="P992" s="15">
        <v>34.299999999999997</v>
      </c>
      <c r="Q992" s="15">
        <v>108.01</v>
      </c>
      <c r="S992" s="15">
        <v>575</v>
      </c>
      <c r="T992" s="15">
        <v>12.9</v>
      </c>
      <c r="U992" s="15" t="s">
        <v>549</v>
      </c>
      <c r="V992" s="31">
        <v>1</v>
      </c>
      <c r="W992" s="16" t="s">
        <v>1179</v>
      </c>
      <c r="X992" s="15" t="s">
        <v>731</v>
      </c>
      <c r="Y992" s="1">
        <v>12</v>
      </c>
      <c r="Z992" s="15">
        <v>8.6</v>
      </c>
      <c r="AA992" s="15" t="s">
        <v>573</v>
      </c>
      <c r="AB992" s="15">
        <f t="shared" si="882"/>
        <v>8.6</v>
      </c>
      <c r="AC992" s="1">
        <v>6</v>
      </c>
      <c r="AD992" s="15">
        <v>15.1</v>
      </c>
      <c r="AJ992" s="15">
        <v>32</v>
      </c>
      <c r="AK992" s="15">
        <v>52</v>
      </c>
      <c r="AL992" s="15">
        <v>16</v>
      </c>
      <c r="AM992" s="1">
        <v>2</v>
      </c>
      <c r="AN992" s="15">
        <v>1.34</v>
      </c>
      <c r="AP992" s="15" t="s">
        <v>2455</v>
      </c>
      <c r="AQ992" s="1">
        <v>3</v>
      </c>
      <c r="AR992" s="1">
        <v>3</v>
      </c>
      <c r="BI992" s="15">
        <v>264</v>
      </c>
      <c r="BJ992" s="15">
        <v>29</v>
      </c>
      <c r="BK992" s="15">
        <v>13</v>
      </c>
      <c r="BL992" s="15">
        <v>7</v>
      </c>
      <c r="BP992" s="16"/>
      <c r="BQ992" s="16"/>
      <c r="BR992" s="16"/>
      <c r="BS992" s="15">
        <v>345</v>
      </c>
      <c r="BT992" s="15">
        <f t="shared" si="913"/>
        <v>11500</v>
      </c>
      <c r="BU992" s="16" t="s">
        <v>766</v>
      </c>
      <c r="BY992" s="15">
        <f t="shared" si="910"/>
        <v>11500</v>
      </c>
      <c r="BZ992" s="15">
        <f t="shared" si="911"/>
        <v>10.454545454545453</v>
      </c>
      <c r="CA992" s="15">
        <f t="shared" si="912"/>
        <v>23000</v>
      </c>
      <c r="EZ992" s="16"/>
      <c r="FA992" s="16"/>
      <c r="FB992" s="16"/>
      <c r="FC992" s="16"/>
      <c r="FD992" s="16"/>
      <c r="FE992" s="16"/>
      <c r="FF992" s="16"/>
      <c r="FG992" s="16"/>
      <c r="FH992" s="16"/>
      <c r="FI992" s="16"/>
      <c r="FJ992" s="16"/>
      <c r="FK992" s="16"/>
      <c r="FL992" s="16"/>
      <c r="HE992" s="15">
        <v>8313</v>
      </c>
      <c r="HG992" s="15">
        <v>1384</v>
      </c>
      <c r="HH992" s="15">
        <v>7258</v>
      </c>
      <c r="HJ992" s="15">
        <v>884</v>
      </c>
      <c r="HK992" s="15">
        <f t="shared" si="862"/>
        <v>0.87309034043065081</v>
      </c>
      <c r="HL992" s="15">
        <f t="shared" si="863"/>
        <v>-1055</v>
      </c>
      <c r="HM992" s="15">
        <f t="shared" si="864"/>
        <v>-0.13571624575807206</v>
      </c>
      <c r="HN992" s="15">
        <f>((HJ992*HJ992)/(AR992*HH992*HH992)+(HG992*HG992)/(AR992*HE992*HE992))</f>
        <v>1.4184028217778755E-2</v>
      </c>
      <c r="HP992" s="15" t="s">
        <v>766</v>
      </c>
      <c r="HV992" s="15">
        <f t="shared" si="865"/>
        <v>-1694.7123663441018</v>
      </c>
      <c r="HW992" s="15">
        <f t="shared" si="914"/>
        <v>-0.13571624575807206</v>
      </c>
      <c r="HX992" s="15">
        <f>CA992</f>
        <v>23000</v>
      </c>
      <c r="HY992" s="15">
        <f>BY992</f>
        <v>11500</v>
      </c>
      <c r="HZ992" s="15">
        <f>BZ992</f>
        <v>10.454545454545453</v>
      </c>
      <c r="IA992" s="15">
        <f>CA992</f>
        <v>23000</v>
      </c>
    </row>
    <row r="993" spans="1:235" s="15" customFormat="1" x14ac:dyDescent="0.25">
      <c r="A993" s="31">
        <v>991</v>
      </c>
      <c r="B993" s="1">
        <v>165</v>
      </c>
      <c r="C993" s="1">
        <v>189</v>
      </c>
      <c r="D993" s="15" t="s">
        <v>2206</v>
      </c>
      <c r="E993" s="1">
        <v>4</v>
      </c>
      <c r="F993" s="15" t="s">
        <v>879</v>
      </c>
      <c r="G993" s="15" t="s">
        <v>2214</v>
      </c>
      <c r="H993" s="15" t="s">
        <v>839</v>
      </c>
      <c r="I993" s="1">
        <v>2020</v>
      </c>
      <c r="J993" s="15" t="s">
        <v>2215</v>
      </c>
      <c r="K993" s="1">
        <v>2018</v>
      </c>
      <c r="L993" s="15" t="s">
        <v>2216</v>
      </c>
      <c r="M993" s="15" t="s">
        <v>480</v>
      </c>
      <c r="N993" s="15" t="s">
        <v>23</v>
      </c>
      <c r="O993" s="31">
        <v>2</v>
      </c>
      <c r="P993" s="15">
        <v>32.020000000000003</v>
      </c>
      <c r="Q993" s="15">
        <v>119.04</v>
      </c>
      <c r="S993" s="15">
        <v>1096</v>
      </c>
      <c r="T993" s="15">
        <v>15.7</v>
      </c>
      <c r="U993" s="15" t="s">
        <v>807</v>
      </c>
      <c r="V993" s="31">
        <v>2</v>
      </c>
      <c r="W993" s="16" t="s">
        <v>1170</v>
      </c>
      <c r="X993" s="15" t="s">
        <v>2064</v>
      </c>
      <c r="Y993" s="1">
        <v>5</v>
      </c>
      <c r="Z993" s="15">
        <v>6.11</v>
      </c>
      <c r="AA993" s="15" t="s">
        <v>573</v>
      </c>
      <c r="AB993" s="15">
        <f t="shared" si="882"/>
        <v>6.11</v>
      </c>
      <c r="AC993" s="1">
        <v>5</v>
      </c>
      <c r="AD993" s="15">
        <f t="shared" ref="AD993:AD1000" si="915">12.1*1.74</f>
        <v>21.053999999999998</v>
      </c>
      <c r="AM993" s="1">
        <v>1</v>
      </c>
      <c r="AP993" s="15" t="s">
        <v>2016</v>
      </c>
      <c r="AQ993" s="1">
        <v>9</v>
      </c>
      <c r="AR993" s="1">
        <v>3</v>
      </c>
      <c r="BP993" s="16"/>
      <c r="BQ993" s="16"/>
      <c r="BR993" s="16"/>
      <c r="BS993" s="15">
        <v>1</v>
      </c>
      <c r="BT993" s="15">
        <f>BS993*10*2250</f>
        <v>22500</v>
      </c>
      <c r="BU993" s="16" t="s">
        <v>766</v>
      </c>
      <c r="BY993" s="15">
        <f t="shared" si="910"/>
        <v>22500</v>
      </c>
      <c r="BZ993" s="15">
        <f t="shared" si="911"/>
        <v>20.454545454545453</v>
      </c>
      <c r="CA993" s="15">
        <f t="shared" si="912"/>
        <v>45000</v>
      </c>
      <c r="EZ993" s="16"/>
      <c r="FA993" s="16"/>
      <c r="FB993" s="16"/>
      <c r="FC993" s="16"/>
      <c r="FD993" s="16"/>
      <c r="FE993" s="16"/>
      <c r="FF993" s="16"/>
      <c r="FG993" s="16"/>
      <c r="FH993" s="16"/>
      <c r="FI993" s="16"/>
      <c r="FJ993" s="16"/>
      <c r="FK993" s="16">
        <f t="shared" ref="FK993:FK1006" si="916">FM993</f>
        <v>6.6</v>
      </c>
      <c r="FL993" s="16">
        <f t="shared" ref="FL993:FL1006" si="917">FP993</f>
        <v>6.83</v>
      </c>
      <c r="FM993" s="15">
        <v>6.6</v>
      </c>
      <c r="FN993" s="15">
        <v>0.01</v>
      </c>
      <c r="FO993" s="15">
        <f>FN993*SQRT(AR993)</f>
        <v>1.7320508075688773E-2</v>
      </c>
      <c r="FP993" s="15">
        <v>6.83</v>
      </c>
      <c r="FQ993" s="15">
        <v>0.02</v>
      </c>
      <c r="FR993" s="15">
        <f>FQ993*SQRT(AR993)</f>
        <v>3.4641016151377546E-2</v>
      </c>
      <c r="FS993" s="15">
        <f t="shared" ref="FS993:FS1006" si="918">FP993/FM993</f>
        <v>1.0348484848484849</v>
      </c>
      <c r="FT993" s="15">
        <f t="shared" ref="FT993:FT1006" si="919">FP993-FM993</f>
        <v>0.23000000000000043</v>
      </c>
      <c r="FU993" s="15">
        <f t="shared" ref="FU993:FU1006" si="920">LN(FP993)-LN(FM993)</f>
        <v>3.4255024550319035E-2</v>
      </c>
      <c r="FV993" s="15">
        <f>((FR993*FR993)/(AR993*FP993*FP993)+(FO993*FO993)/(AR993*FM993*FM993))</f>
        <v>1.0870377193445516E-5</v>
      </c>
      <c r="HE993" s="15">
        <v>5.77</v>
      </c>
      <c r="HF993" s="15">
        <v>0.2</v>
      </c>
      <c r="HG993" s="15">
        <f>HF993*SQRT(AR993)</f>
        <v>0.34641016151377546</v>
      </c>
      <c r="HH993" s="15">
        <v>7.05</v>
      </c>
      <c r="HI993" s="15">
        <v>0.15</v>
      </c>
      <c r="HJ993" s="15">
        <f>HI993*SQRT(AR993)</f>
        <v>0.25980762113533157</v>
      </c>
      <c r="HK993" s="15">
        <f t="shared" si="862"/>
        <v>1.221837088388215</v>
      </c>
      <c r="HL993" s="15">
        <f t="shared" si="863"/>
        <v>1.2800000000000002</v>
      </c>
      <c r="HM993" s="15">
        <f t="shared" si="864"/>
        <v>0.20035553630416914</v>
      </c>
      <c r="HN993" s="15">
        <f>((HJ993*HJ993)/(AR993*HH993*HH993)+(HG993*HG993)/(AR993*HE993*HE993))</f>
        <v>1.6541508942696974E-3</v>
      </c>
      <c r="HP993" s="15" t="s">
        <v>809</v>
      </c>
      <c r="HV993" s="15">
        <f t="shared" si="865"/>
        <v>2246.0073143016816</v>
      </c>
      <c r="HW993" s="15">
        <f t="shared" si="914"/>
        <v>0.20035553630416914</v>
      </c>
      <c r="HX993" s="15">
        <f>CA993</f>
        <v>45000</v>
      </c>
      <c r="HY993" s="15">
        <f>BY993</f>
        <v>22500</v>
      </c>
      <c r="HZ993" s="15">
        <f>BZ993</f>
        <v>20.454545454545453</v>
      </c>
      <c r="IA993" s="15">
        <f>CA993</f>
        <v>45000</v>
      </c>
    </row>
    <row r="994" spans="1:235" s="15" customFormat="1" x14ac:dyDescent="0.25">
      <c r="A994" s="31">
        <v>992</v>
      </c>
      <c r="B994" s="1">
        <v>165</v>
      </c>
      <c r="C994" s="1">
        <v>189</v>
      </c>
      <c r="D994" s="15" t="s">
        <v>2207</v>
      </c>
      <c r="E994" s="1">
        <v>4</v>
      </c>
      <c r="F994" s="15" t="s">
        <v>879</v>
      </c>
      <c r="G994" s="15" t="s">
        <v>2214</v>
      </c>
      <c r="H994" s="15" t="s">
        <v>839</v>
      </c>
      <c r="I994" s="1">
        <v>2020</v>
      </c>
      <c r="J994" s="15" t="s">
        <v>2215</v>
      </c>
      <c r="K994" s="1">
        <v>2018</v>
      </c>
      <c r="L994" s="15" t="s">
        <v>2216</v>
      </c>
      <c r="M994" s="15" t="s">
        <v>480</v>
      </c>
      <c r="N994" s="15" t="s">
        <v>23</v>
      </c>
      <c r="O994" s="31">
        <v>2</v>
      </c>
      <c r="P994" s="15">
        <v>32.020000000000003</v>
      </c>
      <c r="Q994" s="15">
        <v>119.04</v>
      </c>
      <c r="S994" s="15">
        <v>1096</v>
      </c>
      <c r="T994" s="15">
        <v>15.7</v>
      </c>
      <c r="U994" s="15" t="s">
        <v>807</v>
      </c>
      <c r="V994" s="31">
        <v>2</v>
      </c>
      <c r="W994" s="16" t="s">
        <v>1170</v>
      </c>
      <c r="X994" s="15" t="s">
        <v>2064</v>
      </c>
      <c r="Y994" s="1">
        <v>5</v>
      </c>
      <c r="Z994" s="15">
        <v>6.11</v>
      </c>
      <c r="AA994" s="15" t="s">
        <v>573</v>
      </c>
      <c r="AB994" s="15">
        <f t="shared" si="882"/>
        <v>6.11</v>
      </c>
      <c r="AC994" s="1">
        <v>5</v>
      </c>
      <c r="AD994" s="15">
        <f t="shared" si="915"/>
        <v>21.053999999999998</v>
      </c>
      <c r="AM994" s="1">
        <v>1</v>
      </c>
      <c r="AP994" s="15" t="s">
        <v>2016</v>
      </c>
      <c r="AQ994" s="1">
        <v>9</v>
      </c>
      <c r="AR994" s="1">
        <v>3</v>
      </c>
      <c r="BP994" s="16"/>
      <c r="BQ994" s="16"/>
      <c r="BR994" s="16"/>
      <c r="BS994" s="15">
        <v>2</v>
      </c>
      <c r="BT994" s="15">
        <f>BS994*10*2250</f>
        <v>45000</v>
      </c>
      <c r="BU994" s="16" t="s">
        <v>766</v>
      </c>
      <c r="BY994" s="15">
        <f t="shared" si="910"/>
        <v>45000</v>
      </c>
      <c r="BZ994" s="15">
        <f t="shared" si="911"/>
        <v>40.909090909090907</v>
      </c>
      <c r="CA994" s="15">
        <f t="shared" si="912"/>
        <v>90000</v>
      </c>
      <c r="EZ994" s="16"/>
      <c r="FA994" s="16"/>
      <c r="FB994" s="16"/>
      <c r="FC994" s="16"/>
      <c r="FD994" s="16"/>
      <c r="FE994" s="16"/>
      <c r="FF994" s="16"/>
      <c r="FG994" s="16"/>
      <c r="FH994" s="16"/>
      <c r="FI994" s="16"/>
      <c r="FJ994" s="16"/>
      <c r="FK994" s="16">
        <f t="shared" si="916"/>
        <v>6.6</v>
      </c>
      <c r="FL994" s="16">
        <f t="shared" si="917"/>
        <v>7.06</v>
      </c>
      <c r="FM994" s="15">
        <v>6.6</v>
      </c>
      <c r="FN994" s="15">
        <v>0.01</v>
      </c>
      <c r="FO994" s="15">
        <f>FN994*SQRT(AR994)</f>
        <v>1.7320508075688773E-2</v>
      </c>
      <c r="FP994" s="15">
        <v>7.06</v>
      </c>
      <c r="FQ994" s="15">
        <v>0.02</v>
      </c>
      <c r="FR994" s="15">
        <f>FQ994*SQRT(AR994)</f>
        <v>3.4641016151377546E-2</v>
      </c>
      <c r="FS994" s="15">
        <f t="shared" si="918"/>
        <v>1.0696969696969696</v>
      </c>
      <c r="FT994" s="15">
        <f t="shared" si="919"/>
        <v>0.45999999999999996</v>
      </c>
      <c r="FU994" s="15">
        <f t="shared" si="920"/>
        <v>6.7375402472770851E-2</v>
      </c>
      <c r="FV994" s="15">
        <f>((FR994*FR994)/(AR994*FP994*FP994)+(FO994*FO994)/(AR994*FM994*FM994))</f>
        <v>1.0320786634550636E-5</v>
      </c>
      <c r="HE994" s="15">
        <v>5.77</v>
      </c>
      <c r="HF994" s="15">
        <v>0.2</v>
      </c>
      <c r="HG994" s="15">
        <f>HF994*SQRT(AR994)</f>
        <v>0.34641016151377546</v>
      </c>
      <c r="HH994" s="15">
        <v>8.67</v>
      </c>
      <c r="HI994" s="15">
        <v>0.16</v>
      </c>
      <c r="HJ994" s="15">
        <f>HI994*SQRT(AR994)</f>
        <v>0.27712812921102037</v>
      </c>
      <c r="HK994" s="15">
        <f t="shared" si="862"/>
        <v>1.5025996533795496</v>
      </c>
      <c r="HL994" s="15">
        <f t="shared" si="863"/>
        <v>2.9000000000000004</v>
      </c>
      <c r="HM994" s="15">
        <f t="shared" si="864"/>
        <v>0.40719671027244231</v>
      </c>
      <c r="HN994" s="15">
        <f>((HJ994*HJ994)/(AR994*HH994*HH994)+(HG994*HG994)/(AR994*HE994*HE994))</f>
        <v>1.5420237456375402E-3</v>
      </c>
      <c r="HP994" s="15" t="s">
        <v>809</v>
      </c>
      <c r="HV994" s="15">
        <f t="shared" si="865"/>
        <v>2210.2339662760014</v>
      </c>
      <c r="HW994" s="15">
        <f t="shared" si="914"/>
        <v>0.40719671027244231</v>
      </c>
      <c r="HX994" s="15">
        <f>CA994</f>
        <v>90000</v>
      </c>
      <c r="HY994" s="15">
        <f>BY994</f>
        <v>45000</v>
      </c>
      <c r="HZ994" s="15">
        <f>BZ994</f>
        <v>40.909090909090907</v>
      </c>
      <c r="IA994" s="15">
        <f>CA994</f>
        <v>90000</v>
      </c>
    </row>
    <row r="995" spans="1:235" s="15" customFormat="1" x14ac:dyDescent="0.25">
      <c r="A995" s="31">
        <v>993</v>
      </c>
      <c r="B995" s="1">
        <v>165</v>
      </c>
      <c r="C995" s="1">
        <v>189</v>
      </c>
      <c r="D995" s="15" t="s">
        <v>2208</v>
      </c>
      <c r="E995" s="31">
        <v>2</v>
      </c>
      <c r="F995" s="15" t="s">
        <v>777</v>
      </c>
      <c r="G995" s="15" t="s">
        <v>2214</v>
      </c>
      <c r="H995" s="15" t="s">
        <v>839</v>
      </c>
      <c r="I995" s="1">
        <v>2020</v>
      </c>
      <c r="J995" s="15" t="s">
        <v>2215</v>
      </c>
      <c r="K995" s="1">
        <v>2018</v>
      </c>
      <c r="L995" s="15" t="s">
        <v>2216</v>
      </c>
      <c r="M995" s="15" t="s">
        <v>480</v>
      </c>
      <c r="N995" s="15" t="s">
        <v>23</v>
      </c>
      <c r="O995" s="31">
        <v>2</v>
      </c>
      <c r="P995" s="15">
        <v>32.020000000000003</v>
      </c>
      <c r="Q995" s="15">
        <v>119.04</v>
      </c>
      <c r="S995" s="15">
        <v>1096</v>
      </c>
      <c r="T995" s="15">
        <v>15.7</v>
      </c>
      <c r="U995" s="15" t="s">
        <v>807</v>
      </c>
      <c r="V995" s="31">
        <v>2</v>
      </c>
      <c r="W995" s="16" t="s">
        <v>1170</v>
      </c>
      <c r="X995" s="15" t="s">
        <v>2064</v>
      </c>
      <c r="Y995" s="1">
        <v>5</v>
      </c>
      <c r="Z995" s="15">
        <v>6.11</v>
      </c>
      <c r="AA995" s="15" t="s">
        <v>573</v>
      </c>
      <c r="AB995" s="15">
        <f t="shared" si="882"/>
        <v>6.11</v>
      </c>
      <c r="AC995" s="1">
        <v>5</v>
      </c>
      <c r="AD995" s="15">
        <f t="shared" si="915"/>
        <v>21.053999999999998</v>
      </c>
      <c r="AM995" s="1">
        <v>1</v>
      </c>
      <c r="AP995" s="15" t="s">
        <v>2016</v>
      </c>
      <c r="AQ995" s="1">
        <v>9</v>
      </c>
      <c r="AR995" s="1">
        <v>3</v>
      </c>
      <c r="BP995" s="16"/>
      <c r="BQ995" s="16"/>
      <c r="BR995" s="16"/>
      <c r="BU995" s="16"/>
      <c r="CC995" s="15" t="s">
        <v>1321</v>
      </c>
      <c r="CE995" s="15">
        <v>1</v>
      </c>
      <c r="CF995" s="15">
        <f t="shared" ref="CF995:CF1000" si="921">CE995*10*2250</f>
        <v>22500</v>
      </c>
      <c r="CG995" s="15" t="s">
        <v>766</v>
      </c>
      <c r="CH995" s="15">
        <v>10.199999999999999</v>
      </c>
      <c r="CI995" s="15">
        <v>500</v>
      </c>
      <c r="CK995" s="15">
        <v>435</v>
      </c>
      <c r="CL995" s="15">
        <v>8.6999999999999993</v>
      </c>
      <c r="CM995" s="15">
        <v>2.4</v>
      </c>
      <c r="CO995" s="15">
        <v>38.799999999999997</v>
      </c>
      <c r="CP995" s="15">
        <v>14.7</v>
      </c>
      <c r="CQ995" s="15">
        <v>6.53</v>
      </c>
      <c r="CY995" s="25">
        <f t="shared" ref="CY995:CY1002" si="922">CF995</f>
        <v>22500</v>
      </c>
      <c r="CZ995" s="25">
        <f t="shared" ref="CZ995:CZ1002" si="923">CY995/0.78/1000</f>
        <v>28.846153846153843</v>
      </c>
      <c r="DA995" s="25">
        <f t="shared" ref="DA995:DA1002" si="924">CY995*3</f>
        <v>67500</v>
      </c>
      <c r="EZ995" s="16"/>
      <c r="FA995" s="16"/>
      <c r="FB995" s="16"/>
      <c r="FC995" s="16"/>
      <c r="FD995" s="16"/>
      <c r="FE995" s="16"/>
      <c r="FF995" s="16"/>
      <c r="FG995" s="16"/>
      <c r="FH995" s="16"/>
      <c r="FI995" s="16"/>
      <c r="FJ995" s="16"/>
      <c r="FK995" s="16">
        <f t="shared" si="916"/>
        <v>6.6</v>
      </c>
      <c r="FL995" s="16">
        <f t="shared" si="917"/>
        <v>7.03</v>
      </c>
      <c r="FM995" s="15">
        <v>6.6</v>
      </c>
      <c r="FN995" s="15">
        <v>0.01</v>
      </c>
      <c r="FO995" s="15">
        <f>FN995*SQRT(AR995)</f>
        <v>1.7320508075688773E-2</v>
      </c>
      <c r="FP995" s="15">
        <v>7.03</v>
      </c>
      <c r="FQ995" s="15">
        <v>0.02</v>
      </c>
      <c r="FR995" s="15">
        <f>FQ995*SQRT(AR995)</f>
        <v>3.4641016151377546E-2</v>
      </c>
      <c r="FS995" s="15">
        <f t="shared" si="918"/>
        <v>1.0651515151515152</v>
      </c>
      <c r="FT995" s="15">
        <f t="shared" si="919"/>
        <v>0.4300000000000006</v>
      </c>
      <c r="FU995" s="15">
        <f t="shared" si="920"/>
        <v>6.3117056790193748E-2</v>
      </c>
      <c r="FV995" s="15">
        <f>((FR995*FR995)/(AR995*FP995*FP995)+(FO995*FO995)/(AR995*FM995*FM995))</f>
        <v>1.0389425830427147E-5</v>
      </c>
      <c r="HE995" s="15">
        <v>5.77</v>
      </c>
      <c r="HF995" s="15">
        <v>0.2</v>
      </c>
      <c r="HG995" s="15">
        <f>HF995*SQRT(AR995)</f>
        <v>0.34641016151377546</v>
      </c>
      <c r="HH995" s="15">
        <v>5.67</v>
      </c>
      <c r="HI995" s="15">
        <v>0.2</v>
      </c>
      <c r="HJ995" s="15">
        <f>HI995*SQRT(AR995)</f>
        <v>0.34641016151377546</v>
      </c>
      <c r="HK995" s="15">
        <f t="shared" si="862"/>
        <v>0.98266897746967075</v>
      </c>
      <c r="HL995" s="15">
        <f t="shared" si="863"/>
        <v>-9.9999999999999645E-2</v>
      </c>
      <c r="HM995" s="15">
        <f t="shared" si="864"/>
        <v>-1.7482962780347444E-2</v>
      </c>
      <c r="HN995" s="15">
        <f>((HJ995*HJ995)/(AR995*HH995*HH995)+(HG995*HG995)/(AR995*HE995*HE995))</f>
        <v>2.4456679006513923E-3</v>
      </c>
      <c r="HP995" s="15" t="s">
        <v>809</v>
      </c>
      <c r="HV995" s="15">
        <f t="shared" si="865"/>
        <v>-38609.016588353428</v>
      </c>
      <c r="HW995" s="15">
        <f t="shared" si="914"/>
        <v>-1.7482962780347444E-2</v>
      </c>
      <c r="HX995" s="25">
        <f>DA995</f>
        <v>67500</v>
      </c>
      <c r="HY995" s="25">
        <f>CY995</f>
        <v>22500</v>
      </c>
      <c r="HZ995" s="25">
        <f>CZ995</f>
        <v>28.846153846153843</v>
      </c>
      <c r="IA995" s="25">
        <f>DA995</f>
        <v>67500</v>
      </c>
    </row>
    <row r="996" spans="1:235" s="15" customFormat="1" x14ac:dyDescent="0.25">
      <c r="A996" s="31">
        <v>994</v>
      </c>
      <c r="B996" s="1">
        <v>165</v>
      </c>
      <c r="C996" s="1">
        <v>189</v>
      </c>
      <c r="D996" s="15" t="s">
        <v>2209</v>
      </c>
      <c r="E996" s="1">
        <v>6</v>
      </c>
      <c r="F996" s="15" t="s">
        <v>1155</v>
      </c>
      <c r="G996" s="15" t="s">
        <v>2214</v>
      </c>
      <c r="H996" s="15" t="s">
        <v>839</v>
      </c>
      <c r="I996" s="1">
        <v>2020</v>
      </c>
      <c r="J996" s="15" t="s">
        <v>2215</v>
      </c>
      <c r="K996" s="1">
        <v>2018</v>
      </c>
      <c r="L996" s="15" t="s">
        <v>2216</v>
      </c>
      <c r="M996" s="15" t="s">
        <v>480</v>
      </c>
      <c r="N996" s="15" t="s">
        <v>23</v>
      </c>
      <c r="O996" s="31">
        <v>2</v>
      </c>
      <c r="P996" s="15">
        <v>32.020000000000003</v>
      </c>
      <c r="Q996" s="15">
        <v>119.04</v>
      </c>
      <c r="S996" s="15">
        <v>1096</v>
      </c>
      <c r="T996" s="15">
        <v>15.7</v>
      </c>
      <c r="U996" s="15" t="s">
        <v>807</v>
      </c>
      <c r="V996" s="31">
        <v>2</v>
      </c>
      <c r="W996" s="16" t="s">
        <v>1170</v>
      </c>
      <c r="X996" s="15" t="s">
        <v>2064</v>
      </c>
      <c r="Y996" s="1">
        <v>5</v>
      </c>
      <c r="Z996" s="15">
        <v>6.11</v>
      </c>
      <c r="AA996" s="15" t="s">
        <v>573</v>
      </c>
      <c r="AB996" s="15">
        <f t="shared" si="882"/>
        <v>6.11</v>
      </c>
      <c r="AC996" s="1">
        <v>5</v>
      </c>
      <c r="AD996" s="15">
        <f t="shared" si="915"/>
        <v>21.053999999999998</v>
      </c>
      <c r="AM996" s="1">
        <v>1</v>
      </c>
      <c r="AP996" s="15" t="s">
        <v>2016</v>
      </c>
      <c r="AQ996" s="1">
        <v>9</v>
      </c>
      <c r="AR996" s="1">
        <v>3</v>
      </c>
      <c r="BP996" s="16"/>
      <c r="BQ996" s="16"/>
      <c r="BR996" s="16"/>
      <c r="BS996" s="15">
        <v>1</v>
      </c>
      <c r="BT996" s="15">
        <f>BS996*10*2250</f>
        <v>22500</v>
      </c>
      <c r="BU996" s="16" t="s">
        <v>766</v>
      </c>
      <c r="BY996" s="15">
        <f>BT996</f>
        <v>22500</v>
      </c>
      <c r="BZ996" s="15">
        <f>BY996/1.1/1000</f>
        <v>20.454545454545453</v>
      </c>
      <c r="CA996" s="15">
        <f>BY996*2</f>
        <v>45000</v>
      </c>
      <c r="CC996" s="15" t="s">
        <v>1321</v>
      </c>
      <c r="CE996" s="15">
        <v>1</v>
      </c>
      <c r="CF996" s="15">
        <f t="shared" si="921"/>
        <v>22500</v>
      </c>
      <c r="CG996" s="15" t="s">
        <v>766</v>
      </c>
      <c r="CH996" s="15">
        <v>10.199999999999999</v>
      </c>
      <c r="CI996" s="15">
        <v>500</v>
      </c>
      <c r="CK996" s="15">
        <v>435</v>
      </c>
      <c r="CL996" s="15">
        <v>8.6999999999999993</v>
      </c>
      <c r="CM996" s="15">
        <v>2.4</v>
      </c>
      <c r="CO996" s="15">
        <v>38.799999999999997</v>
      </c>
      <c r="CP996" s="15">
        <v>14.7</v>
      </c>
      <c r="CQ996" s="15">
        <v>6.53</v>
      </c>
      <c r="CY996" s="25">
        <f t="shared" si="922"/>
        <v>22500</v>
      </c>
      <c r="CZ996" s="25">
        <f t="shared" si="923"/>
        <v>28.846153846153843</v>
      </c>
      <c r="DA996" s="25">
        <f t="shared" si="924"/>
        <v>67500</v>
      </c>
      <c r="EW996" s="46">
        <f>AX996+BT996+CF996+DE996+DY996</f>
        <v>45000</v>
      </c>
      <c r="EX996" s="46">
        <f>BA996+BZ996+CZ996+DT996+ET996</f>
        <v>49.300699300699293</v>
      </c>
      <c r="EY996" s="46">
        <f>BB996+CA996+DA996+DU996+EU996</f>
        <v>112500</v>
      </c>
      <c r="EZ996" s="16"/>
      <c r="FA996" s="16"/>
      <c r="FB996" s="16"/>
      <c r="FC996" s="16"/>
      <c r="FD996" s="16"/>
      <c r="FE996" s="16"/>
      <c r="FF996" s="16"/>
      <c r="FG996" s="16"/>
      <c r="FH996" s="16"/>
      <c r="FI996" s="16"/>
      <c r="FJ996" s="16"/>
      <c r="FK996" s="16">
        <f t="shared" si="916"/>
        <v>6.6</v>
      </c>
      <c r="FL996" s="16">
        <f t="shared" si="917"/>
        <v>7.31</v>
      </c>
      <c r="FM996" s="15">
        <v>6.6</v>
      </c>
      <c r="FN996" s="15">
        <v>0.01</v>
      </c>
      <c r="FO996" s="15">
        <f>FN996*SQRT(AR996)</f>
        <v>1.7320508075688773E-2</v>
      </c>
      <c r="FP996" s="15">
        <v>7.31</v>
      </c>
      <c r="FQ996" s="15">
        <v>0.02</v>
      </c>
      <c r="FR996" s="15">
        <f>FQ996*SQRT(AR996)</f>
        <v>3.4641016151377546E-2</v>
      </c>
      <c r="FS996" s="15">
        <f t="shared" si="918"/>
        <v>1.1075757575757577</v>
      </c>
      <c r="FT996" s="15">
        <f t="shared" si="919"/>
        <v>0.71</v>
      </c>
      <c r="FU996" s="15">
        <f t="shared" si="920"/>
        <v>0.10217362472930747</v>
      </c>
      <c r="FV996" s="15">
        <f>((FR996*FR996)/(AR996*FP996*FP996)+(FO996*FO996)/(AR996*FM996*FM996))</f>
        <v>9.7812603441671721E-6</v>
      </c>
      <c r="HE996" s="15">
        <v>5.77</v>
      </c>
      <c r="HF996" s="15">
        <v>0.2</v>
      </c>
      <c r="HG996" s="15">
        <f>HF996*SQRT(AR996)</f>
        <v>0.34641016151377546</v>
      </c>
      <c r="HH996" s="15">
        <v>6.27</v>
      </c>
      <c r="HI996" s="15">
        <v>0.15</v>
      </c>
      <c r="HJ996" s="15">
        <f>HI996*SQRT(AR996)</f>
        <v>0.25980762113533157</v>
      </c>
      <c r="HK996" s="15">
        <f t="shared" si="862"/>
        <v>1.0866551126516464</v>
      </c>
      <c r="HL996" s="15">
        <f t="shared" si="863"/>
        <v>0.5</v>
      </c>
      <c r="HM996" s="15">
        <f t="shared" si="864"/>
        <v>8.3104274124821131E-2</v>
      </c>
      <c r="HN996" s="15">
        <f>((HJ996*HJ996)/(AR996*HH996*HH996)+(HG996*HG996)/(AR996*HE996*HE996))</f>
        <v>1.7737885873104885E-3</v>
      </c>
      <c r="HP996" s="15" t="s">
        <v>809</v>
      </c>
      <c r="HV996" s="15">
        <f t="shared" si="865"/>
        <v>13537.209870942019</v>
      </c>
      <c r="HW996" s="15">
        <f t="shared" si="914"/>
        <v>8.3104274124821131E-2</v>
      </c>
      <c r="HX996" s="15">
        <f>EY996</f>
        <v>112500</v>
      </c>
      <c r="HY996" s="15">
        <f t="shared" ref="HY996:IA997" si="925">EW996</f>
        <v>45000</v>
      </c>
      <c r="HZ996" s="15">
        <f t="shared" si="925"/>
        <v>49.300699300699293</v>
      </c>
      <c r="IA996" s="15">
        <f t="shared" si="925"/>
        <v>112500</v>
      </c>
    </row>
    <row r="997" spans="1:235" s="15" customFormat="1" x14ac:dyDescent="0.25">
      <c r="A997" s="31">
        <v>995</v>
      </c>
      <c r="B997" s="1">
        <v>165</v>
      </c>
      <c r="C997" s="1">
        <v>189</v>
      </c>
      <c r="D997" s="15" t="s">
        <v>2210</v>
      </c>
      <c r="E997" s="1">
        <v>6</v>
      </c>
      <c r="F997" s="15" t="s">
        <v>1155</v>
      </c>
      <c r="G997" s="15" t="s">
        <v>2214</v>
      </c>
      <c r="H997" s="15" t="s">
        <v>839</v>
      </c>
      <c r="I997" s="1">
        <v>2020</v>
      </c>
      <c r="J997" s="15" t="s">
        <v>2215</v>
      </c>
      <c r="K997" s="1">
        <v>2018</v>
      </c>
      <c r="L997" s="15" t="s">
        <v>2216</v>
      </c>
      <c r="M997" s="15" t="s">
        <v>480</v>
      </c>
      <c r="N997" s="15" t="s">
        <v>23</v>
      </c>
      <c r="O997" s="31">
        <v>2</v>
      </c>
      <c r="P997" s="15">
        <v>32.020000000000003</v>
      </c>
      <c r="Q997" s="15">
        <v>119.04</v>
      </c>
      <c r="S997" s="15">
        <v>1096</v>
      </c>
      <c r="T997" s="15">
        <v>15.7</v>
      </c>
      <c r="U997" s="15" t="s">
        <v>807</v>
      </c>
      <c r="V997" s="31">
        <v>2</v>
      </c>
      <c r="W997" s="16" t="s">
        <v>1170</v>
      </c>
      <c r="X997" s="15" t="s">
        <v>2064</v>
      </c>
      <c r="Y997" s="1">
        <v>5</v>
      </c>
      <c r="Z997" s="15">
        <v>6.11</v>
      </c>
      <c r="AA997" s="15" t="s">
        <v>573</v>
      </c>
      <c r="AB997" s="15">
        <f t="shared" si="882"/>
        <v>6.11</v>
      </c>
      <c r="AC997" s="1">
        <v>5</v>
      </c>
      <c r="AD997" s="15">
        <f t="shared" si="915"/>
        <v>21.053999999999998</v>
      </c>
      <c r="AM997" s="1">
        <v>1</v>
      </c>
      <c r="AP997" s="15" t="s">
        <v>2016</v>
      </c>
      <c r="AQ997" s="1">
        <v>9</v>
      </c>
      <c r="AR997" s="1">
        <v>3</v>
      </c>
      <c r="BP997" s="16"/>
      <c r="BQ997" s="16"/>
      <c r="BR997" s="16"/>
      <c r="BS997" s="15">
        <v>2</v>
      </c>
      <c r="BT997" s="15">
        <f>BS997*10*2250</f>
        <v>45000</v>
      </c>
      <c r="BU997" s="16" t="s">
        <v>766</v>
      </c>
      <c r="BY997" s="15">
        <f>BT997</f>
        <v>45000</v>
      </c>
      <c r="BZ997" s="15">
        <f>BY997/1.1/1000</f>
        <v>40.909090909090907</v>
      </c>
      <c r="CA997" s="15">
        <f>BY997*2</f>
        <v>90000</v>
      </c>
      <c r="CC997" s="15" t="s">
        <v>1321</v>
      </c>
      <c r="CE997" s="15">
        <v>1</v>
      </c>
      <c r="CF997" s="15">
        <f t="shared" si="921"/>
        <v>22500</v>
      </c>
      <c r="CG997" s="15" t="s">
        <v>766</v>
      </c>
      <c r="CH997" s="15">
        <v>10.199999999999999</v>
      </c>
      <c r="CI997" s="15">
        <v>500</v>
      </c>
      <c r="CK997" s="15">
        <v>435</v>
      </c>
      <c r="CL997" s="15">
        <v>8.6999999999999993</v>
      </c>
      <c r="CM997" s="15">
        <v>2.4</v>
      </c>
      <c r="CO997" s="15">
        <v>38.799999999999997</v>
      </c>
      <c r="CP997" s="15">
        <v>14.7</v>
      </c>
      <c r="CQ997" s="15">
        <v>6.53</v>
      </c>
      <c r="CY997" s="25">
        <f t="shared" si="922"/>
        <v>22500</v>
      </c>
      <c r="CZ997" s="25">
        <f t="shared" si="923"/>
        <v>28.846153846153843</v>
      </c>
      <c r="DA997" s="25">
        <f t="shared" si="924"/>
        <v>67500</v>
      </c>
      <c r="EW997" s="46">
        <f>AX997+BT997+CF997+DE997+DY997</f>
        <v>67500</v>
      </c>
      <c r="EX997" s="46">
        <f>BA997+BZ997+CZ997+DT997+ET997</f>
        <v>69.755244755244746</v>
      </c>
      <c r="EY997" s="46">
        <f>BB997+CA997+DA997+DU997+EU997</f>
        <v>157500</v>
      </c>
      <c r="EZ997" s="16"/>
      <c r="FA997" s="16"/>
      <c r="FB997" s="16"/>
      <c r="FC997" s="16"/>
      <c r="FD997" s="16"/>
      <c r="FE997" s="16"/>
      <c r="FF997" s="16"/>
      <c r="FG997" s="16"/>
      <c r="FH997" s="16"/>
      <c r="FI997" s="16"/>
      <c r="FJ997" s="16"/>
      <c r="FK997" s="16">
        <f t="shared" si="916"/>
        <v>6.6</v>
      </c>
      <c r="FL997" s="16">
        <f t="shared" si="917"/>
        <v>7.39</v>
      </c>
      <c r="FM997" s="15">
        <v>6.6</v>
      </c>
      <c r="FN997" s="15">
        <v>0.01</v>
      </c>
      <c r="FO997" s="15">
        <f>FN997*SQRT(AR997)</f>
        <v>1.7320508075688773E-2</v>
      </c>
      <c r="FP997" s="15">
        <v>7.39</v>
      </c>
      <c r="FQ997" s="15">
        <v>0.02</v>
      </c>
      <c r="FR997" s="15">
        <f>FQ997*SQRT(AR997)</f>
        <v>3.4641016151377546E-2</v>
      </c>
      <c r="FS997" s="15">
        <f t="shared" si="918"/>
        <v>1.1196969696969696</v>
      </c>
      <c r="FT997" s="15">
        <f t="shared" si="919"/>
        <v>0.79</v>
      </c>
      <c r="FU997" s="15">
        <f t="shared" si="920"/>
        <v>0.11305808592773081</v>
      </c>
      <c r="FV997" s="15">
        <f>((FR997*FR997)/(AR997*FP997*FP997)+(FO997*FO997)/(AR997*FM997*FM997))</f>
        <v>9.620068270490565E-6</v>
      </c>
      <c r="HE997" s="15">
        <v>5.77</v>
      </c>
      <c r="HF997" s="15">
        <v>0.2</v>
      </c>
      <c r="HG997" s="15">
        <f>HF997*SQRT(AR997)</f>
        <v>0.34641016151377546</v>
      </c>
      <c r="HH997" s="15">
        <v>7.45</v>
      </c>
      <c r="HI997" s="15">
        <v>0.18</v>
      </c>
      <c r="HJ997" s="15">
        <f>HI997*SQRT(AR997)</f>
        <v>0.31176914536239786</v>
      </c>
      <c r="HK997" s="15">
        <f t="shared" si="862"/>
        <v>1.2911611785095323</v>
      </c>
      <c r="HL997" s="15">
        <f t="shared" si="863"/>
        <v>1.6800000000000006</v>
      </c>
      <c r="HM997" s="15">
        <f t="shared" si="864"/>
        <v>0.25554195187146012</v>
      </c>
      <c r="HN997" s="15">
        <f>((HJ997*HJ997)/(AR997*HH997*HH997)+(HG997*HG997)/(AR997*HE997*HE997))</f>
        <v>1.7852148561885491E-3</v>
      </c>
      <c r="HP997" s="15" t="s">
        <v>809</v>
      </c>
      <c r="HV997" s="15">
        <f t="shared" si="865"/>
        <v>6163.3715656685563</v>
      </c>
      <c r="HW997" s="15">
        <f t="shared" si="914"/>
        <v>0.25554195187146012</v>
      </c>
      <c r="HX997" s="15">
        <f>EY997</f>
        <v>157500</v>
      </c>
      <c r="HY997" s="15">
        <f t="shared" si="925"/>
        <v>67500</v>
      </c>
      <c r="HZ997" s="15">
        <f t="shared" si="925"/>
        <v>69.755244755244746</v>
      </c>
      <c r="IA997" s="15">
        <f t="shared" si="925"/>
        <v>157500</v>
      </c>
    </row>
    <row r="998" spans="1:235" s="15" customFormat="1" x14ac:dyDescent="0.25">
      <c r="A998" s="31">
        <v>996</v>
      </c>
      <c r="B998" s="1">
        <v>165</v>
      </c>
      <c r="C998" s="1">
        <v>189</v>
      </c>
      <c r="D998" s="15" t="s">
        <v>2211</v>
      </c>
      <c r="E998" s="31">
        <v>2</v>
      </c>
      <c r="F998" s="15" t="s">
        <v>777</v>
      </c>
      <c r="G998" s="15" t="s">
        <v>2214</v>
      </c>
      <c r="H998" s="15" t="s">
        <v>839</v>
      </c>
      <c r="I998" s="1">
        <v>2020</v>
      </c>
      <c r="J998" s="15" t="s">
        <v>2215</v>
      </c>
      <c r="K998" s="1">
        <v>2018</v>
      </c>
      <c r="L998" s="15" t="s">
        <v>2216</v>
      </c>
      <c r="M998" s="15" t="s">
        <v>480</v>
      </c>
      <c r="N998" s="15" t="s">
        <v>23</v>
      </c>
      <c r="O998" s="31">
        <v>2</v>
      </c>
      <c r="P998" s="15">
        <v>32.020000000000003</v>
      </c>
      <c r="Q998" s="15">
        <v>119.04</v>
      </c>
      <c r="S998" s="15">
        <v>1096</v>
      </c>
      <c r="T998" s="15">
        <v>15.7</v>
      </c>
      <c r="U998" s="15" t="s">
        <v>807</v>
      </c>
      <c r="V998" s="31">
        <v>2</v>
      </c>
      <c r="W998" s="16" t="s">
        <v>1170</v>
      </c>
      <c r="X998" s="15" t="s">
        <v>2064</v>
      </c>
      <c r="Y998" s="1">
        <v>5</v>
      </c>
      <c r="Z998" s="15">
        <v>6.11</v>
      </c>
      <c r="AA998" s="15" t="s">
        <v>573</v>
      </c>
      <c r="AB998" s="15">
        <f t="shared" si="882"/>
        <v>6.11</v>
      </c>
      <c r="AC998" s="1">
        <v>5</v>
      </c>
      <c r="AD998" s="15">
        <f t="shared" si="915"/>
        <v>21.053999999999998</v>
      </c>
      <c r="AM998" s="1">
        <v>1</v>
      </c>
      <c r="AP998" s="15" t="s">
        <v>2016</v>
      </c>
      <c r="AQ998" s="1">
        <v>9</v>
      </c>
      <c r="AR998" s="1">
        <v>3</v>
      </c>
      <c r="BP998" s="16"/>
      <c r="BQ998" s="16"/>
      <c r="BR998" s="16"/>
      <c r="BU998" s="16"/>
      <c r="CC998" s="15" t="s">
        <v>1321</v>
      </c>
      <c r="CE998" s="15">
        <v>3</v>
      </c>
      <c r="CF998" s="15">
        <f t="shared" si="921"/>
        <v>67500</v>
      </c>
      <c r="CG998" s="15" t="s">
        <v>766</v>
      </c>
      <c r="CH998" s="15">
        <v>10.199999999999999</v>
      </c>
      <c r="CI998" s="15">
        <v>500</v>
      </c>
      <c r="CK998" s="15">
        <v>435</v>
      </c>
      <c r="CL998" s="15">
        <v>8.6999999999999993</v>
      </c>
      <c r="CM998" s="15">
        <v>2.4</v>
      </c>
      <c r="CO998" s="15">
        <v>38.799999999999997</v>
      </c>
      <c r="CP998" s="15">
        <v>14.7</v>
      </c>
      <c r="CQ998" s="15">
        <v>6.53</v>
      </c>
      <c r="CY998" s="25">
        <f t="shared" si="922"/>
        <v>67500</v>
      </c>
      <c r="CZ998" s="25">
        <f t="shared" si="923"/>
        <v>86.538461538461533</v>
      </c>
      <c r="DA998" s="25">
        <f t="shared" si="924"/>
        <v>202500</v>
      </c>
      <c r="EZ998" s="16"/>
      <c r="FA998" s="16"/>
      <c r="FB998" s="16"/>
      <c r="FC998" s="16"/>
      <c r="FD998" s="16"/>
      <c r="FE998" s="16"/>
      <c r="FF998" s="16"/>
      <c r="FG998" s="16"/>
      <c r="FH998" s="16"/>
      <c r="FI998" s="16"/>
      <c r="FJ998" s="16"/>
      <c r="FK998" s="16">
        <f t="shared" si="916"/>
        <v>6.6</v>
      </c>
      <c r="FL998" s="16">
        <f t="shared" si="917"/>
        <v>7.44</v>
      </c>
      <c r="FM998" s="15">
        <v>6.6</v>
      </c>
      <c r="FN998" s="15">
        <v>0.01</v>
      </c>
      <c r="FO998" s="15">
        <f>FN998*SQRT(AR998)</f>
        <v>1.7320508075688773E-2</v>
      </c>
      <c r="FP998" s="15">
        <v>7.44</v>
      </c>
      <c r="FQ998" s="15">
        <v>0.02</v>
      </c>
      <c r="FR998" s="15">
        <f>FQ998*SQRT(AR998)</f>
        <v>3.4641016151377546E-2</v>
      </c>
      <c r="FS998" s="15">
        <f t="shared" si="918"/>
        <v>1.1272727272727274</v>
      </c>
      <c r="FT998" s="15">
        <f t="shared" si="919"/>
        <v>0.84000000000000075</v>
      </c>
      <c r="FU998" s="15">
        <f t="shared" si="920"/>
        <v>0.11980119981262094</v>
      </c>
      <c r="FV998" s="15">
        <f>((FR998*FR998)/(AR998*FP998*FP998)+(FO998*FO998)/(AR998*FM998*FM998))</f>
        <v>9.5219530466905375E-6</v>
      </c>
      <c r="HE998" s="15">
        <v>5.77</v>
      </c>
      <c r="HF998" s="15">
        <v>0.2</v>
      </c>
      <c r="HG998" s="15">
        <f>HF998*SQRT(AR998)</f>
        <v>0.34641016151377546</v>
      </c>
      <c r="HH998" s="15">
        <v>5</v>
      </c>
      <c r="HI998" s="15">
        <v>0.2</v>
      </c>
      <c r="HJ998" s="15">
        <f>HI998*SQRT(AR998)</f>
        <v>0.34641016151377546</v>
      </c>
      <c r="HK998" s="15">
        <f t="shared" si="862"/>
        <v>0.86655112651646449</v>
      </c>
      <c r="HL998" s="15">
        <f t="shared" si="863"/>
        <v>-0.76999999999999957</v>
      </c>
      <c r="HM998" s="15">
        <f t="shared" si="864"/>
        <v>-0.14323416808590794</v>
      </c>
      <c r="HN998" s="15">
        <f>((HJ998*HJ998)/(AR998*HH998*HH998)+(HG998*HG998)/(AR998*HE998*HE998))</f>
        <v>2.8014573677871257E-3</v>
      </c>
      <c r="HP998" s="15" t="s">
        <v>809</v>
      </c>
      <c r="HV998" s="15">
        <f t="shared" si="865"/>
        <v>-14137.688144252426</v>
      </c>
      <c r="HW998" s="15">
        <f t="shared" si="914"/>
        <v>-0.14323416808590794</v>
      </c>
      <c r="HX998" s="25">
        <f>DA998</f>
        <v>202500</v>
      </c>
      <c r="HY998" s="25">
        <f>CY998</f>
        <v>67500</v>
      </c>
      <c r="HZ998" s="25">
        <f>CZ998</f>
        <v>86.538461538461533</v>
      </c>
      <c r="IA998" s="25">
        <f>DA998</f>
        <v>202500</v>
      </c>
    </row>
    <row r="999" spans="1:235" s="15" customFormat="1" x14ac:dyDescent="0.25">
      <c r="A999" s="31">
        <v>997</v>
      </c>
      <c r="B999" s="1">
        <v>165</v>
      </c>
      <c r="C999" s="1">
        <v>189</v>
      </c>
      <c r="D999" s="15" t="s">
        <v>2212</v>
      </c>
      <c r="E999" s="1">
        <v>6</v>
      </c>
      <c r="F999" s="15" t="s">
        <v>1155</v>
      </c>
      <c r="G999" s="15" t="s">
        <v>2214</v>
      </c>
      <c r="H999" s="15" t="s">
        <v>839</v>
      </c>
      <c r="I999" s="1">
        <v>2020</v>
      </c>
      <c r="J999" s="15" t="s">
        <v>2215</v>
      </c>
      <c r="K999" s="1">
        <v>2018</v>
      </c>
      <c r="L999" s="15" t="s">
        <v>2216</v>
      </c>
      <c r="M999" s="15" t="s">
        <v>480</v>
      </c>
      <c r="N999" s="15" t="s">
        <v>23</v>
      </c>
      <c r="O999" s="31">
        <v>2</v>
      </c>
      <c r="P999" s="15">
        <v>32.020000000000003</v>
      </c>
      <c r="Q999" s="15">
        <v>119.04</v>
      </c>
      <c r="S999" s="15">
        <v>1096</v>
      </c>
      <c r="T999" s="15">
        <v>15.7</v>
      </c>
      <c r="U999" s="15" t="s">
        <v>807</v>
      </c>
      <c r="V999" s="31">
        <v>2</v>
      </c>
      <c r="W999" s="16" t="s">
        <v>1170</v>
      </c>
      <c r="X999" s="15" t="s">
        <v>2064</v>
      </c>
      <c r="Y999" s="1">
        <v>5</v>
      </c>
      <c r="Z999" s="15">
        <v>6.11</v>
      </c>
      <c r="AA999" s="15" t="s">
        <v>573</v>
      </c>
      <c r="AB999" s="15">
        <f t="shared" si="882"/>
        <v>6.11</v>
      </c>
      <c r="AC999" s="1">
        <v>5</v>
      </c>
      <c r="AD999" s="15">
        <f t="shared" si="915"/>
        <v>21.053999999999998</v>
      </c>
      <c r="AM999" s="1">
        <v>1</v>
      </c>
      <c r="AP999" s="15" t="s">
        <v>2016</v>
      </c>
      <c r="AQ999" s="1">
        <v>9</v>
      </c>
      <c r="AR999" s="1">
        <v>3</v>
      </c>
      <c r="BP999" s="16"/>
      <c r="BQ999" s="16"/>
      <c r="BR999" s="16"/>
      <c r="BS999" s="15">
        <v>1</v>
      </c>
      <c r="BT999" s="15">
        <f>BS999*10*2250</f>
        <v>22500</v>
      </c>
      <c r="BU999" s="16" t="s">
        <v>766</v>
      </c>
      <c r="BY999" s="15">
        <f>BT999</f>
        <v>22500</v>
      </c>
      <c r="BZ999" s="15">
        <f>BY999/1.1/1000</f>
        <v>20.454545454545453</v>
      </c>
      <c r="CA999" s="15">
        <f>BY999*2</f>
        <v>45000</v>
      </c>
      <c r="CC999" s="15" t="s">
        <v>1321</v>
      </c>
      <c r="CE999" s="15">
        <v>3</v>
      </c>
      <c r="CF999" s="15">
        <f t="shared" si="921"/>
        <v>67500</v>
      </c>
      <c r="CG999" s="15" t="s">
        <v>766</v>
      </c>
      <c r="CH999" s="15">
        <v>10.199999999999999</v>
      </c>
      <c r="CI999" s="15">
        <v>500</v>
      </c>
      <c r="CK999" s="15">
        <v>435</v>
      </c>
      <c r="CL999" s="15">
        <v>8.6999999999999993</v>
      </c>
      <c r="CM999" s="15">
        <v>2.4</v>
      </c>
      <c r="CO999" s="15">
        <v>38.799999999999997</v>
      </c>
      <c r="CP999" s="15">
        <v>14.7</v>
      </c>
      <c r="CQ999" s="15">
        <v>6.53</v>
      </c>
      <c r="CY999" s="25">
        <f t="shared" si="922"/>
        <v>67500</v>
      </c>
      <c r="CZ999" s="25">
        <f t="shared" si="923"/>
        <v>86.538461538461533</v>
      </c>
      <c r="DA999" s="25">
        <f t="shared" si="924"/>
        <v>202500</v>
      </c>
      <c r="EW999" s="46">
        <f>AX999+BT999+CF999+DE999+DY999</f>
        <v>90000</v>
      </c>
      <c r="EX999" s="46">
        <f>BA999+BZ999+CZ999+DT999+ET999</f>
        <v>106.99300699300699</v>
      </c>
      <c r="EY999" s="46">
        <f>BB999+CA999+DA999+DU999+EU999</f>
        <v>247500</v>
      </c>
      <c r="EZ999" s="16"/>
      <c r="FA999" s="16"/>
      <c r="FB999" s="16"/>
      <c r="FC999" s="16"/>
      <c r="FD999" s="16"/>
      <c r="FE999" s="16"/>
      <c r="FF999" s="16"/>
      <c r="FG999" s="16"/>
      <c r="FH999" s="16"/>
      <c r="FI999" s="16"/>
      <c r="FJ999" s="16"/>
      <c r="FK999" s="16">
        <f t="shared" si="916"/>
        <v>6.6</v>
      </c>
      <c r="FL999" s="16">
        <f t="shared" si="917"/>
        <v>7.44</v>
      </c>
      <c r="FM999" s="15">
        <v>6.6</v>
      </c>
      <c r="FN999" s="15">
        <v>0.01</v>
      </c>
      <c r="FO999" s="15">
        <f>FN999*SQRT(AR999)</f>
        <v>1.7320508075688773E-2</v>
      </c>
      <c r="FP999" s="15">
        <v>7.44</v>
      </c>
      <c r="FQ999" s="15">
        <v>0.02</v>
      </c>
      <c r="FR999" s="15">
        <f>FQ999*SQRT(AR999)</f>
        <v>3.4641016151377546E-2</v>
      </c>
      <c r="FS999" s="15">
        <f t="shared" si="918"/>
        <v>1.1272727272727274</v>
      </c>
      <c r="FT999" s="15">
        <f t="shared" si="919"/>
        <v>0.84000000000000075</v>
      </c>
      <c r="FU999" s="15">
        <f t="shared" si="920"/>
        <v>0.11980119981262094</v>
      </c>
      <c r="FV999" s="15">
        <f>((FR999*FR999)/(AR999*FP999*FP999)+(FO999*FO999)/(AR999*FM999*FM999))</f>
        <v>9.5219530466905375E-6</v>
      </c>
      <c r="HE999" s="15">
        <v>5.77</v>
      </c>
      <c r="HF999" s="15">
        <v>0.2</v>
      </c>
      <c r="HG999" s="15">
        <f>HF999*SQRT(AR999)</f>
        <v>0.34641016151377546</v>
      </c>
      <c r="HH999" s="15">
        <v>5.39</v>
      </c>
      <c r="HI999" s="15">
        <v>0.15</v>
      </c>
      <c r="HJ999" s="15">
        <f>HI999*SQRT(AR999)</f>
        <v>0.25980762113533157</v>
      </c>
      <c r="HK999" s="15">
        <f t="shared" si="862"/>
        <v>0.9341421143847487</v>
      </c>
      <c r="HL999" s="15">
        <f t="shared" si="863"/>
        <v>-0.37999999999999989</v>
      </c>
      <c r="HM999" s="15">
        <f t="shared" si="864"/>
        <v>-6.8126695599102449E-2</v>
      </c>
      <c r="HN999" s="15">
        <f>((HJ999*HJ999)/(AR999*HH999*HH999)+(HG999*HG999)/(AR999*HE999*HE999))</f>
        <v>1.975928060095083E-3</v>
      </c>
      <c r="HP999" s="15" t="s">
        <v>809</v>
      </c>
      <c r="HV999" s="15">
        <f t="shared" si="865"/>
        <v>-36329.371008456888</v>
      </c>
      <c r="HW999" s="15">
        <f t="shared" si="914"/>
        <v>-6.8126695599102449E-2</v>
      </c>
      <c r="HX999" s="15">
        <f>EY999</f>
        <v>247500</v>
      </c>
      <c r="HY999" s="15">
        <f t="shared" ref="HY999:IA1000" si="926">EW999</f>
        <v>90000</v>
      </c>
      <c r="HZ999" s="15">
        <f t="shared" si="926"/>
        <v>106.99300699300699</v>
      </c>
      <c r="IA999" s="15">
        <f t="shared" si="926"/>
        <v>247500</v>
      </c>
    </row>
    <row r="1000" spans="1:235" s="15" customFormat="1" x14ac:dyDescent="0.25">
      <c r="A1000" s="31">
        <v>998</v>
      </c>
      <c r="B1000" s="1">
        <v>165</v>
      </c>
      <c r="C1000" s="1">
        <v>189</v>
      </c>
      <c r="D1000" s="15" t="s">
        <v>2213</v>
      </c>
      <c r="E1000" s="1">
        <v>6</v>
      </c>
      <c r="F1000" s="15" t="s">
        <v>1155</v>
      </c>
      <c r="G1000" s="15" t="s">
        <v>2214</v>
      </c>
      <c r="H1000" s="15" t="s">
        <v>839</v>
      </c>
      <c r="I1000" s="1">
        <v>2020</v>
      </c>
      <c r="J1000" s="15" t="s">
        <v>2215</v>
      </c>
      <c r="K1000" s="1">
        <v>2018</v>
      </c>
      <c r="L1000" s="15" t="s">
        <v>2216</v>
      </c>
      <c r="M1000" s="15" t="s">
        <v>480</v>
      </c>
      <c r="N1000" s="15" t="s">
        <v>23</v>
      </c>
      <c r="O1000" s="31">
        <v>2</v>
      </c>
      <c r="P1000" s="15">
        <v>32.020000000000003</v>
      </c>
      <c r="Q1000" s="15">
        <v>119.04</v>
      </c>
      <c r="S1000" s="15">
        <v>1096</v>
      </c>
      <c r="T1000" s="15">
        <v>15.7</v>
      </c>
      <c r="U1000" s="15" t="s">
        <v>807</v>
      </c>
      <c r="V1000" s="31">
        <v>2</v>
      </c>
      <c r="W1000" s="16" t="s">
        <v>1170</v>
      </c>
      <c r="X1000" s="15" t="s">
        <v>2064</v>
      </c>
      <c r="Y1000" s="1">
        <v>5</v>
      </c>
      <c r="Z1000" s="15">
        <v>6.11</v>
      </c>
      <c r="AA1000" s="15" t="s">
        <v>573</v>
      </c>
      <c r="AB1000" s="15">
        <f t="shared" si="882"/>
        <v>6.11</v>
      </c>
      <c r="AC1000" s="1">
        <v>5</v>
      </c>
      <c r="AD1000" s="15">
        <f t="shared" si="915"/>
        <v>21.053999999999998</v>
      </c>
      <c r="AM1000" s="1">
        <v>1</v>
      </c>
      <c r="AP1000" s="15" t="s">
        <v>2016</v>
      </c>
      <c r="AQ1000" s="1">
        <v>9</v>
      </c>
      <c r="AR1000" s="1">
        <v>3</v>
      </c>
      <c r="BP1000" s="16"/>
      <c r="BQ1000" s="16"/>
      <c r="BR1000" s="16"/>
      <c r="BS1000" s="15">
        <v>2</v>
      </c>
      <c r="BT1000" s="15">
        <f>BS1000*10*2250</f>
        <v>45000</v>
      </c>
      <c r="BU1000" s="16" t="s">
        <v>766</v>
      </c>
      <c r="BY1000" s="15">
        <f>BT1000</f>
        <v>45000</v>
      </c>
      <c r="BZ1000" s="15">
        <f>BY1000/1.1/1000</f>
        <v>40.909090909090907</v>
      </c>
      <c r="CA1000" s="15">
        <f>BY1000*2</f>
        <v>90000</v>
      </c>
      <c r="CC1000" s="15" t="s">
        <v>1321</v>
      </c>
      <c r="CE1000" s="15">
        <v>3</v>
      </c>
      <c r="CF1000" s="15">
        <f t="shared" si="921"/>
        <v>67500</v>
      </c>
      <c r="CG1000" s="15" t="s">
        <v>766</v>
      </c>
      <c r="CH1000" s="15">
        <v>10.199999999999999</v>
      </c>
      <c r="CI1000" s="15">
        <v>500</v>
      </c>
      <c r="CK1000" s="15">
        <v>435</v>
      </c>
      <c r="CL1000" s="15">
        <v>8.6999999999999993</v>
      </c>
      <c r="CM1000" s="15">
        <v>2.4</v>
      </c>
      <c r="CO1000" s="15">
        <v>38.799999999999997</v>
      </c>
      <c r="CP1000" s="15">
        <v>14.7</v>
      </c>
      <c r="CQ1000" s="15">
        <v>6.53</v>
      </c>
      <c r="CY1000" s="25">
        <f t="shared" si="922"/>
        <v>67500</v>
      </c>
      <c r="CZ1000" s="25">
        <f t="shared" si="923"/>
        <v>86.538461538461533</v>
      </c>
      <c r="DA1000" s="25">
        <f t="shared" si="924"/>
        <v>202500</v>
      </c>
      <c r="EW1000" s="46">
        <f>AX1000+BT1000+CF1000+DE1000+DY1000</f>
        <v>112500</v>
      </c>
      <c r="EX1000" s="46">
        <f>BA1000+BZ1000+CZ1000+DT1000+ET1000</f>
        <v>127.44755244755244</v>
      </c>
      <c r="EY1000" s="46">
        <f>BB1000+CA1000+DA1000+DU1000+EU1000</f>
        <v>292500</v>
      </c>
      <c r="EZ1000" s="16"/>
      <c r="FA1000" s="16"/>
      <c r="FB1000" s="16"/>
      <c r="FC1000" s="16"/>
      <c r="FD1000" s="16"/>
      <c r="FE1000" s="16"/>
      <c r="FF1000" s="16"/>
      <c r="FG1000" s="16"/>
      <c r="FH1000" s="16"/>
      <c r="FI1000" s="16"/>
      <c r="FJ1000" s="16"/>
      <c r="FK1000" s="16">
        <f t="shared" si="916"/>
        <v>6.6</v>
      </c>
      <c r="FL1000" s="16">
        <f t="shared" si="917"/>
        <v>7.57</v>
      </c>
      <c r="FM1000" s="15">
        <v>6.6</v>
      </c>
      <c r="FN1000" s="15">
        <v>0.01</v>
      </c>
      <c r="FO1000" s="15">
        <f>FN1000*SQRT(AR1000)</f>
        <v>1.7320508075688773E-2</v>
      </c>
      <c r="FP1000" s="15">
        <v>7.57</v>
      </c>
      <c r="FQ1000" s="15">
        <v>0.02</v>
      </c>
      <c r="FR1000" s="15">
        <f>FQ1000*SQRT(AR1000)</f>
        <v>3.4641016151377546E-2</v>
      </c>
      <c r="FS1000" s="15">
        <f t="shared" si="918"/>
        <v>1.146969696969697</v>
      </c>
      <c r="FT1000" s="15">
        <f t="shared" si="919"/>
        <v>0.97000000000000064</v>
      </c>
      <c r="FU1000" s="15">
        <f t="shared" si="920"/>
        <v>0.13712341841697784</v>
      </c>
      <c r="FV1000" s="15">
        <f>((FR1000*FR1000)/(AR1000*FP1000*FP1000)+(FO1000*FO1000)/(AR1000*FM1000*FM1000))</f>
        <v>9.2758899950383975E-6</v>
      </c>
      <c r="HE1000" s="15">
        <v>5.77</v>
      </c>
      <c r="HF1000" s="15">
        <v>0.2</v>
      </c>
      <c r="HG1000" s="15">
        <f>HF1000*SQRT(AR1000)</f>
        <v>0.34641016151377546</v>
      </c>
      <c r="HH1000" s="15">
        <v>4.34</v>
      </c>
      <c r="HI1000" s="15">
        <v>0.18</v>
      </c>
      <c r="HJ1000" s="15">
        <f>HI1000*SQRT(AR1000)</f>
        <v>0.31176914536239786</v>
      </c>
      <c r="HK1000" s="15">
        <f t="shared" si="862"/>
        <v>0.75216637781629114</v>
      </c>
      <c r="HL1000" s="15">
        <f t="shared" si="863"/>
        <v>-1.4299999999999997</v>
      </c>
      <c r="HM1000" s="15">
        <f t="shared" si="864"/>
        <v>-0.28479773240769468</v>
      </c>
      <c r="HN1000" s="15">
        <f>((HJ1000*HJ1000)/(AR1000*HH1000*HH1000)+(HG1000*HG1000)/(AR1000*HE1000*HE1000))</f>
        <v>2.9216043235517413E-3</v>
      </c>
      <c r="HP1000" s="15" t="s">
        <v>809</v>
      </c>
      <c r="HV1000" s="15">
        <f t="shared" si="865"/>
        <v>-10270.446942368184</v>
      </c>
      <c r="HW1000" s="15">
        <f t="shared" si="914"/>
        <v>-0.28479773240769468</v>
      </c>
      <c r="HX1000" s="15">
        <f>EY1000</f>
        <v>292500</v>
      </c>
      <c r="HY1000" s="15">
        <f t="shared" si="926"/>
        <v>112500</v>
      </c>
      <c r="HZ1000" s="15">
        <f t="shared" si="926"/>
        <v>127.44755244755244</v>
      </c>
      <c r="IA1000" s="15">
        <f t="shared" si="926"/>
        <v>292500</v>
      </c>
    </row>
    <row r="1001" spans="1:235" s="15" customFormat="1" x14ac:dyDescent="0.25">
      <c r="A1001" s="31">
        <v>999</v>
      </c>
      <c r="B1001" s="1">
        <v>166</v>
      </c>
      <c r="C1001" s="1">
        <v>190</v>
      </c>
      <c r="D1001" s="15" t="s">
        <v>2219</v>
      </c>
      <c r="E1001" s="31">
        <v>2</v>
      </c>
      <c r="F1001" s="15" t="s">
        <v>777</v>
      </c>
      <c r="G1001" s="15" t="s">
        <v>2217</v>
      </c>
      <c r="H1001" s="15" t="s">
        <v>2218</v>
      </c>
      <c r="I1001" s="1">
        <v>2013</v>
      </c>
      <c r="J1001" s="15" t="s">
        <v>2225</v>
      </c>
      <c r="K1001" s="1" t="s">
        <v>1586</v>
      </c>
      <c r="L1001" s="15" t="s">
        <v>1525</v>
      </c>
      <c r="M1001" s="15" t="s">
        <v>480</v>
      </c>
      <c r="N1001" s="15" t="s">
        <v>23</v>
      </c>
      <c r="O1001" s="31">
        <v>2</v>
      </c>
      <c r="P1001" s="15">
        <v>30.5</v>
      </c>
      <c r="Q1001" s="15">
        <v>120.28</v>
      </c>
      <c r="S1001" s="15">
        <v>1490</v>
      </c>
      <c r="T1001" s="15">
        <v>17.2</v>
      </c>
      <c r="U1001" s="15" t="s">
        <v>549</v>
      </c>
      <c r="V1001" s="31">
        <v>1</v>
      </c>
      <c r="W1001" s="16" t="s">
        <v>1153</v>
      </c>
      <c r="X1001" s="15" t="s">
        <v>689</v>
      </c>
      <c r="Y1001" s="1">
        <v>1</v>
      </c>
      <c r="Z1001" s="15">
        <v>5.2</v>
      </c>
      <c r="AA1001" s="15" t="s">
        <v>573</v>
      </c>
      <c r="AB1001" s="15">
        <f t="shared" si="882"/>
        <v>5.2</v>
      </c>
      <c r="AC1001" s="1">
        <v>3</v>
      </c>
      <c r="AD1001" s="15">
        <f t="shared" ref="AD1001:AD1006" si="927">20.6*1.74</f>
        <v>35.844000000000001</v>
      </c>
      <c r="AJ1001" s="15">
        <v>4</v>
      </c>
      <c r="AK1001" s="15">
        <v>23</v>
      </c>
      <c r="AL1001" s="15">
        <v>73</v>
      </c>
      <c r="AM1001" s="1">
        <v>3</v>
      </c>
      <c r="AP1001" s="15" t="s">
        <v>1185</v>
      </c>
      <c r="AQ1001" s="1">
        <v>3</v>
      </c>
      <c r="AR1001" s="1">
        <v>3</v>
      </c>
      <c r="BP1001" s="16"/>
      <c r="BQ1001" s="16"/>
      <c r="BR1001" s="16"/>
      <c r="BU1001" s="16"/>
      <c r="CC1001" s="15" t="s">
        <v>1321</v>
      </c>
      <c r="CE1001" s="15">
        <v>22.5</v>
      </c>
      <c r="CF1001" s="15">
        <f>CE1001*1000/2</f>
        <v>11250</v>
      </c>
      <c r="CG1001" s="15" t="s">
        <v>766</v>
      </c>
      <c r="CH1001" s="15">
        <v>10.199999999999999</v>
      </c>
      <c r="CJ1001" s="15">
        <v>44.7</v>
      </c>
      <c r="CK1001" s="15">
        <v>513</v>
      </c>
      <c r="CL1001" s="15">
        <v>10.7</v>
      </c>
      <c r="CM1001" s="15">
        <v>1.7</v>
      </c>
      <c r="CO1001" s="15">
        <v>3.8</v>
      </c>
      <c r="CP1001" s="15">
        <v>3.6</v>
      </c>
      <c r="CQ1001" s="15">
        <v>1.2</v>
      </c>
      <c r="CV1001" s="15">
        <v>151.69999999999999</v>
      </c>
      <c r="CW1001" s="15">
        <v>38.1</v>
      </c>
      <c r="CY1001" s="25">
        <f t="shared" si="922"/>
        <v>11250</v>
      </c>
      <c r="CZ1001" s="25">
        <f t="shared" si="923"/>
        <v>14.423076923076922</v>
      </c>
      <c r="DA1001" s="25">
        <f t="shared" si="924"/>
        <v>33750</v>
      </c>
      <c r="EZ1001" s="16"/>
      <c r="FA1001" s="16"/>
      <c r="FB1001" s="16"/>
      <c r="FC1001" s="16"/>
      <c r="FD1001" s="16"/>
      <c r="FE1001" s="16"/>
      <c r="FF1001" s="16"/>
      <c r="FG1001" s="16"/>
      <c r="FH1001" s="16"/>
      <c r="FI1001" s="16"/>
      <c r="FJ1001" s="16"/>
      <c r="FK1001" s="16">
        <f t="shared" si="916"/>
        <v>5.04</v>
      </c>
      <c r="FL1001" s="16">
        <f t="shared" si="917"/>
        <v>5.05</v>
      </c>
      <c r="FM1001" s="15">
        <v>5.04</v>
      </c>
      <c r="FN1001" s="15">
        <v>0.04</v>
      </c>
      <c r="FO1001" s="15">
        <f>FN1001*SQRT(AR1001)</f>
        <v>6.9282032302755092E-2</v>
      </c>
      <c r="FP1001" s="15">
        <v>5.05</v>
      </c>
      <c r="FQ1001" s="15">
        <v>0.1</v>
      </c>
      <c r="FR1001" s="15">
        <f>FQ1001*SQRT(AR1001)</f>
        <v>0.17320508075688773</v>
      </c>
      <c r="FS1001" s="15">
        <f t="shared" si="918"/>
        <v>1.001984126984127</v>
      </c>
      <c r="FT1001" s="15">
        <f t="shared" si="919"/>
        <v>9.9999999999997868E-3</v>
      </c>
      <c r="FU1001" s="15">
        <f t="shared" si="920"/>
        <v>1.9821612039911951E-3</v>
      </c>
      <c r="FV1001" s="15">
        <f>((FR1001*FR1001)/(AR1001*FP1001*FP1001)+(FO1001*FO1001)/(AR1001*FM1001*FM1001))</f>
        <v>4.5510657798902187E-4</v>
      </c>
      <c r="FX1001" s="15">
        <v>38.123399999999997</v>
      </c>
      <c r="FY1001" s="15">
        <v>1.1499999999999999</v>
      </c>
      <c r="FZ1001" s="15">
        <f>FY1001*SQRT(AR1001)</f>
        <v>1.9918584287042087</v>
      </c>
      <c r="GA1001" s="15">
        <v>49.694399999999995</v>
      </c>
      <c r="GB1001" s="15">
        <v>5.37</v>
      </c>
      <c r="GC1001" s="15">
        <f>GB1001*SQRT(AR1001)</f>
        <v>9.3011128366448705</v>
      </c>
      <c r="GD1001" s="15">
        <f t="shared" ref="GD1001:GD1006" si="928">GA1001/FX1001</f>
        <v>1.3035143769968052</v>
      </c>
      <c r="GE1001" s="15">
        <f t="shared" ref="GE1001:GE1006" si="929">GA1001-FX1001</f>
        <v>11.570999999999998</v>
      </c>
      <c r="GF1001" s="15">
        <f t="shared" ref="GF1001:GF1006" si="930">LN(GA1001)-LN(FX1001)</f>
        <v>0.26506398386400853</v>
      </c>
      <c r="GG1001" s="15">
        <f>((GC1001*GC1001)/(AR1001*GA1001*GA1001)+(FZ1001*FZ1001)/(AR1001*FX1001*FX1001))</f>
        <v>1.2587003531941959E-2</v>
      </c>
      <c r="GI1001" s="15">
        <v>7.77</v>
      </c>
      <c r="GJ1001" s="15">
        <v>0.24</v>
      </c>
      <c r="GK1001" s="15">
        <f>GJ1001*SQRT(AR1001)</f>
        <v>0.4156921938165305</v>
      </c>
      <c r="GL1001" s="15">
        <v>7.76</v>
      </c>
      <c r="GM1001" s="15">
        <v>0.24</v>
      </c>
      <c r="GN1001" s="15">
        <f>GM1001*SQRT(AR1001)</f>
        <v>0.4156921938165305</v>
      </c>
      <c r="GO1001" s="15">
        <f t="shared" ref="GO1001:GO1006" si="931">GL1001/GI1001</f>
        <v>0.99871299871299879</v>
      </c>
      <c r="GP1001" s="15">
        <f t="shared" ref="GP1001:GP1006" si="932">GL1001-GI1001</f>
        <v>-9.9999999999997868E-3</v>
      </c>
      <c r="GQ1001" s="15">
        <f t="shared" ref="GQ1001:GQ1006" si="933">LN(GL1001)-LN(GI1001)</f>
        <v>-1.2878301844287954E-3</v>
      </c>
      <c r="GR1001" s="15">
        <f>((GN1001*GN1001)/(AR1001*GL1001*GL1001)+(GK1001*GK1001)/(AR1001*GI1001*GI1001))</f>
        <v>1.9106014331156114E-3</v>
      </c>
      <c r="GT1001" s="15">
        <v>34.559284559284556</v>
      </c>
      <c r="GU1001" s="15">
        <f t="shared" ref="GU1001:GU1006" si="934">GT1001*0.05</f>
        <v>1.727964227964228</v>
      </c>
      <c r="GV1001" s="15">
        <f>GU1001*SQRT(AR1001)</f>
        <v>2.9929218364955723</v>
      </c>
      <c r="GW1001" s="15">
        <v>31.051744647105476</v>
      </c>
      <c r="GX1001" s="15">
        <f t="shared" ref="GX1001:GX1006" si="935">GW1001*0.05</f>
        <v>1.5525872323552738</v>
      </c>
      <c r="GY1001" s="15">
        <f>GX1001*SQRT(AR1001)</f>
        <v>2.68915996962208</v>
      </c>
      <c r="GZ1001" s="15">
        <f t="shared" ref="GZ1001:GZ1006" si="936">GW1001/GT1001</f>
        <v>0.89850658203985423</v>
      </c>
      <c r="HA1001" s="15">
        <f t="shared" ref="HA1001:HA1006" si="937">GW1001-GT1001</f>
        <v>-3.5075399121790802</v>
      </c>
      <c r="HB1001" s="15">
        <f t="shared" ref="HB1001:HB1006" si="938">LN(GW1001)-LN(GT1001)</f>
        <v>-0.10702124719842798</v>
      </c>
      <c r="HE1001" s="15">
        <v>10528</v>
      </c>
      <c r="HF1001" s="15">
        <v>4000</v>
      </c>
      <c r="HG1001" s="15">
        <f>HF1001*SQRT(AR1001)</f>
        <v>6928.2032302755088</v>
      </c>
      <c r="HH1001" s="15">
        <v>10867</v>
      </c>
      <c r="HI1001" s="15">
        <v>1000</v>
      </c>
      <c r="HJ1001" s="15">
        <f>HI1001*SQRT(AR1001)</f>
        <v>1732.0508075688772</v>
      </c>
      <c r="HK1001" s="15">
        <f t="shared" si="862"/>
        <v>1.0321998480243162</v>
      </c>
      <c r="HL1001" s="15">
        <f t="shared" si="863"/>
        <v>339</v>
      </c>
      <c r="HM1001" s="15">
        <f t="shared" si="864"/>
        <v>3.1692299497754206E-2</v>
      </c>
      <c r="HN1001" s="15">
        <f>((HJ1001*HJ1001)/(AR1001*HH1001*HH1001)+(HG1001*HG1001)/(AR1001*HE1001*HE1001))</f>
        <v>0.15282179951023259</v>
      </c>
      <c r="HP1001" s="15" t="s">
        <v>766</v>
      </c>
      <c r="HV1001" s="15">
        <f t="shared" si="865"/>
        <v>10649.274598200616</v>
      </c>
      <c r="HW1001" s="15">
        <f t="shared" si="914"/>
        <v>3.1692299497754206E-2</v>
      </c>
      <c r="HX1001" s="25">
        <f>DA1001</f>
        <v>33750</v>
      </c>
      <c r="HY1001" s="25">
        <f t="shared" ref="HY1001:IA1002" si="939">CY1001</f>
        <v>11250</v>
      </c>
      <c r="HZ1001" s="25">
        <f t="shared" si="939"/>
        <v>14.423076923076922</v>
      </c>
      <c r="IA1001" s="25">
        <f t="shared" si="939"/>
        <v>33750</v>
      </c>
    </row>
    <row r="1002" spans="1:235" s="15" customFormat="1" x14ac:dyDescent="0.25">
      <c r="A1002" s="31">
        <v>1000</v>
      </c>
      <c r="B1002" s="1">
        <v>166</v>
      </c>
      <c r="C1002" s="1">
        <v>190</v>
      </c>
      <c r="D1002" s="15" t="s">
        <v>2220</v>
      </c>
      <c r="E1002" s="31">
        <v>2</v>
      </c>
      <c r="F1002" s="15" t="s">
        <v>777</v>
      </c>
      <c r="G1002" s="15" t="s">
        <v>2217</v>
      </c>
      <c r="H1002" s="15" t="s">
        <v>2218</v>
      </c>
      <c r="I1002" s="1">
        <v>2013</v>
      </c>
      <c r="J1002" s="15" t="s">
        <v>2225</v>
      </c>
      <c r="K1002" s="1" t="s">
        <v>1586</v>
      </c>
      <c r="L1002" s="15" t="s">
        <v>1525</v>
      </c>
      <c r="M1002" s="15" t="s">
        <v>480</v>
      </c>
      <c r="N1002" s="15" t="s">
        <v>23</v>
      </c>
      <c r="O1002" s="31">
        <v>2</v>
      </c>
      <c r="P1002" s="15">
        <v>30.5</v>
      </c>
      <c r="Q1002" s="15">
        <v>120.28</v>
      </c>
      <c r="S1002" s="15">
        <v>1490</v>
      </c>
      <c r="T1002" s="15">
        <v>17.2</v>
      </c>
      <c r="U1002" s="15" t="s">
        <v>549</v>
      </c>
      <c r="V1002" s="31">
        <v>1</v>
      </c>
      <c r="W1002" s="16" t="s">
        <v>1153</v>
      </c>
      <c r="X1002" s="15" t="s">
        <v>689</v>
      </c>
      <c r="Y1002" s="1">
        <v>1</v>
      </c>
      <c r="Z1002" s="15">
        <v>5.2</v>
      </c>
      <c r="AA1002" s="15" t="s">
        <v>573</v>
      </c>
      <c r="AB1002" s="15">
        <f t="shared" si="882"/>
        <v>5.2</v>
      </c>
      <c r="AC1002" s="1">
        <v>3</v>
      </c>
      <c r="AD1002" s="15">
        <f t="shared" si="927"/>
        <v>35.844000000000001</v>
      </c>
      <c r="AJ1002" s="15">
        <v>4</v>
      </c>
      <c r="AK1002" s="15">
        <v>23</v>
      </c>
      <c r="AL1002" s="15">
        <v>73</v>
      </c>
      <c r="AM1002" s="1">
        <v>3</v>
      </c>
      <c r="AP1002" s="15" t="s">
        <v>1185</v>
      </c>
      <c r="AQ1002" s="1">
        <v>3</v>
      </c>
      <c r="AR1002" s="1">
        <v>3</v>
      </c>
      <c r="BP1002" s="16"/>
      <c r="BQ1002" s="16"/>
      <c r="BR1002" s="16"/>
      <c r="BU1002" s="16"/>
      <c r="CC1002" s="15" t="s">
        <v>2226</v>
      </c>
      <c r="CE1002" s="15">
        <v>22.5</v>
      </c>
      <c r="CF1002" s="15">
        <f>CE1002*1000/2</f>
        <v>11250</v>
      </c>
      <c r="CG1002" s="15" t="s">
        <v>766</v>
      </c>
      <c r="CH1002" s="15">
        <v>99.81</v>
      </c>
      <c r="CJ1002" s="15">
        <v>15.3</v>
      </c>
      <c r="CK1002" s="15">
        <v>832</v>
      </c>
      <c r="CL1002" s="15">
        <v>5.9</v>
      </c>
      <c r="CM1002" s="15">
        <v>0.08</v>
      </c>
      <c r="CO1002" s="15">
        <v>2.6</v>
      </c>
      <c r="CP1002" s="15">
        <v>0.13</v>
      </c>
      <c r="CQ1002" s="15">
        <v>0.19</v>
      </c>
      <c r="CV1002" s="15">
        <v>122.9</v>
      </c>
      <c r="CW1002" s="15">
        <v>6.2</v>
      </c>
      <c r="CY1002" s="25">
        <f t="shared" si="922"/>
        <v>11250</v>
      </c>
      <c r="CZ1002" s="25">
        <f t="shared" si="923"/>
        <v>14.423076923076922</v>
      </c>
      <c r="DA1002" s="25">
        <f t="shared" si="924"/>
        <v>33750</v>
      </c>
      <c r="EZ1002" s="16"/>
      <c r="FA1002" s="16"/>
      <c r="FB1002" s="16"/>
      <c r="FC1002" s="16"/>
      <c r="FD1002" s="16"/>
      <c r="FE1002" s="16"/>
      <c r="FF1002" s="16"/>
      <c r="FG1002" s="16"/>
      <c r="FH1002" s="16"/>
      <c r="FI1002" s="16"/>
      <c r="FJ1002" s="16"/>
      <c r="FK1002" s="16">
        <f t="shared" si="916"/>
        <v>5.04</v>
      </c>
      <c r="FL1002" s="16">
        <f t="shared" si="917"/>
        <v>5.34</v>
      </c>
      <c r="FM1002" s="15">
        <v>5.04</v>
      </c>
      <c r="FN1002" s="15">
        <v>0.04</v>
      </c>
      <c r="FO1002" s="15">
        <f>FN1002*SQRT(AR1002)</f>
        <v>6.9282032302755092E-2</v>
      </c>
      <c r="FP1002" s="15">
        <v>5.34</v>
      </c>
      <c r="FQ1002" s="15">
        <v>0.15</v>
      </c>
      <c r="FR1002" s="15">
        <f>FQ1002*SQRT(AR1002)</f>
        <v>0.25980762113533157</v>
      </c>
      <c r="FS1002" s="15">
        <f t="shared" si="918"/>
        <v>1.0595238095238095</v>
      </c>
      <c r="FT1002" s="15">
        <f t="shared" si="919"/>
        <v>0.29999999999999982</v>
      </c>
      <c r="FU1002" s="15">
        <f t="shared" si="920"/>
        <v>5.7819570888826277E-2</v>
      </c>
      <c r="FV1002" s="15">
        <f>((FR1002*FR1002)/(AR1002*FP1002*FP1002)+(FO1002*FO1002)/(AR1002*FM1002*FM1002))</f>
        <v>8.5202994587932747E-4</v>
      </c>
      <c r="FX1002" s="15">
        <v>38.123399999999997</v>
      </c>
      <c r="FY1002" s="15">
        <v>1.1499999999999999</v>
      </c>
      <c r="FZ1002" s="15">
        <f>FY1002*SQRT(AR1002)</f>
        <v>1.9918584287042087</v>
      </c>
      <c r="GA1002" s="15">
        <v>39.828600000000002</v>
      </c>
      <c r="GB1002" s="15">
        <v>0.09</v>
      </c>
      <c r="GC1002" s="15">
        <f>GB1002*SQRT(AR1002)</f>
        <v>0.15588457268119893</v>
      </c>
      <c r="GD1002" s="15">
        <f t="shared" si="928"/>
        <v>1.0447284345047925</v>
      </c>
      <c r="GE1002" s="15">
        <f t="shared" si="929"/>
        <v>1.7052000000000049</v>
      </c>
      <c r="GF1002" s="15">
        <f t="shared" si="930"/>
        <v>4.3756980357100073E-2</v>
      </c>
      <c r="GG1002" s="15">
        <f>((GC1002*GC1002)/(AR1002*GA1002*GA1002)+(FZ1002*FZ1002)/(AR1002*FX1002*FX1002))</f>
        <v>9.1504547978935415E-4</v>
      </c>
      <c r="GI1002" s="15">
        <v>7.77</v>
      </c>
      <c r="GJ1002" s="15">
        <v>0.24</v>
      </c>
      <c r="GK1002" s="15">
        <f>GJ1002*SQRT(AR1002)</f>
        <v>0.4156921938165305</v>
      </c>
      <c r="GL1002" s="15">
        <v>8.59</v>
      </c>
      <c r="GM1002" s="15">
        <v>0.43</v>
      </c>
      <c r="GN1002" s="15">
        <f>GM1002*SQRT(AR1002)</f>
        <v>0.74478184725461716</v>
      </c>
      <c r="GO1002" s="15">
        <f t="shared" si="931"/>
        <v>1.1055341055341055</v>
      </c>
      <c r="GP1002" s="15">
        <f t="shared" si="932"/>
        <v>0.82000000000000028</v>
      </c>
      <c r="GQ1002" s="15">
        <f t="shared" si="933"/>
        <v>0.10032857161660802</v>
      </c>
      <c r="GR1002" s="15">
        <f>((GN1002*GN1002)/(AR1002*GL1002*GL1002)+(GK1002*GK1002)/(AR1002*GI1002*GI1002))</f>
        <v>3.4598945619896408E-3</v>
      </c>
      <c r="GT1002" s="15">
        <v>34.559284559284556</v>
      </c>
      <c r="GU1002" s="15">
        <f t="shared" si="934"/>
        <v>1.727964227964228</v>
      </c>
      <c r="GV1002" s="15">
        <f>GU1002*SQRT(AR1002)</f>
        <v>2.9929218364955723</v>
      </c>
      <c r="GW1002" s="15">
        <v>34.772096355332678</v>
      </c>
      <c r="GX1002" s="15">
        <f t="shared" si="935"/>
        <v>1.738604817766634</v>
      </c>
      <c r="GY1002" s="15">
        <f>GX1002*SQRT(AR1002)</f>
        <v>3.0113518786558391</v>
      </c>
      <c r="GZ1002" s="15">
        <f t="shared" si="936"/>
        <v>1.0061578762049619</v>
      </c>
      <c r="HA1002" s="15">
        <f t="shared" si="937"/>
        <v>0.21281179604812195</v>
      </c>
      <c r="HB1002" s="15">
        <f t="shared" si="938"/>
        <v>6.1389939619789224E-3</v>
      </c>
      <c r="HE1002" s="15">
        <v>10528</v>
      </c>
      <c r="HF1002" s="15">
        <v>4000</v>
      </c>
      <c r="HG1002" s="15">
        <f>HF1002*SQRT(AR1002)</f>
        <v>6928.2032302755088</v>
      </c>
      <c r="HH1002" s="15">
        <v>11967</v>
      </c>
      <c r="HI1002" s="15">
        <v>1986</v>
      </c>
      <c r="HJ1002" s="15">
        <f>HI1002*SQRT(AR1002)</f>
        <v>3439.8529038317902</v>
      </c>
      <c r="HK1002" s="15">
        <f t="shared" si="862"/>
        <v>1.1366831306990881</v>
      </c>
      <c r="HL1002" s="15">
        <f t="shared" si="863"/>
        <v>1439</v>
      </c>
      <c r="HM1002" s="15">
        <f t="shared" si="864"/>
        <v>0.12811448700841765</v>
      </c>
      <c r="HN1002" s="15">
        <f>((HJ1002*HJ1002)/(AR1002*HH1002*HH1002)+(HG1002*HG1002)/(AR1002*HE1002*HE1002))</f>
        <v>0.17189532316523626</v>
      </c>
      <c r="HP1002" s="15" t="s">
        <v>766</v>
      </c>
      <c r="HV1002" s="15">
        <f t="shared" si="865"/>
        <v>2634.3624978010866</v>
      </c>
      <c r="HW1002" s="15">
        <f t="shared" si="914"/>
        <v>0.12811448700841765</v>
      </c>
      <c r="HX1002" s="25">
        <f>DA1002</f>
        <v>33750</v>
      </c>
      <c r="HY1002" s="25">
        <f t="shared" si="939"/>
        <v>11250</v>
      </c>
      <c r="HZ1002" s="25">
        <f t="shared" si="939"/>
        <v>14.423076923076922</v>
      </c>
      <c r="IA1002" s="25">
        <f t="shared" si="939"/>
        <v>33750</v>
      </c>
    </row>
    <row r="1003" spans="1:235" s="15" customFormat="1" x14ac:dyDescent="0.25">
      <c r="A1003" s="31">
        <v>1001</v>
      </c>
      <c r="B1003" s="1">
        <v>166</v>
      </c>
      <c r="C1003" s="1">
        <v>190</v>
      </c>
      <c r="D1003" s="15" t="s">
        <v>2221</v>
      </c>
      <c r="E1003" s="1">
        <v>5</v>
      </c>
      <c r="F1003" s="15" t="s">
        <v>798</v>
      </c>
      <c r="G1003" s="15" t="s">
        <v>2217</v>
      </c>
      <c r="H1003" s="15" t="s">
        <v>2218</v>
      </c>
      <c r="I1003" s="1">
        <v>2013</v>
      </c>
      <c r="J1003" s="15" t="s">
        <v>2225</v>
      </c>
      <c r="K1003" s="1" t="s">
        <v>1586</v>
      </c>
      <c r="L1003" s="15" t="s">
        <v>1525</v>
      </c>
      <c r="M1003" s="15" t="s">
        <v>480</v>
      </c>
      <c r="N1003" s="15" t="s">
        <v>23</v>
      </c>
      <c r="O1003" s="31">
        <v>2</v>
      </c>
      <c r="P1003" s="15">
        <v>30.5</v>
      </c>
      <c r="Q1003" s="15">
        <v>120.28</v>
      </c>
      <c r="S1003" s="15">
        <v>1490</v>
      </c>
      <c r="T1003" s="15">
        <v>17.2</v>
      </c>
      <c r="U1003" s="15" t="s">
        <v>549</v>
      </c>
      <c r="V1003" s="31">
        <v>1</v>
      </c>
      <c r="W1003" s="16" t="s">
        <v>1153</v>
      </c>
      <c r="X1003" s="15" t="s">
        <v>689</v>
      </c>
      <c r="Y1003" s="1">
        <v>1</v>
      </c>
      <c r="Z1003" s="15">
        <v>5.2</v>
      </c>
      <c r="AA1003" s="15" t="s">
        <v>573</v>
      </c>
      <c r="AB1003" s="15">
        <f t="shared" si="882"/>
        <v>5.2</v>
      </c>
      <c r="AC1003" s="1">
        <v>3</v>
      </c>
      <c r="AD1003" s="15">
        <f t="shared" si="927"/>
        <v>35.844000000000001</v>
      </c>
      <c r="AJ1003" s="15">
        <v>4</v>
      </c>
      <c r="AK1003" s="15">
        <v>23</v>
      </c>
      <c r="AL1003" s="15">
        <v>73</v>
      </c>
      <c r="AM1003" s="1">
        <v>3</v>
      </c>
      <c r="AP1003" s="15" t="s">
        <v>1185</v>
      </c>
      <c r="AQ1003" s="1">
        <v>3</v>
      </c>
      <c r="AR1003" s="1">
        <v>3</v>
      </c>
      <c r="BP1003" s="16"/>
      <c r="BQ1003" s="16"/>
      <c r="BR1003" s="16"/>
      <c r="BU1003" s="16"/>
      <c r="DB1003" s="15" t="s">
        <v>1321</v>
      </c>
      <c r="DD1003" s="15">
        <v>6000</v>
      </c>
      <c r="DE1003" s="15">
        <v>6000</v>
      </c>
      <c r="DF1003" s="15" t="s">
        <v>766</v>
      </c>
      <c r="DJ1003" s="15">
        <v>390</v>
      </c>
      <c r="DK1003" s="15">
        <v>7.7</v>
      </c>
      <c r="DS1003" s="15">
        <f>DE1003</f>
        <v>6000</v>
      </c>
      <c r="DT1003" s="15">
        <f>DS1003/0.6/1000</f>
        <v>10</v>
      </c>
      <c r="DU1003" s="15">
        <f>DS1003*0.2</f>
        <v>1200</v>
      </c>
      <c r="EZ1003" s="16"/>
      <c r="FA1003" s="16"/>
      <c r="FB1003" s="16"/>
      <c r="FC1003" s="16"/>
      <c r="FD1003" s="16"/>
      <c r="FE1003" s="16"/>
      <c r="FF1003" s="16"/>
      <c r="FG1003" s="16"/>
      <c r="FH1003" s="16"/>
      <c r="FI1003" s="16"/>
      <c r="FJ1003" s="16"/>
      <c r="FK1003" s="16">
        <f t="shared" si="916"/>
        <v>5.04</v>
      </c>
      <c r="FL1003" s="16">
        <f t="shared" si="917"/>
        <v>4.99</v>
      </c>
      <c r="FM1003" s="15">
        <v>5.04</v>
      </c>
      <c r="FN1003" s="15">
        <v>0.04</v>
      </c>
      <c r="FO1003" s="15">
        <f>FN1003*SQRT(AR1003)</f>
        <v>6.9282032302755092E-2</v>
      </c>
      <c r="FP1003" s="15">
        <v>4.99</v>
      </c>
      <c r="FQ1003" s="15">
        <v>7.0000000000000007E-2</v>
      </c>
      <c r="FR1003" s="15">
        <f>FQ1003*SQRT(AR1003)</f>
        <v>0.12124355652982141</v>
      </c>
      <c r="FS1003" s="15">
        <f t="shared" si="918"/>
        <v>0.99007936507936511</v>
      </c>
      <c r="FT1003" s="15">
        <f t="shared" si="919"/>
        <v>-4.9999999999999822E-2</v>
      </c>
      <c r="FU1003" s="15">
        <f t="shared" si="920"/>
        <v>-9.9701723198497572E-3</v>
      </c>
      <c r="FV1003" s="15">
        <f>((FR1003*FR1003)/(AR1003*FP1003*FP1003)+(FO1003*FO1003)/(AR1003*FM1003*FM1003))</f>
        <v>2.5977451651397113E-4</v>
      </c>
      <c r="FX1003" s="15">
        <v>38.123399999999997</v>
      </c>
      <c r="FY1003" s="15">
        <v>1.1499999999999999</v>
      </c>
      <c r="FZ1003" s="15">
        <f>FY1003*SQRT(AR1003)</f>
        <v>1.9918584287042087</v>
      </c>
      <c r="GA1003" s="15">
        <v>39.759</v>
      </c>
      <c r="GB1003" s="15">
        <v>1.1200000000000001</v>
      </c>
      <c r="GC1003" s="15">
        <f>GB1003*SQRT(AR1003)</f>
        <v>1.9398969044771426</v>
      </c>
      <c r="GD1003" s="15">
        <f t="shared" si="928"/>
        <v>1.0429027841168417</v>
      </c>
      <c r="GE1003" s="15">
        <f t="shared" si="929"/>
        <v>1.6356000000000037</v>
      </c>
      <c r="GF1003" s="15">
        <f t="shared" si="930"/>
        <v>4.2007963732838771E-2</v>
      </c>
      <c r="GG1003" s="15">
        <f>((GC1003*GC1003)/(AR1003*GA1003*GA1003)+(FZ1003*FZ1003)/(AR1003*FX1003*FX1003))</f>
        <v>1.7034725838531079E-3</v>
      </c>
      <c r="GI1003" s="15">
        <v>7.77</v>
      </c>
      <c r="GJ1003" s="15">
        <v>0.24</v>
      </c>
      <c r="GK1003" s="15">
        <f>GJ1003*SQRT(AR1003)</f>
        <v>0.4156921938165305</v>
      </c>
      <c r="GL1003" s="15">
        <v>7.62</v>
      </c>
      <c r="GM1003" s="15">
        <v>0.35</v>
      </c>
      <c r="GN1003" s="15">
        <f>GM1003*SQRT(AR1003)</f>
        <v>0.60621778264910697</v>
      </c>
      <c r="GO1003" s="15">
        <f t="shared" si="931"/>
        <v>0.98069498069498073</v>
      </c>
      <c r="GP1003" s="15">
        <f t="shared" si="932"/>
        <v>-0.14999999999999947</v>
      </c>
      <c r="GQ1003" s="15">
        <f t="shared" si="933"/>
        <v>-1.9493794681001209E-2</v>
      </c>
      <c r="GR1003" s="15">
        <f>((GN1003*GN1003)/(AR1003*GL1003*GL1003)+(GK1003*GK1003)/(AR1003*GI1003*GI1003))</f>
        <v>3.0637968938150551E-3</v>
      </c>
      <c r="GT1003" s="15">
        <v>34.559284559284556</v>
      </c>
      <c r="GU1003" s="15">
        <f t="shared" si="934"/>
        <v>1.727964227964228</v>
      </c>
      <c r="GV1003" s="15">
        <f>GU1003*SQRT(AR1003)</f>
        <v>2.9929218364955723</v>
      </c>
      <c r="GW1003" s="15">
        <v>32.036139713305069</v>
      </c>
      <c r="GX1003" s="15">
        <f t="shared" si="935"/>
        <v>1.6018069856652535</v>
      </c>
      <c r="GY1003" s="15">
        <f>GX1003*SQRT(AR1003)</f>
        <v>2.7744110830909712</v>
      </c>
      <c r="GZ1003" s="15">
        <f t="shared" si="936"/>
        <v>0.92699082523970744</v>
      </c>
      <c r="HA1003" s="15">
        <f t="shared" si="937"/>
        <v>-2.5231448459794876</v>
      </c>
      <c r="HB1003" s="15">
        <f t="shared" si="938"/>
        <v>-7.5811610725554424E-2</v>
      </c>
      <c r="HE1003" s="15">
        <v>10528</v>
      </c>
      <c r="HF1003" s="15">
        <v>4000</v>
      </c>
      <c r="HG1003" s="15">
        <f>HF1003*SQRT(AR1003)</f>
        <v>6928.2032302755088</v>
      </c>
      <c r="HH1003" s="15">
        <v>10972</v>
      </c>
      <c r="HI1003" s="15">
        <v>1523</v>
      </c>
      <c r="HJ1003" s="15">
        <f>HI1003*SQRT(AR1003)</f>
        <v>2637.9133799274</v>
      </c>
      <c r="HK1003" s="15">
        <f t="shared" si="862"/>
        <v>1.0421732522796352</v>
      </c>
      <c r="HL1003" s="15">
        <f t="shared" si="863"/>
        <v>444</v>
      </c>
      <c r="HM1003" s="15">
        <f t="shared" si="864"/>
        <v>4.1308198492396642E-2</v>
      </c>
      <c r="HN1003" s="15">
        <f>((HJ1003*HJ1003)/(AR1003*HH1003*HH1003)+(HG1003*HG1003)/(AR1003*HE1003*HE1003))</f>
        <v>0.16362142913571032</v>
      </c>
      <c r="HP1003" s="15" t="s">
        <v>766</v>
      </c>
      <c r="HV1003" s="15">
        <f t="shared" si="865"/>
        <v>290.49923351677438</v>
      </c>
      <c r="HW1003" s="15">
        <f t="shared" si="914"/>
        <v>4.1308198492396642E-2</v>
      </c>
      <c r="HX1003" s="15">
        <f>DU1003</f>
        <v>1200</v>
      </c>
      <c r="HY1003" s="15">
        <f>DS1003</f>
        <v>6000</v>
      </c>
      <c r="HZ1003" s="15">
        <f>DT1003</f>
        <v>10</v>
      </c>
      <c r="IA1003" s="15">
        <f>DU1003</f>
        <v>1200</v>
      </c>
    </row>
    <row r="1004" spans="1:235" s="15" customFormat="1" x14ac:dyDescent="0.25">
      <c r="A1004" s="31">
        <v>1002</v>
      </c>
      <c r="B1004" s="1">
        <v>166</v>
      </c>
      <c r="C1004" s="1">
        <v>190</v>
      </c>
      <c r="D1004" s="15" t="s">
        <v>2222</v>
      </c>
      <c r="E1004" s="31">
        <v>2</v>
      </c>
      <c r="F1004" s="15" t="s">
        <v>777</v>
      </c>
      <c r="G1004" s="15" t="s">
        <v>2217</v>
      </c>
      <c r="H1004" s="15" t="s">
        <v>2218</v>
      </c>
      <c r="I1004" s="1">
        <v>2013</v>
      </c>
      <c r="J1004" s="15" t="s">
        <v>2225</v>
      </c>
      <c r="K1004" s="1" t="s">
        <v>1586</v>
      </c>
      <c r="L1004" s="15" t="s">
        <v>1525</v>
      </c>
      <c r="M1004" s="15" t="s">
        <v>480</v>
      </c>
      <c r="N1004" s="15" t="s">
        <v>23</v>
      </c>
      <c r="O1004" s="31">
        <v>2</v>
      </c>
      <c r="P1004" s="15">
        <v>30.5</v>
      </c>
      <c r="Q1004" s="15">
        <v>120.28</v>
      </c>
      <c r="S1004" s="15">
        <v>1490</v>
      </c>
      <c r="T1004" s="15">
        <v>17.2</v>
      </c>
      <c r="U1004" s="15" t="s">
        <v>549</v>
      </c>
      <c r="V1004" s="31">
        <v>1</v>
      </c>
      <c r="W1004" s="16" t="s">
        <v>1153</v>
      </c>
      <c r="X1004" s="15" t="s">
        <v>689</v>
      </c>
      <c r="Y1004" s="1">
        <v>1</v>
      </c>
      <c r="Z1004" s="15">
        <v>5.2</v>
      </c>
      <c r="AA1004" s="15" t="s">
        <v>573</v>
      </c>
      <c r="AB1004" s="15">
        <f t="shared" si="882"/>
        <v>5.2</v>
      </c>
      <c r="AC1004" s="1">
        <v>3</v>
      </c>
      <c r="AD1004" s="15">
        <f t="shared" si="927"/>
        <v>35.844000000000001</v>
      </c>
      <c r="AJ1004" s="15">
        <v>4</v>
      </c>
      <c r="AK1004" s="15">
        <v>23</v>
      </c>
      <c r="AL1004" s="15">
        <v>73</v>
      </c>
      <c r="AM1004" s="1">
        <v>3</v>
      </c>
      <c r="AP1004" s="15" t="s">
        <v>1185</v>
      </c>
      <c r="AQ1004" s="1">
        <v>3</v>
      </c>
      <c r="AR1004" s="1">
        <v>3</v>
      </c>
      <c r="BP1004" s="16"/>
      <c r="BQ1004" s="16"/>
      <c r="BR1004" s="16"/>
      <c r="BU1004" s="16"/>
      <c r="CC1004" s="15" t="s">
        <v>1321</v>
      </c>
      <c r="CE1004" s="15">
        <v>22.5</v>
      </c>
      <c r="CF1004" s="15">
        <f>CE1004*1000/2</f>
        <v>11250</v>
      </c>
      <c r="CG1004" s="15" t="s">
        <v>766</v>
      </c>
      <c r="CH1004" s="15">
        <v>10.199999999999999</v>
      </c>
      <c r="CJ1004" s="15">
        <v>44.7</v>
      </c>
      <c r="CK1004" s="15">
        <v>513</v>
      </c>
      <c r="CL1004" s="15">
        <v>10.7</v>
      </c>
      <c r="CM1004" s="15">
        <v>1.7</v>
      </c>
      <c r="CO1004" s="15">
        <v>3.8</v>
      </c>
      <c r="CP1004" s="15">
        <v>3.6</v>
      </c>
      <c r="CQ1004" s="15">
        <v>1.2</v>
      </c>
      <c r="CV1004" s="15">
        <v>151.69999999999999</v>
      </c>
      <c r="CW1004" s="15">
        <v>38.1</v>
      </c>
      <c r="CY1004" s="25">
        <f>CF1004</f>
        <v>11250</v>
      </c>
      <c r="CZ1004" s="25">
        <f>CY1004/0.78/1000</f>
        <v>14.423076923076922</v>
      </c>
      <c r="DA1004" s="25">
        <f>CY1004*3</f>
        <v>33750</v>
      </c>
      <c r="EZ1004" s="16"/>
      <c r="FA1004" s="16"/>
      <c r="FB1004" s="16"/>
      <c r="FC1004" s="16"/>
      <c r="FD1004" s="16"/>
      <c r="FE1004" s="16"/>
      <c r="FF1004" s="16"/>
      <c r="FG1004" s="16"/>
      <c r="FH1004" s="16"/>
      <c r="FI1004" s="16"/>
      <c r="FJ1004" s="16"/>
      <c r="FK1004" s="16">
        <f t="shared" si="916"/>
        <v>5.0199999999999996</v>
      </c>
      <c r="FL1004" s="16">
        <f t="shared" si="917"/>
        <v>5.12</v>
      </c>
      <c r="FM1004" s="15">
        <v>5.0199999999999996</v>
      </c>
      <c r="FN1004" s="15">
        <v>0.05</v>
      </c>
      <c r="FO1004" s="15">
        <f>FN1004*SQRT(AR1004)</f>
        <v>8.6602540378443865E-2</v>
      </c>
      <c r="FP1004" s="15">
        <v>5.12</v>
      </c>
      <c r="FQ1004" s="15">
        <v>0.05</v>
      </c>
      <c r="FR1004" s="15">
        <f>FQ1004*SQRT(AR1004)</f>
        <v>8.6602540378443865E-2</v>
      </c>
      <c r="FS1004" s="15">
        <f t="shared" si="918"/>
        <v>1.0199203187250998</v>
      </c>
      <c r="FT1004" s="15">
        <f t="shared" si="919"/>
        <v>0.10000000000000053</v>
      </c>
      <c r="FU1004" s="15">
        <f t="shared" si="920"/>
        <v>1.9724505347778587E-2</v>
      </c>
      <c r="FV1004" s="15">
        <f>((FR1004*FR1004)/(AR1004*FP1004*FP1004)+(FO1004*FO1004)/(AR1004*FM1004*FM1004))</f>
        <v>1.9457220616801347E-4</v>
      </c>
      <c r="FX1004" s="15">
        <v>42.247199999999999</v>
      </c>
      <c r="FY1004" s="15">
        <v>3.86</v>
      </c>
      <c r="FZ1004" s="15">
        <f>FY1004*SQRT(AR1004)</f>
        <v>6.6857161172158657</v>
      </c>
      <c r="GA1004" s="15">
        <v>47.675999999999995</v>
      </c>
      <c r="GB1004" s="15">
        <v>6.7</v>
      </c>
      <c r="GC1004" s="15">
        <f>GB1004*SQRT(AR1004)</f>
        <v>11.604740410711477</v>
      </c>
      <c r="GD1004" s="15">
        <f t="shared" si="928"/>
        <v>1.1285008237232288</v>
      </c>
      <c r="GE1004" s="15">
        <f t="shared" si="929"/>
        <v>5.4287999999999954</v>
      </c>
      <c r="GF1004" s="15">
        <f t="shared" si="930"/>
        <v>0.12089004720272722</v>
      </c>
      <c r="GG1004" s="15">
        <f>((GC1004*GC1004)/(AR1004*GA1004*GA1004)+(FZ1004*FZ1004)/(AR1004*FX1004*FX1004))</f>
        <v>2.8097150636948093E-2</v>
      </c>
      <c r="GI1004" s="15">
        <v>7.44</v>
      </c>
      <c r="GJ1004" s="15">
        <v>0.45</v>
      </c>
      <c r="GK1004" s="15">
        <f>GJ1004*SQRT(AR1004)</f>
        <v>0.77942286340599476</v>
      </c>
      <c r="GL1004" s="15">
        <v>7.44</v>
      </c>
      <c r="GM1004" s="15">
        <v>0.32</v>
      </c>
      <c r="GN1004" s="15">
        <f>GM1004*SQRT(AR1004)</f>
        <v>0.55425625842204074</v>
      </c>
      <c r="GO1004" s="15">
        <f t="shared" si="931"/>
        <v>1</v>
      </c>
      <c r="GP1004" s="15">
        <f t="shared" si="932"/>
        <v>0</v>
      </c>
      <c r="GQ1004" s="15">
        <f t="shared" si="933"/>
        <v>0</v>
      </c>
      <c r="GR1004" s="15">
        <f>((GN1004*GN1004)/(AR1004*GL1004*GL1004)+(GK1004*GK1004)/(AR1004*GI1004*GI1004))</f>
        <v>5.5082234940455541E-3</v>
      </c>
      <c r="GT1004" s="15">
        <v>30.517645437000272</v>
      </c>
      <c r="GU1004" s="15">
        <f t="shared" si="934"/>
        <v>1.5258822718500138</v>
      </c>
      <c r="GV1004" s="15">
        <f>GU1004*SQRT(AR1004)</f>
        <v>2.6429056212128494</v>
      </c>
      <c r="GW1004" s="15">
        <v>29.130479735318442</v>
      </c>
      <c r="GX1004" s="15">
        <f t="shared" si="935"/>
        <v>1.4565239867659221</v>
      </c>
      <c r="GY1004" s="15">
        <f>GX1004*SQRT(AR1004)</f>
        <v>2.5227735475213562</v>
      </c>
      <c r="GZ1004" s="15">
        <f t="shared" si="936"/>
        <v>0.95454545454545459</v>
      </c>
      <c r="HA1004" s="15">
        <f t="shared" si="937"/>
        <v>-1.3871657016818304</v>
      </c>
      <c r="HB1004" s="15">
        <f t="shared" si="938"/>
        <v>-4.6520015634893053E-2</v>
      </c>
      <c r="HE1004" s="15">
        <v>9553</v>
      </c>
      <c r="HF1004" s="15">
        <v>2000</v>
      </c>
      <c r="HG1004" s="15">
        <f>HF1004*SQRT(AR1004)</f>
        <v>3464.1016151377544</v>
      </c>
      <c r="HH1004" s="15">
        <v>9843</v>
      </c>
      <c r="HI1004" s="15">
        <v>1654</v>
      </c>
      <c r="HJ1004" s="15">
        <f>HI1004*SQRT(AR1004)</f>
        <v>2864.8120357189227</v>
      </c>
      <c r="HK1004" s="15">
        <f t="shared" si="862"/>
        <v>1.0303569559300743</v>
      </c>
      <c r="HL1004" s="15">
        <f t="shared" si="863"/>
        <v>290</v>
      </c>
      <c r="HM1004" s="15">
        <f t="shared" si="864"/>
        <v>2.9905301359203662E-2</v>
      </c>
      <c r="HN1004" s="15">
        <f>((HJ1004*HJ1004)/(AR1004*HH1004*HH1004)+(HG1004*HG1004)/(AR1004*HE1004*HE1004))</f>
        <v>7.2067741366683952E-2</v>
      </c>
      <c r="HP1004" s="15" t="s">
        <v>766</v>
      </c>
      <c r="HV1004" s="15">
        <f t="shared" si="865"/>
        <v>11285.624443176892</v>
      </c>
      <c r="HW1004" s="15">
        <f t="shared" si="914"/>
        <v>2.9905301359203662E-2</v>
      </c>
      <c r="HX1004" s="25">
        <f>DA1004</f>
        <v>33750</v>
      </c>
      <c r="HY1004" s="25">
        <f t="shared" ref="HY1004:IA1005" si="940">CY1004</f>
        <v>11250</v>
      </c>
      <c r="HZ1004" s="25">
        <f t="shared" si="940"/>
        <v>14.423076923076922</v>
      </c>
      <c r="IA1004" s="25">
        <f t="shared" si="940"/>
        <v>33750</v>
      </c>
    </row>
    <row r="1005" spans="1:235" s="15" customFormat="1" x14ac:dyDescent="0.25">
      <c r="A1005" s="31">
        <v>1003</v>
      </c>
      <c r="B1005" s="1">
        <v>166</v>
      </c>
      <c r="C1005" s="1">
        <v>190</v>
      </c>
      <c r="D1005" s="15" t="s">
        <v>2223</v>
      </c>
      <c r="E1005" s="31">
        <v>2</v>
      </c>
      <c r="F1005" s="15" t="s">
        <v>777</v>
      </c>
      <c r="G1005" s="15" t="s">
        <v>2217</v>
      </c>
      <c r="H1005" s="15" t="s">
        <v>2218</v>
      </c>
      <c r="I1005" s="1">
        <v>2013</v>
      </c>
      <c r="J1005" s="15" t="s">
        <v>2225</v>
      </c>
      <c r="K1005" s="1" t="s">
        <v>1586</v>
      </c>
      <c r="L1005" s="15" t="s">
        <v>1525</v>
      </c>
      <c r="M1005" s="15" t="s">
        <v>480</v>
      </c>
      <c r="N1005" s="15" t="s">
        <v>23</v>
      </c>
      <c r="O1005" s="31">
        <v>2</v>
      </c>
      <c r="P1005" s="15">
        <v>30.5</v>
      </c>
      <c r="Q1005" s="15">
        <v>120.28</v>
      </c>
      <c r="S1005" s="15">
        <v>1490</v>
      </c>
      <c r="T1005" s="15">
        <v>17.2</v>
      </c>
      <c r="U1005" s="15" t="s">
        <v>549</v>
      </c>
      <c r="V1005" s="31">
        <v>1</v>
      </c>
      <c r="W1005" s="16" t="s">
        <v>1153</v>
      </c>
      <c r="X1005" s="15" t="s">
        <v>689</v>
      </c>
      <c r="Y1005" s="1">
        <v>1</v>
      </c>
      <c r="Z1005" s="15">
        <v>5.2</v>
      </c>
      <c r="AA1005" s="15" t="s">
        <v>573</v>
      </c>
      <c r="AB1005" s="15">
        <f t="shared" si="882"/>
        <v>5.2</v>
      </c>
      <c r="AC1005" s="1">
        <v>3</v>
      </c>
      <c r="AD1005" s="15">
        <f t="shared" si="927"/>
        <v>35.844000000000001</v>
      </c>
      <c r="AJ1005" s="15">
        <v>4</v>
      </c>
      <c r="AK1005" s="15">
        <v>23</v>
      </c>
      <c r="AL1005" s="15">
        <v>73</v>
      </c>
      <c r="AM1005" s="1">
        <v>3</v>
      </c>
      <c r="AP1005" s="15" t="s">
        <v>1185</v>
      </c>
      <c r="AQ1005" s="1">
        <v>3</v>
      </c>
      <c r="AR1005" s="1">
        <v>3</v>
      </c>
      <c r="BP1005" s="16"/>
      <c r="BQ1005" s="16"/>
      <c r="BR1005" s="16"/>
      <c r="BU1005" s="16"/>
      <c r="CC1005" s="15" t="s">
        <v>2226</v>
      </c>
      <c r="CE1005" s="15">
        <v>22.5</v>
      </c>
      <c r="CF1005" s="15">
        <f>CE1005*1000/2</f>
        <v>11250</v>
      </c>
      <c r="CG1005" s="15" t="s">
        <v>766</v>
      </c>
      <c r="CH1005" s="15">
        <v>99.81</v>
      </c>
      <c r="CJ1005" s="15">
        <v>15.3</v>
      </c>
      <c r="CK1005" s="15">
        <v>832</v>
      </c>
      <c r="CL1005" s="15">
        <v>5.9</v>
      </c>
      <c r="CM1005" s="15">
        <v>0.08</v>
      </c>
      <c r="CO1005" s="15">
        <v>2.6</v>
      </c>
      <c r="CP1005" s="15">
        <v>0.13</v>
      </c>
      <c r="CQ1005" s="15">
        <v>0.19</v>
      </c>
      <c r="CV1005" s="15">
        <v>122.9</v>
      </c>
      <c r="CW1005" s="15">
        <v>6.2</v>
      </c>
      <c r="CY1005" s="25">
        <f>CF1005</f>
        <v>11250</v>
      </c>
      <c r="CZ1005" s="25">
        <f>CY1005/0.78/1000</f>
        <v>14.423076923076922</v>
      </c>
      <c r="DA1005" s="25">
        <f>CY1005*3</f>
        <v>33750</v>
      </c>
      <c r="EZ1005" s="16"/>
      <c r="FA1005" s="16"/>
      <c r="FB1005" s="16"/>
      <c r="FC1005" s="16"/>
      <c r="FD1005" s="16"/>
      <c r="FE1005" s="16"/>
      <c r="FF1005" s="16"/>
      <c r="FG1005" s="16"/>
      <c r="FH1005" s="16"/>
      <c r="FI1005" s="16"/>
      <c r="FJ1005" s="16"/>
      <c r="FK1005" s="16">
        <f t="shared" si="916"/>
        <v>5.0199999999999996</v>
      </c>
      <c r="FL1005" s="16">
        <f t="shared" si="917"/>
        <v>5.28</v>
      </c>
      <c r="FM1005" s="15">
        <v>5.0199999999999996</v>
      </c>
      <c r="FN1005" s="15">
        <v>0.05</v>
      </c>
      <c r="FO1005" s="15">
        <f>FN1005*SQRT(AR1005)</f>
        <v>8.6602540378443865E-2</v>
      </c>
      <c r="FP1005" s="15">
        <v>5.28</v>
      </c>
      <c r="FQ1005" s="15">
        <v>0.08</v>
      </c>
      <c r="FR1005" s="15">
        <f>FQ1005*SQRT(AR1005)</f>
        <v>0.13856406460551018</v>
      </c>
      <c r="FS1005" s="15">
        <f t="shared" si="918"/>
        <v>1.0517928286852591</v>
      </c>
      <c r="FT1005" s="15">
        <f t="shared" si="919"/>
        <v>0.26000000000000068</v>
      </c>
      <c r="FU1005" s="15">
        <f t="shared" si="920"/>
        <v>5.0496164014532496E-2</v>
      </c>
      <c r="FV1005" s="15">
        <f>((FR1005*FR1005)/(AR1005*FP1005*FP1005)+(FO1005*FO1005)/(AR1005*FM1005*FM1005))</f>
        <v>3.2877318591398167E-4</v>
      </c>
      <c r="FX1005" s="15">
        <v>42.247199999999999</v>
      </c>
      <c r="FY1005" s="15">
        <v>3.86</v>
      </c>
      <c r="FZ1005" s="15">
        <f>FY1005*SQRT(AR1005)</f>
        <v>6.6857161172158657</v>
      </c>
      <c r="GA1005" s="15">
        <v>40.159199999999998</v>
      </c>
      <c r="GB1005" s="15">
        <v>0.88</v>
      </c>
      <c r="GC1005" s="15">
        <f>GB1005*SQRT(AR1005)</f>
        <v>1.524204710660612</v>
      </c>
      <c r="GD1005" s="15">
        <f t="shared" si="928"/>
        <v>0.9505766062602965</v>
      </c>
      <c r="GE1005" s="15">
        <f t="shared" si="929"/>
        <v>-2.088000000000001</v>
      </c>
      <c r="GF1005" s="15">
        <f t="shared" si="930"/>
        <v>-5.0686524551398549E-2</v>
      </c>
      <c r="GG1005" s="15">
        <f>((GC1005*GC1005)/(AR1005*GA1005*GA1005)+(FZ1005*FZ1005)/(AR1005*FX1005*FX1005))</f>
        <v>8.8280992634577147E-3</v>
      </c>
      <c r="GI1005" s="15">
        <v>7.44</v>
      </c>
      <c r="GJ1005" s="15">
        <v>0.45</v>
      </c>
      <c r="GK1005" s="15">
        <f>GJ1005*SQRT(AR1005)</f>
        <v>0.77942286340599476</v>
      </c>
      <c r="GL1005" s="15">
        <v>8.09</v>
      </c>
      <c r="GM1005" s="15">
        <v>0.35</v>
      </c>
      <c r="GN1005" s="15">
        <f>GM1005*SQRT(AR1005)</f>
        <v>0.60621778264910697</v>
      </c>
      <c r="GO1005" s="15">
        <f t="shared" si="931"/>
        <v>1.0873655913978495</v>
      </c>
      <c r="GP1005" s="15">
        <f t="shared" si="932"/>
        <v>0.64999999999999947</v>
      </c>
      <c r="GQ1005" s="15">
        <f t="shared" si="933"/>
        <v>8.3757882225399705E-2</v>
      </c>
      <c r="GR1005" s="15">
        <f>((GN1005*GN1005)/(AR1005*GL1005*GL1005)+(GK1005*GK1005)/(AR1005*GI1005*GI1005))</f>
        <v>5.5300107366690384E-3</v>
      </c>
      <c r="GT1005" s="15">
        <v>30.517645437000272</v>
      </c>
      <c r="GU1005" s="15">
        <f t="shared" si="934"/>
        <v>1.5258822718500138</v>
      </c>
      <c r="GV1005" s="15">
        <f>GU1005*SQRT(AR1005)</f>
        <v>2.6429056212128494</v>
      </c>
      <c r="GW1005" s="15">
        <v>34.271496941459858</v>
      </c>
      <c r="GX1005" s="15">
        <f t="shared" si="935"/>
        <v>1.713574847072993</v>
      </c>
      <c r="GY1005" s="15">
        <f>GX1005*SQRT(AR1005)</f>
        <v>2.9679986977024928</v>
      </c>
      <c r="GZ1005" s="15">
        <f t="shared" si="936"/>
        <v>1.1230059347864476</v>
      </c>
      <c r="HA1005" s="15">
        <f t="shared" si="937"/>
        <v>3.7538515044595862</v>
      </c>
      <c r="HB1005" s="15">
        <f t="shared" si="938"/>
        <v>0.11600896050320353</v>
      </c>
      <c r="HE1005" s="15">
        <v>9553</v>
      </c>
      <c r="HF1005" s="15">
        <v>2000</v>
      </c>
      <c r="HG1005" s="15">
        <f>HF1005*SQRT(AR1005)</f>
        <v>3464.1016151377544</v>
      </c>
      <c r="HH1005" s="15">
        <v>10133</v>
      </c>
      <c r="HI1005" s="15">
        <v>1567</v>
      </c>
      <c r="HJ1005" s="15">
        <f>HI1005*SQRT(AR1005)</f>
        <v>2714.1236154604308</v>
      </c>
      <c r="HK1005" s="15">
        <f t="shared" si="862"/>
        <v>1.0607139118601487</v>
      </c>
      <c r="HL1005" s="15">
        <f t="shared" si="863"/>
        <v>580</v>
      </c>
      <c r="HM1005" s="15">
        <f t="shared" si="864"/>
        <v>5.8942183178309904E-2</v>
      </c>
      <c r="HN1005" s="15">
        <f>((HJ1005*HJ1005)/(AR1005*HH1005*HH1005)+(HG1005*HG1005)/(AR1005*HE1005*HE1005))</f>
        <v>6.7745437971969122E-2</v>
      </c>
      <c r="HP1005" s="15" t="s">
        <v>766</v>
      </c>
      <c r="HV1005" s="15">
        <f t="shared" si="865"/>
        <v>5725.9501056994513</v>
      </c>
      <c r="HW1005" s="15">
        <f t="shared" si="914"/>
        <v>5.8942183178309904E-2</v>
      </c>
      <c r="HX1005" s="25">
        <f>DA1005</f>
        <v>33750</v>
      </c>
      <c r="HY1005" s="25">
        <f t="shared" si="940"/>
        <v>11250</v>
      </c>
      <c r="HZ1005" s="25">
        <f t="shared" si="940"/>
        <v>14.423076923076922</v>
      </c>
      <c r="IA1005" s="25">
        <f t="shared" si="940"/>
        <v>33750</v>
      </c>
    </row>
    <row r="1006" spans="1:235" s="15" customFormat="1" x14ac:dyDescent="0.25">
      <c r="A1006" s="31">
        <v>1004</v>
      </c>
      <c r="B1006" s="1">
        <v>166</v>
      </c>
      <c r="C1006" s="1">
        <v>190</v>
      </c>
      <c r="D1006" s="15" t="s">
        <v>2224</v>
      </c>
      <c r="E1006" s="1">
        <v>5</v>
      </c>
      <c r="F1006" s="15" t="s">
        <v>798</v>
      </c>
      <c r="G1006" s="15" t="s">
        <v>2217</v>
      </c>
      <c r="H1006" s="15" t="s">
        <v>2218</v>
      </c>
      <c r="I1006" s="1">
        <v>2013</v>
      </c>
      <c r="J1006" s="15" t="s">
        <v>2225</v>
      </c>
      <c r="K1006" s="1" t="s">
        <v>1586</v>
      </c>
      <c r="L1006" s="15" t="s">
        <v>1525</v>
      </c>
      <c r="M1006" s="15" t="s">
        <v>480</v>
      </c>
      <c r="N1006" s="15" t="s">
        <v>23</v>
      </c>
      <c r="O1006" s="31">
        <v>2</v>
      </c>
      <c r="P1006" s="15">
        <v>30.5</v>
      </c>
      <c r="Q1006" s="15">
        <v>120.28</v>
      </c>
      <c r="S1006" s="15">
        <v>1490</v>
      </c>
      <c r="T1006" s="15">
        <v>17.2</v>
      </c>
      <c r="U1006" s="15" t="s">
        <v>549</v>
      </c>
      <c r="V1006" s="31">
        <v>1</v>
      </c>
      <c r="W1006" s="16" t="s">
        <v>1153</v>
      </c>
      <c r="X1006" s="15" t="s">
        <v>689</v>
      </c>
      <c r="Y1006" s="1">
        <v>1</v>
      </c>
      <c r="Z1006" s="15">
        <v>5.2</v>
      </c>
      <c r="AA1006" s="15" t="s">
        <v>573</v>
      </c>
      <c r="AB1006" s="15">
        <f t="shared" si="882"/>
        <v>5.2</v>
      </c>
      <c r="AC1006" s="1">
        <v>3</v>
      </c>
      <c r="AD1006" s="15">
        <f t="shared" si="927"/>
        <v>35.844000000000001</v>
      </c>
      <c r="AJ1006" s="15">
        <v>4</v>
      </c>
      <c r="AK1006" s="15">
        <v>23</v>
      </c>
      <c r="AL1006" s="15">
        <v>73</v>
      </c>
      <c r="AM1006" s="1">
        <v>3</v>
      </c>
      <c r="AP1006" s="15" t="s">
        <v>1185</v>
      </c>
      <c r="AQ1006" s="1">
        <v>3</v>
      </c>
      <c r="AR1006" s="1">
        <v>3</v>
      </c>
      <c r="BP1006" s="16"/>
      <c r="BQ1006" s="16"/>
      <c r="BR1006" s="16"/>
      <c r="BU1006" s="16"/>
      <c r="DB1006" s="15" t="s">
        <v>1321</v>
      </c>
      <c r="DD1006" s="15">
        <v>6000</v>
      </c>
      <c r="DE1006" s="15">
        <v>6000</v>
      </c>
      <c r="DF1006" s="15" t="s">
        <v>766</v>
      </c>
      <c r="DJ1006" s="15">
        <v>390</v>
      </c>
      <c r="DK1006" s="15">
        <v>7.7</v>
      </c>
      <c r="DS1006" s="15">
        <f>DE1006</f>
        <v>6000</v>
      </c>
      <c r="DT1006" s="15">
        <f>DS1006/0.6/1000</f>
        <v>10</v>
      </c>
      <c r="DU1006" s="15">
        <f>DS1006*0.2</f>
        <v>1200</v>
      </c>
      <c r="EZ1006" s="16"/>
      <c r="FA1006" s="16"/>
      <c r="FB1006" s="16"/>
      <c r="FC1006" s="16"/>
      <c r="FD1006" s="16"/>
      <c r="FE1006" s="16"/>
      <c r="FF1006" s="16"/>
      <c r="FG1006" s="16"/>
      <c r="FH1006" s="16"/>
      <c r="FI1006" s="16"/>
      <c r="FJ1006" s="16"/>
      <c r="FK1006" s="16">
        <f t="shared" si="916"/>
        <v>5.0199999999999996</v>
      </c>
      <c r="FL1006" s="16">
        <f t="shared" si="917"/>
        <v>4.95</v>
      </c>
      <c r="FM1006" s="15">
        <v>5.0199999999999996</v>
      </c>
      <c r="FN1006" s="15">
        <v>0.05</v>
      </c>
      <c r="FO1006" s="15">
        <f>FN1006*SQRT(AR1006)</f>
        <v>8.6602540378443865E-2</v>
      </c>
      <c r="FP1006" s="15">
        <v>4.95</v>
      </c>
      <c r="FQ1006" s="15">
        <v>0.08</v>
      </c>
      <c r="FR1006" s="15">
        <f>FQ1006*SQRT(AR1006)</f>
        <v>0.13856406460551018</v>
      </c>
      <c r="FS1006" s="15">
        <f t="shared" si="918"/>
        <v>0.9860557768924304</v>
      </c>
      <c r="FT1006" s="15">
        <f t="shared" si="919"/>
        <v>-6.9999999999999396E-2</v>
      </c>
      <c r="FU1006" s="15">
        <f t="shared" si="920"/>
        <v>-1.4042357123038807E-2</v>
      </c>
      <c r="FV1006" s="15">
        <f>((FR1006*FR1006)/(AR1006*FP1006*FP1006)+(FO1006*FO1006)/(AR1006*FM1006*FM1006))</f>
        <v>3.6040261148280114E-4</v>
      </c>
      <c r="FX1006" s="15">
        <v>42.247199999999999</v>
      </c>
      <c r="FY1006" s="15">
        <v>3.86</v>
      </c>
      <c r="FZ1006" s="15">
        <f>FY1006*SQRT(AR1006)</f>
        <v>6.6857161172158657</v>
      </c>
      <c r="GA1006" s="15">
        <v>41.516399999999997</v>
      </c>
      <c r="GB1006" s="15">
        <v>1.66</v>
      </c>
      <c r="GC1006" s="15">
        <f>GB1006*SQRT(AR1006)</f>
        <v>2.8752043405643359</v>
      </c>
      <c r="GD1006" s="15">
        <f t="shared" si="928"/>
        <v>0.98270181219110375</v>
      </c>
      <c r="GE1006" s="15">
        <f t="shared" si="929"/>
        <v>-0.73080000000000211</v>
      </c>
      <c r="GF1006" s="15">
        <f t="shared" si="930"/>
        <v>-1.7449549521527441E-2</v>
      </c>
      <c r="GG1006" s="15">
        <f>((GC1006*GC1006)/(AR1006*GA1006*GA1006)+(FZ1006*FZ1006)/(AR1006*FX1006*FX1006))</f>
        <v>9.9466651955447231E-3</v>
      </c>
      <c r="GI1006" s="15">
        <v>7.44</v>
      </c>
      <c r="GJ1006" s="15">
        <v>0.45</v>
      </c>
      <c r="GK1006" s="15">
        <f>GJ1006*SQRT(AR1006)</f>
        <v>0.77942286340599476</v>
      </c>
      <c r="GL1006" s="15">
        <v>7.55</v>
      </c>
      <c r="GM1006" s="15">
        <v>0.3</v>
      </c>
      <c r="GN1006" s="15">
        <f>GM1006*SQRT(AR1006)</f>
        <v>0.51961524227066314</v>
      </c>
      <c r="GO1006" s="15">
        <f t="shared" si="931"/>
        <v>1.014784946236559</v>
      </c>
      <c r="GP1006" s="15">
        <f t="shared" si="932"/>
        <v>0.10999999999999943</v>
      </c>
      <c r="GQ1006" s="15">
        <f t="shared" si="933"/>
        <v>1.4676714415932768E-2</v>
      </c>
      <c r="GR1006" s="15">
        <f>((GN1006*GN1006)/(AR1006*GL1006*GL1006)+(GK1006*GK1006)/(AR1006*GI1006*GI1006))</f>
        <v>5.2371767666231838E-3</v>
      </c>
      <c r="GT1006" s="15">
        <v>30.517645437000272</v>
      </c>
      <c r="GU1006" s="15">
        <f t="shared" si="934"/>
        <v>1.5258822718500138</v>
      </c>
      <c r="GV1006" s="15">
        <f>GU1006*SQRT(AR1006)</f>
        <v>2.6429056212128494</v>
      </c>
      <c r="GW1006" s="15">
        <v>32.129393785022934</v>
      </c>
      <c r="GX1006" s="15">
        <f t="shared" si="935"/>
        <v>1.6064696892511467</v>
      </c>
      <c r="GY1006" s="15">
        <f>GX1006*SQRT(AR1006)</f>
        <v>2.782487122602372</v>
      </c>
      <c r="GZ1006" s="15">
        <f t="shared" si="936"/>
        <v>1.0528136533780075</v>
      </c>
      <c r="HA1006" s="15">
        <f t="shared" si="937"/>
        <v>1.6117483480226618</v>
      </c>
      <c r="HB1006" s="15">
        <f t="shared" si="938"/>
        <v>5.1466250138949121E-2</v>
      </c>
      <c r="HE1006" s="15">
        <v>9553</v>
      </c>
      <c r="HF1006" s="15">
        <v>2000</v>
      </c>
      <c r="HG1006" s="15">
        <f>HF1006*SQRT(AR1006)</f>
        <v>3464.1016151377544</v>
      </c>
      <c r="HH1006" s="15">
        <v>9709.4</v>
      </c>
      <c r="HI1006" s="15">
        <v>1000</v>
      </c>
      <c r="HJ1006" s="15">
        <f>HI1006*SQRT(AR1006)</f>
        <v>1732.0508075688772</v>
      </c>
      <c r="HK1006" s="15">
        <f t="shared" si="862"/>
        <v>1.0163718203705643</v>
      </c>
      <c r="HL1006" s="15">
        <f t="shared" si="863"/>
        <v>156.39999999999964</v>
      </c>
      <c r="HM1006" s="15">
        <f t="shared" si="864"/>
        <v>1.6239247139115065E-2</v>
      </c>
      <c r="HN1006" s="15">
        <f>((HJ1006*HJ1006)/(AR1006*HH1006*HH1006)+(HG1006*HG1006)/(AR1006*HE1006*HE1006))</f>
        <v>5.4438457876639118E-2</v>
      </c>
      <c r="HP1006" s="15" t="s">
        <v>766</v>
      </c>
      <c r="HV1006" s="15">
        <f t="shared" si="865"/>
        <v>738.95051274242292</v>
      </c>
      <c r="HW1006" s="15">
        <f t="shared" si="914"/>
        <v>1.6239247139115065E-2</v>
      </c>
      <c r="HX1006" s="15">
        <f>DU1006</f>
        <v>1200</v>
      </c>
      <c r="HY1006" s="15">
        <f>DS1006</f>
        <v>6000</v>
      </c>
      <c r="HZ1006" s="15">
        <f>DT1006</f>
        <v>10</v>
      </c>
      <c r="IA1006" s="15">
        <f>DU1006</f>
        <v>1200</v>
      </c>
    </row>
    <row r="1007" spans="1:235" s="15" customFormat="1" x14ac:dyDescent="0.25">
      <c r="A1007" s="31">
        <v>1005</v>
      </c>
      <c r="B1007" s="1">
        <v>167</v>
      </c>
      <c r="C1007" s="1">
        <v>191</v>
      </c>
      <c r="D1007" s="15" t="s">
        <v>2227</v>
      </c>
      <c r="E1007" s="1">
        <v>4</v>
      </c>
      <c r="F1007" s="15" t="s">
        <v>879</v>
      </c>
      <c r="G1007" s="15" t="s">
        <v>2230</v>
      </c>
      <c r="H1007" s="15" t="s">
        <v>812</v>
      </c>
      <c r="I1007" s="1">
        <v>2018</v>
      </c>
      <c r="J1007" s="15" t="s">
        <v>1293</v>
      </c>
      <c r="K1007" s="1" t="s">
        <v>1948</v>
      </c>
      <c r="L1007" s="15" t="s">
        <v>2231</v>
      </c>
      <c r="M1007" s="15" t="s">
        <v>480</v>
      </c>
      <c r="N1007" s="15" t="s">
        <v>23</v>
      </c>
      <c r="O1007" s="31">
        <v>2</v>
      </c>
      <c r="P1007" s="15">
        <v>37.19397</v>
      </c>
      <c r="Q1007" s="15">
        <v>122.0581</v>
      </c>
      <c r="S1007" s="15">
        <v>724</v>
      </c>
      <c r="T1007" s="15">
        <v>12.4</v>
      </c>
      <c r="U1007" s="15" t="s">
        <v>549</v>
      </c>
      <c r="V1007" s="31">
        <v>1</v>
      </c>
      <c r="W1007" s="16" t="s">
        <v>1153</v>
      </c>
      <c r="X1007" s="15" t="s">
        <v>822</v>
      </c>
      <c r="Y1007" s="1">
        <v>5</v>
      </c>
      <c r="Z1007" s="15">
        <v>4.42</v>
      </c>
      <c r="AA1007" s="15" t="s">
        <v>573</v>
      </c>
      <c r="AB1007" s="15">
        <f t="shared" si="882"/>
        <v>4.42</v>
      </c>
      <c r="AC1007" s="1">
        <v>1</v>
      </c>
      <c r="AD1007" s="15">
        <v>11.32</v>
      </c>
      <c r="AM1007" s="1">
        <v>2</v>
      </c>
      <c r="AP1007" s="15" t="s">
        <v>1943</v>
      </c>
      <c r="AQ1007" s="1">
        <v>5</v>
      </c>
      <c r="AR1007" s="1">
        <v>3</v>
      </c>
      <c r="BP1007" s="16"/>
      <c r="BQ1007" s="16"/>
      <c r="BR1007" s="16"/>
      <c r="BS1007" s="15">
        <v>100</v>
      </c>
      <c r="BT1007" s="15">
        <f>BS1007*15</f>
        <v>1500</v>
      </c>
      <c r="BU1007" s="16" t="s">
        <v>766</v>
      </c>
      <c r="BY1007" s="15">
        <f>BT1007</f>
        <v>1500</v>
      </c>
      <c r="BZ1007" s="15">
        <f>BY1007/1.1/1000</f>
        <v>1.3636363636363635</v>
      </c>
      <c r="CA1007" s="15">
        <f>BY1007*2</f>
        <v>3000</v>
      </c>
      <c r="EZ1007" s="16"/>
      <c r="FA1007" s="16"/>
      <c r="FB1007" s="16"/>
      <c r="FC1007" s="16"/>
      <c r="FD1007" s="16"/>
      <c r="FE1007" s="16"/>
      <c r="FF1007" s="16"/>
      <c r="FG1007" s="16"/>
      <c r="FH1007" s="16"/>
      <c r="FI1007" s="16"/>
      <c r="FJ1007" s="16"/>
      <c r="FK1007" s="16"/>
      <c r="FL1007" s="16"/>
      <c r="HE1007" s="15">
        <v>3828</v>
      </c>
      <c r="HF1007" s="15">
        <f t="shared" ref="HF1007:HF1021" si="941">HE1007*0.05</f>
        <v>191.4</v>
      </c>
      <c r="HG1007" s="15">
        <f>HF1007*SQRT(AR1007)</f>
        <v>331.5145245686831</v>
      </c>
      <c r="HH1007" s="15">
        <v>4935</v>
      </c>
      <c r="HI1007" s="15">
        <f t="shared" ref="HI1007:HI1021" si="942">HH1007*0.05</f>
        <v>246.75</v>
      </c>
      <c r="HJ1007" s="15">
        <f>HI1007*SQRT(AR1007)</f>
        <v>427.38353676762046</v>
      </c>
      <c r="HK1007" s="15">
        <f t="shared" si="862"/>
        <v>1.2891849529780564</v>
      </c>
      <c r="HL1007" s="15">
        <f t="shared" si="863"/>
        <v>1107</v>
      </c>
      <c r="HM1007" s="15">
        <f t="shared" si="864"/>
        <v>0.25401019929473634</v>
      </c>
      <c r="HN1007" s="15">
        <f>((HJ1007*HJ1007)/(AR1007*HH1007*HH1007)+(HG1007*HG1007)/(AR1007*HE1007*HE1007))</f>
        <v>4.9999999999999992E-3</v>
      </c>
      <c r="HP1007" s="15" t="s">
        <v>766</v>
      </c>
      <c r="HV1007" s="15">
        <f t="shared" si="865"/>
        <v>118.10549372936801</v>
      </c>
      <c r="HW1007" s="15">
        <f t="shared" si="914"/>
        <v>0.25401019929473634</v>
      </c>
      <c r="HX1007" s="15">
        <f>CA1007</f>
        <v>3000</v>
      </c>
      <c r="HY1007" s="15">
        <f>BY1007</f>
        <v>1500</v>
      </c>
      <c r="HZ1007" s="15">
        <f>BZ1007</f>
        <v>1.3636363636363635</v>
      </c>
      <c r="IA1007" s="15">
        <f>CA1007</f>
        <v>3000</v>
      </c>
    </row>
    <row r="1008" spans="1:235" s="15" customFormat="1" x14ac:dyDescent="0.25">
      <c r="A1008" s="31">
        <v>1006</v>
      </c>
      <c r="B1008" s="1">
        <v>167</v>
      </c>
      <c r="C1008" s="1">
        <v>191</v>
      </c>
      <c r="D1008" s="15" t="s">
        <v>2228</v>
      </c>
      <c r="E1008" s="1">
        <v>1</v>
      </c>
      <c r="F1008" s="15" t="s">
        <v>761</v>
      </c>
      <c r="G1008" s="15" t="s">
        <v>2230</v>
      </c>
      <c r="H1008" s="15" t="s">
        <v>812</v>
      </c>
      <c r="I1008" s="1">
        <v>2018</v>
      </c>
      <c r="J1008" s="15" t="s">
        <v>1293</v>
      </c>
      <c r="K1008" s="1" t="s">
        <v>1948</v>
      </c>
      <c r="L1008" s="15" t="s">
        <v>2231</v>
      </c>
      <c r="M1008" s="15" t="s">
        <v>480</v>
      </c>
      <c r="N1008" s="15" t="s">
        <v>23</v>
      </c>
      <c r="O1008" s="31">
        <v>2</v>
      </c>
      <c r="P1008" s="15">
        <v>37.19397</v>
      </c>
      <c r="Q1008" s="15">
        <v>122.0581</v>
      </c>
      <c r="S1008" s="15">
        <v>724</v>
      </c>
      <c r="T1008" s="15">
        <v>12.4</v>
      </c>
      <c r="U1008" s="15" t="s">
        <v>549</v>
      </c>
      <c r="V1008" s="31">
        <v>1</v>
      </c>
      <c r="W1008" s="16" t="s">
        <v>1294</v>
      </c>
      <c r="X1008" s="15" t="s">
        <v>822</v>
      </c>
      <c r="Y1008" s="1">
        <v>5</v>
      </c>
      <c r="Z1008" s="15">
        <v>4.42</v>
      </c>
      <c r="AA1008" s="15" t="s">
        <v>573</v>
      </c>
      <c r="AB1008" s="15">
        <f t="shared" si="882"/>
        <v>4.42</v>
      </c>
      <c r="AC1008" s="1">
        <v>1</v>
      </c>
      <c r="AD1008" s="15">
        <v>11.32</v>
      </c>
      <c r="AM1008" s="1">
        <v>2</v>
      </c>
      <c r="AP1008" s="15" t="s">
        <v>1943</v>
      </c>
      <c r="AQ1008" s="1">
        <v>5</v>
      </c>
      <c r="AR1008" s="1">
        <v>3</v>
      </c>
      <c r="AT1008" s="15" t="s">
        <v>546</v>
      </c>
      <c r="AW1008" s="15">
        <v>50</v>
      </c>
      <c r="AX1008" s="15">
        <f>50*15*1.35</f>
        <v>1012.5000000000001</v>
      </c>
      <c r="AY1008" s="15" t="s">
        <v>766</v>
      </c>
      <c r="AZ1008" s="15">
        <f>AX1008</f>
        <v>1012.5000000000001</v>
      </c>
      <c r="BA1008" s="15">
        <f>AZ1008/2.93/1000</f>
        <v>0.34556313993174065</v>
      </c>
      <c r="BB1008" s="15">
        <f>AZ1008*0.6</f>
        <v>607.5</v>
      </c>
      <c r="BP1008" s="16"/>
      <c r="BQ1008" s="16"/>
      <c r="BR1008" s="16"/>
      <c r="BU1008" s="16"/>
      <c r="EZ1008" s="16"/>
      <c r="FA1008" s="16"/>
      <c r="FB1008" s="16"/>
      <c r="FC1008" s="16"/>
      <c r="FD1008" s="16"/>
      <c r="FE1008" s="16"/>
      <c r="FF1008" s="16"/>
      <c r="FG1008" s="16"/>
      <c r="FH1008" s="16"/>
      <c r="FI1008" s="16"/>
      <c r="FJ1008" s="16"/>
      <c r="FK1008" s="16"/>
      <c r="FL1008" s="16"/>
      <c r="HE1008" s="15">
        <v>3828</v>
      </c>
      <c r="HF1008" s="15">
        <f t="shared" si="941"/>
        <v>191.4</v>
      </c>
      <c r="HG1008" s="15">
        <f>HF1008*SQRT(AR1008)</f>
        <v>331.5145245686831</v>
      </c>
      <c r="HH1008" s="15">
        <v>4646</v>
      </c>
      <c r="HI1008" s="15">
        <f t="shared" si="942"/>
        <v>232.3</v>
      </c>
      <c r="HJ1008" s="15">
        <f>HI1008*SQRT(AR1008)</f>
        <v>402.35540259825018</v>
      </c>
      <c r="HK1008" s="15">
        <f t="shared" si="862"/>
        <v>1.2136886102403344</v>
      </c>
      <c r="HL1008" s="15">
        <f t="shared" si="863"/>
        <v>818</v>
      </c>
      <c r="HM1008" s="15">
        <f t="shared" si="864"/>
        <v>0.1936641607575087</v>
      </c>
      <c r="HN1008" s="15">
        <f>((HJ1008*HJ1008)/(AR1008*HH1008*HH1008)+(HG1008*HG1008)/(AR1008*HE1008*HE1008))</f>
        <v>4.9999999999999992E-3</v>
      </c>
      <c r="HP1008" s="15" t="s">
        <v>766</v>
      </c>
      <c r="HV1008" s="15">
        <f t="shared" si="865"/>
        <v>31.368736353891755</v>
      </c>
      <c r="HW1008" s="15">
        <f t="shared" si="914"/>
        <v>0.1936641607575087</v>
      </c>
      <c r="HX1008" s="15">
        <f>BB1008</f>
        <v>607.5</v>
      </c>
      <c r="HY1008" s="15">
        <f>AZ1008</f>
        <v>1012.5000000000001</v>
      </c>
      <c r="HZ1008" s="15">
        <f>BA1008</f>
        <v>0.34556313993174065</v>
      </c>
      <c r="IA1008" s="15">
        <f>BB1008</f>
        <v>607.5</v>
      </c>
    </row>
    <row r="1009" spans="1:235" s="15" customFormat="1" x14ac:dyDescent="0.25">
      <c r="A1009" s="31">
        <v>1007</v>
      </c>
      <c r="B1009" s="1">
        <v>167</v>
      </c>
      <c r="C1009" s="1">
        <v>191</v>
      </c>
      <c r="D1009" s="15" t="s">
        <v>2229</v>
      </c>
      <c r="E1009" s="1">
        <v>6</v>
      </c>
      <c r="F1009" s="15" t="s">
        <v>1154</v>
      </c>
      <c r="G1009" s="15" t="s">
        <v>2230</v>
      </c>
      <c r="H1009" s="15" t="s">
        <v>812</v>
      </c>
      <c r="I1009" s="1">
        <v>2018</v>
      </c>
      <c r="J1009" s="15" t="s">
        <v>1293</v>
      </c>
      <c r="K1009" s="1" t="s">
        <v>1948</v>
      </c>
      <c r="L1009" s="15" t="s">
        <v>2231</v>
      </c>
      <c r="M1009" s="15" t="s">
        <v>480</v>
      </c>
      <c r="N1009" s="15" t="s">
        <v>23</v>
      </c>
      <c r="O1009" s="31">
        <v>2</v>
      </c>
      <c r="P1009" s="15">
        <v>37.19397</v>
      </c>
      <c r="Q1009" s="15">
        <v>122.0581</v>
      </c>
      <c r="S1009" s="15">
        <v>724</v>
      </c>
      <c r="T1009" s="15">
        <v>12.4</v>
      </c>
      <c r="U1009" s="15" t="s">
        <v>549</v>
      </c>
      <c r="V1009" s="31">
        <v>1</v>
      </c>
      <c r="W1009" s="16" t="s">
        <v>2063</v>
      </c>
      <c r="X1009" s="15" t="s">
        <v>822</v>
      </c>
      <c r="Y1009" s="1">
        <v>5</v>
      </c>
      <c r="Z1009" s="15">
        <v>4.42</v>
      </c>
      <c r="AA1009" s="15" t="s">
        <v>573</v>
      </c>
      <c r="AB1009" s="15">
        <f t="shared" si="882"/>
        <v>4.42</v>
      </c>
      <c r="AC1009" s="1">
        <v>1</v>
      </c>
      <c r="AD1009" s="15">
        <v>11.32</v>
      </c>
      <c r="AM1009" s="1">
        <v>2</v>
      </c>
      <c r="AP1009" s="15" t="s">
        <v>1943</v>
      </c>
      <c r="AQ1009" s="1">
        <v>5</v>
      </c>
      <c r="AR1009" s="1">
        <v>3</v>
      </c>
      <c r="AT1009" s="15" t="s">
        <v>546</v>
      </c>
      <c r="AW1009" s="15">
        <v>50</v>
      </c>
      <c r="AX1009" s="15">
        <f>50*15*1.35</f>
        <v>1012.5000000000001</v>
      </c>
      <c r="AY1009" s="15" t="s">
        <v>766</v>
      </c>
      <c r="AZ1009" s="15">
        <f>AX1009</f>
        <v>1012.5000000000001</v>
      </c>
      <c r="BA1009" s="15">
        <f>AZ1009/2.93/1000</f>
        <v>0.34556313993174065</v>
      </c>
      <c r="BB1009" s="15">
        <f>AZ1009*0.6</f>
        <v>607.5</v>
      </c>
      <c r="BP1009" s="16"/>
      <c r="BQ1009" s="16"/>
      <c r="BR1009" s="16"/>
      <c r="BS1009" s="15">
        <v>100</v>
      </c>
      <c r="BT1009" s="15">
        <f>BS1009*15</f>
        <v>1500</v>
      </c>
      <c r="BU1009" s="16" t="s">
        <v>766</v>
      </c>
      <c r="BY1009" s="15">
        <f>BT1009</f>
        <v>1500</v>
      </c>
      <c r="BZ1009" s="15">
        <f>BY1009/1.1/1000</f>
        <v>1.3636363636363635</v>
      </c>
      <c r="CA1009" s="15">
        <f>BY1009*2</f>
        <v>3000</v>
      </c>
      <c r="EW1009" s="46">
        <f>AX1009+BT1009+CF1009+DE1009+DY1009</f>
        <v>2512.5</v>
      </c>
      <c r="EX1009" s="46">
        <f>BA1009+BZ1009+CZ1009+DT1009+ET1009</f>
        <v>1.7091995035681042</v>
      </c>
      <c r="EY1009" s="46">
        <f>BB1009+CA1009+DA1009+DU1009+EU1009</f>
        <v>3607.5</v>
      </c>
      <c r="EZ1009" s="16"/>
      <c r="FA1009" s="16"/>
      <c r="FB1009" s="16"/>
      <c r="FC1009" s="16"/>
      <c r="FD1009" s="16"/>
      <c r="FE1009" s="16"/>
      <c r="FF1009" s="16"/>
      <c r="FG1009" s="16"/>
      <c r="FH1009" s="16"/>
      <c r="FI1009" s="16"/>
      <c r="FJ1009" s="16"/>
      <c r="FK1009" s="16"/>
      <c r="FL1009" s="16"/>
      <c r="HE1009" s="15">
        <v>3828</v>
      </c>
      <c r="HF1009" s="15">
        <f t="shared" si="941"/>
        <v>191.4</v>
      </c>
      <c r="HG1009" s="15">
        <f>HF1009*SQRT(AR1009)</f>
        <v>331.5145245686831</v>
      </c>
      <c r="HH1009" s="15">
        <v>5561</v>
      </c>
      <c r="HI1009" s="15">
        <f t="shared" si="942"/>
        <v>278.05</v>
      </c>
      <c r="HJ1009" s="15">
        <f>HI1009*SQRT(AR1009)</f>
        <v>481.59672704452635</v>
      </c>
      <c r="HK1009" s="15">
        <f t="shared" si="862"/>
        <v>1.4527168234064787</v>
      </c>
      <c r="HL1009" s="15">
        <f t="shared" si="863"/>
        <v>1733</v>
      </c>
      <c r="HM1009" s="15">
        <f t="shared" si="864"/>
        <v>0.37343547461471793</v>
      </c>
      <c r="HN1009" s="15">
        <f>((HJ1009*HJ1009)/(AR1009*HH1009*HH1009)+(HG1009*HG1009)/(AR1009*HE1009*HE1009))</f>
        <v>4.9999999999999992E-3</v>
      </c>
      <c r="HP1009" s="15" t="s">
        <v>766</v>
      </c>
      <c r="HV1009" s="15">
        <f t="shared" si="865"/>
        <v>96.603034398966557</v>
      </c>
      <c r="HW1009" s="15">
        <f t="shared" si="914"/>
        <v>0.37343547461471793</v>
      </c>
      <c r="HX1009" s="15">
        <f>EY1009</f>
        <v>3607.5</v>
      </c>
      <c r="HY1009" s="15">
        <f>EW1009</f>
        <v>2512.5</v>
      </c>
      <c r="HZ1009" s="15">
        <f>EX1009</f>
        <v>1.7091995035681042</v>
      </c>
      <c r="IA1009" s="15">
        <f>EY1009</f>
        <v>3607.5</v>
      </c>
    </row>
    <row r="1010" spans="1:235" s="15" customFormat="1" x14ac:dyDescent="0.25">
      <c r="A1010" s="31">
        <v>1008</v>
      </c>
      <c r="B1010" s="1">
        <v>168</v>
      </c>
      <c r="C1010" s="1">
        <v>192</v>
      </c>
      <c r="D1010" s="15" t="s">
        <v>2232</v>
      </c>
      <c r="E1010" s="31">
        <v>2</v>
      </c>
      <c r="F1010" s="15" t="s">
        <v>777</v>
      </c>
      <c r="G1010" s="15" t="s">
        <v>2244</v>
      </c>
      <c r="H1010" s="15" t="s">
        <v>2256</v>
      </c>
      <c r="I1010" s="1">
        <v>2019</v>
      </c>
      <c r="J1010" s="15" t="s">
        <v>2186</v>
      </c>
      <c r="K1010" s="1" t="s">
        <v>2257</v>
      </c>
      <c r="L1010" s="15" t="s">
        <v>2258</v>
      </c>
      <c r="M1010" s="15" t="s">
        <v>2261</v>
      </c>
      <c r="N1010" s="15" t="s">
        <v>538</v>
      </c>
      <c r="O1010" s="31">
        <v>1</v>
      </c>
      <c r="P1010" s="15">
        <v>-0.5</v>
      </c>
      <c r="Q1010" s="15">
        <v>37.5</v>
      </c>
      <c r="R1010" s="15">
        <v>1480</v>
      </c>
      <c r="S1010" s="15">
        <v>785</v>
      </c>
      <c r="T1010" s="15">
        <v>23</v>
      </c>
      <c r="U1010" s="15" t="s">
        <v>549</v>
      </c>
      <c r="V1010" s="31">
        <v>1</v>
      </c>
      <c r="W1010" s="16" t="s">
        <v>2262</v>
      </c>
      <c r="X1010" s="15" t="s">
        <v>731</v>
      </c>
      <c r="Y1010" s="1">
        <v>12</v>
      </c>
      <c r="Z1010" s="15">
        <v>5.01</v>
      </c>
      <c r="AA1010" s="15" t="s">
        <v>573</v>
      </c>
      <c r="AB1010" s="15">
        <f t="shared" si="882"/>
        <v>5.01</v>
      </c>
      <c r="AC1010" s="1">
        <v>3</v>
      </c>
      <c r="AD1010" s="15">
        <f>20*1.74</f>
        <v>34.799999999999997</v>
      </c>
      <c r="AJ1010" s="15">
        <v>43.5</v>
      </c>
      <c r="AK1010" s="15">
        <f t="shared" ref="AK1010:AK1021" si="943">100-AJ1010-AL1010</f>
        <v>34.799999999999997</v>
      </c>
      <c r="AL1010" s="15">
        <v>21.7</v>
      </c>
      <c r="AM1010" s="1">
        <v>1</v>
      </c>
      <c r="AP1010" s="15" t="s">
        <v>2264</v>
      </c>
      <c r="AQ1010" s="1">
        <v>6</v>
      </c>
      <c r="AR1010" s="1">
        <v>3</v>
      </c>
      <c r="BP1010" s="16"/>
      <c r="BQ1010" s="16"/>
      <c r="BR1010" s="16"/>
      <c r="BU1010" s="16"/>
      <c r="CC1010" s="15" t="s">
        <v>2263</v>
      </c>
      <c r="CE1010" s="15">
        <v>10000</v>
      </c>
      <c r="CF1010" s="15">
        <v>10000</v>
      </c>
      <c r="CG1010" s="15" t="s">
        <v>766</v>
      </c>
      <c r="CW1010" s="15">
        <v>45.3</v>
      </c>
      <c r="CY1010" s="25">
        <f t="shared" ref="CY1010:CY1035" si="944">CF1010</f>
        <v>10000</v>
      </c>
      <c r="CZ1010" s="25">
        <f t="shared" ref="CZ1010:CZ1035" si="945">CY1010/0.78/1000</f>
        <v>12.820512820512821</v>
      </c>
      <c r="DA1010" s="25">
        <f t="shared" ref="DA1010:DA1035" si="946">CY1010*3</f>
        <v>30000</v>
      </c>
      <c r="EZ1010" s="15">
        <v>0.77</v>
      </c>
      <c r="FA1010" s="15">
        <f t="shared" ref="FA1010:FA1022" si="947">EZ1010*0.05</f>
        <v>3.8500000000000006E-2</v>
      </c>
      <c r="FB1010" s="15">
        <f>FA1010*SQRT(AR1010)</f>
        <v>6.6683956091401778E-2</v>
      </c>
      <c r="FC1010" s="15">
        <v>0.73</v>
      </c>
      <c r="FD1010" s="15">
        <f t="shared" ref="FD1010:FD1021" si="948">FC1010*0.05</f>
        <v>3.6499999999999998E-2</v>
      </c>
      <c r="FE1010" s="15">
        <f>FD1010*SQRT(AR1010)</f>
        <v>6.321985447626402E-2</v>
      </c>
      <c r="FF1010" s="15">
        <f t="shared" ref="FF1010:FF1035" si="949">FC1010/EZ1010</f>
        <v>0.94805194805194803</v>
      </c>
      <c r="FG1010" s="15">
        <f t="shared" ref="FG1010:FG1035" si="950">FC1010-EZ1010</f>
        <v>-4.0000000000000036E-2</v>
      </c>
      <c r="FH1010" s="15">
        <f t="shared" ref="FH1010:FH1035" si="951">LN(FC1010)-LN(EZ1010)</f>
        <v>-5.3345980705292728E-2</v>
      </c>
      <c r="FI1010" s="15">
        <f>((FE1010*FE1010)/(AR1010*FC1010*FC1010)+(FB1010*FB1010)/(AR1010*EZ1010*EZ1010))</f>
        <v>5.0000000000000001E-3</v>
      </c>
      <c r="FJ1010" s="16"/>
      <c r="FK1010" s="16">
        <f t="shared" ref="FK1010:FK1035" si="952">FM1010</f>
        <v>4.8099999999999996</v>
      </c>
      <c r="FL1010" s="16">
        <f t="shared" ref="FL1010:FL1035" si="953">FP1010</f>
        <v>5.13</v>
      </c>
      <c r="FM1010" s="15">
        <v>4.8099999999999996</v>
      </c>
      <c r="FN1010" s="15">
        <v>0.18</v>
      </c>
      <c r="FO1010" s="15">
        <f>FN1010*SQRT(AR1010)</f>
        <v>0.31176914536239786</v>
      </c>
      <c r="FP1010" s="15">
        <v>5.13</v>
      </c>
      <c r="FQ1010" s="15">
        <v>0.21</v>
      </c>
      <c r="FR1010" s="15">
        <f>FQ1010*SQRT(AR1010)</f>
        <v>0.36373066958946421</v>
      </c>
      <c r="FS1010" s="15">
        <f t="shared" ref="FS1010:FS1035" si="954">FP1010/FM1010</f>
        <v>1.0665280665280665</v>
      </c>
      <c r="FT1010" s="15">
        <f t="shared" ref="FT1010:FT1035" si="955">FP1010-FM1010</f>
        <v>0.32000000000000028</v>
      </c>
      <c r="FU1010" s="15">
        <f t="shared" ref="FU1010:FU1035" si="956">LN(FP1010)-LN(FM1010)</f>
        <v>6.4408575065008522E-2</v>
      </c>
      <c r="FV1010" s="15">
        <f>((FR1010*FR1010)/(AR1010*FP1010*FP1010)+(FO1010*FO1010)/(AR1010*FM1010*FM1010))</f>
        <v>3.076138169040574E-3</v>
      </c>
      <c r="FX1010" s="15">
        <v>41.585999999999999</v>
      </c>
      <c r="FY1010" s="15">
        <v>1.7</v>
      </c>
      <c r="FZ1010" s="15">
        <f>FY1010*SQRT(AR1010)</f>
        <v>2.9444863728670914</v>
      </c>
      <c r="GA1010" s="15">
        <v>62.64</v>
      </c>
      <c r="GB1010" s="15">
        <v>5.8</v>
      </c>
      <c r="GC1010" s="15">
        <f>GB1010*SQRT(AR1010)</f>
        <v>10.045894683899487</v>
      </c>
      <c r="GD1010" s="15">
        <f t="shared" ref="GD1010:GD1035" si="957">GA1010/FX1010</f>
        <v>1.5062761506276152</v>
      </c>
      <c r="GE1010" s="15">
        <f t="shared" ref="GE1010:GE1035" si="958">GA1010-FX1010</f>
        <v>21.054000000000002</v>
      </c>
      <c r="GF1010" s="15">
        <f t="shared" ref="GF1010:GF1035" si="959">LN(GA1010)-LN(FX1010)</f>
        <v>0.40964047951864568</v>
      </c>
      <c r="GG1010" s="15">
        <f>((GC1010*GC1010)/(AR1010*GA1010*GA1010)+(FZ1010*FZ1010)/(AR1010*FX1010*FX1010))</f>
        <v>1.0244492455223205E-2</v>
      </c>
      <c r="HE1010" s="15">
        <v>750</v>
      </c>
      <c r="HF1010" s="15">
        <f t="shared" si="941"/>
        <v>37.5</v>
      </c>
      <c r="HG1010" s="15">
        <f>HF1010*SQRT(AR1010)</f>
        <v>64.9519052838329</v>
      </c>
      <c r="HH1010" s="15">
        <v>1358</v>
      </c>
      <c r="HI1010" s="15">
        <f t="shared" si="942"/>
        <v>67.900000000000006</v>
      </c>
      <c r="HJ1010" s="15">
        <f>HI1010*SQRT(AR1010)</f>
        <v>117.60624983392677</v>
      </c>
      <c r="HK1010" s="15">
        <f t="shared" si="862"/>
        <v>1.8106666666666666</v>
      </c>
      <c r="HL1010" s="15">
        <f t="shared" si="863"/>
        <v>608</v>
      </c>
      <c r="HM1010" s="15">
        <f t="shared" si="864"/>
        <v>0.59369510158828565</v>
      </c>
      <c r="HN1010" s="15">
        <f>((HJ1010*HJ1010)/(AR1010*HH1010*HH1010)+(HG1010*HG1010)/(AR1010*HE1010*HE1010))</f>
        <v>5.0000000000000001E-3</v>
      </c>
      <c r="HP1010" s="15" t="s">
        <v>766</v>
      </c>
      <c r="HV1010" s="15">
        <f t="shared" si="865"/>
        <v>505.30987909016528</v>
      </c>
      <c r="HW1010" s="15">
        <f t="shared" si="914"/>
        <v>0.59369510158828565</v>
      </c>
      <c r="HX1010" s="25">
        <f t="shared" ref="HX1010:HX1035" si="960">DA1010</f>
        <v>30000</v>
      </c>
      <c r="HY1010" s="25">
        <f t="shared" ref="HY1010:HY1035" si="961">CY1010</f>
        <v>10000</v>
      </c>
      <c r="HZ1010" s="25">
        <f t="shared" ref="HZ1010:HZ1035" si="962">CZ1010</f>
        <v>12.820512820512821</v>
      </c>
      <c r="IA1010" s="25">
        <f t="shared" ref="IA1010:IA1035" si="963">DA1010</f>
        <v>30000</v>
      </c>
    </row>
    <row r="1011" spans="1:235" s="15" customFormat="1" x14ac:dyDescent="0.25">
      <c r="A1011" s="31">
        <v>1009</v>
      </c>
      <c r="B1011" s="1">
        <v>168</v>
      </c>
      <c r="C1011" s="1">
        <v>192</v>
      </c>
      <c r="D1011" s="15" t="s">
        <v>2233</v>
      </c>
      <c r="E1011" s="31">
        <v>2</v>
      </c>
      <c r="F1011" s="15" t="s">
        <v>777</v>
      </c>
      <c r="G1011" s="15" t="s">
        <v>2245</v>
      </c>
      <c r="H1011" s="15" t="s">
        <v>2256</v>
      </c>
      <c r="I1011" s="1">
        <v>2019</v>
      </c>
      <c r="J1011" s="15" t="s">
        <v>2186</v>
      </c>
      <c r="K1011" s="1" t="s">
        <v>2257</v>
      </c>
      <c r="L1011" s="15" t="s">
        <v>2258</v>
      </c>
      <c r="M1011" s="15" t="s">
        <v>2261</v>
      </c>
      <c r="N1011" s="15" t="s">
        <v>538</v>
      </c>
      <c r="O1011" s="31">
        <v>1</v>
      </c>
      <c r="P1011" s="15">
        <v>-0.5</v>
      </c>
      <c r="Q1011" s="15">
        <v>37.5</v>
      </c>
      <c r="R1011" s="15">
        <v>1480</v>
      </c>
      <c r="S1011" s="15">
        <v>785</v>
      </c>
      <c r="T1011" s="15">
        <v>23</v>
      </c>
      <c r="U1011" s="15" t="s">
        <v>549</v>
      </c>
      <c r="V1011" s="31">
        <v>1</v>
      </c>
      <c r="W1011" s="16" t="s">
        <v>2262</v>
      </c>
      <c r="X1011" s="15" t="s">
        <v>731</v>
      </c>
      <c r="Y1011" s="1">
        <v>12</v>
      </c>
      <c r="Z1011" s="15">
        <v>5.01</v>
      </c>
      <c r="AA1011" s="15" t="s">
        <v>573</v>
      </c>
      <c r="AB1011" s="15">
        <f t="shared" si="882"/>
        <v>5.01</v>
      </c>
      <c r="AC1011" s="1">
        <v>3</v>
      </c>
      <c r="AD1011" s="15">
        <f>20*1.74</f>
        <v>34.799999999999997</v>
      </c>
      <c r="AJ1011" s="15">
        <v>44.5</v>
      </c>
      <c r="AK1011" s="15">
        <f t="shared" si="943"/>
        <v>32.799999999999997</v>
      </c>
      <c r="AL1011" s="15">
        <v>22.7</v>
      </c>
      <c r="AM1011" s="1">
        <v>1</v>
      </c>
      <c r="AP1011" s="15" t="s">
        <v>2264</v>
      </c>
      <c r="AQ1011" s="1">
        <v>6</v>
      </c>
      <c r="AR1011" s="1">
        <v>3</v>
      </c>
      <c r="BP1011" s="16"/>
      <c r="BQ1011" s="16"/>
      <c r="BR1011" s="16"/>
      <c r="BU1011" s="16"/>
      <c r="CC1011" s="15" t="s">
        <v>2263</v>
      </c>
      <c r="CE1011" s="15">
        <v>10000</v>
      </c>
      <c r="CF1011" s="15">
        <v>10000</v>
      </c>
      <c r="CG1011" s="15" t="s">
        <v>766</v>
      </c>
      <c r="CW1011" s="15">
        <v>45.3</v>
      </c>
      <c r="CY1011" s="25">
        <f t="shared" si="944"/>
        <v>10000</v>
      </c>
      <c r="CZ1011" s="25">
        <f t="shared" si="945"/>
        <v>12.820512820512821</v>
      </c>
      <c r="DA1011" s="25">
        <f t="shared" si="946"/>
        <v>30000</v>
      </c>
      <c r="EZ1011" s="15">
        <v>0.8</v>
      </c>
      <c r="FA1011" s="15">
        <f t="shared" si="947"/>
        <v>4.0000000000000008E-2</v>
      </c>
      <c r="FB1011" s="15">
        <f>FA1011*SQRT(AR1011)</f>
        <v>6.9282032302755106E-2</v>
      </c>
      <c r="FC1011" s="15">
        <v>0.72</v>
      </c>
      <c r="FD1011" s="15">
        <f t="shared" si="948"/>
        <v>3.5999999999999997E-2</v>
      </c>
      <c r="FE1011" s="15">
        <f>FD1011*SQRT(AR1011)</f>
        <v>6.2353829072479577E-2</v>
      </c>
      <c r="FF1011" s="15">
        <f t="shared" si="949"/>
        <v>0.89999999999999991</v>
      </c>
      <c r="FG1011" s="15">
        <f t="shared" si="950"/>
        <v>-8.0000000000000071E-2</v>
      </c>
      <c r="FH1011" s="15">
        <f t="shared" si="951"/>
        <v>-0.10536051565782639</v>
      </c>
      <c r="FI1011" s="15">
        <f>((FE1011*FE1011)/(AR1011*FC1011*FC1011)+(FB1011*FB1011)/(AR1011*EZ1011*EZ1011))</f>
        <v>5.0000000000000001E-3</v>
      </c>
      <c r="FK1011" s="16">
        <f t="shared" si="952"/>
        <v>4.79</v>
      </c>
      <c r="FL1011" s="16">
        <f t="shared" si="953"/>
        <v>5.32</v>
      </c>
      <c r="FM1011" s="15">
        <v>4.79</v>
      </c>
      <c r="FN1011" s="15">
        <v>0.13</v>
      </c>
      <c r="FO1011" s="15">
        <f>FN1011*SQRT(AR1011)</f>
        <v>0.22516660498395405</v>
      </c>
      <c r="FP1011" s="15">
        <v>5.32</v>
      </c>
      <c r="FQ1011" s="15">
        <v>0.3</v>
      </c>
      <c r="FR1011" s="15">
        <f>FQ1011*SQRT(AR1011)</f>
        <v>0.51961524227066314</v>
      </c>
      <c r="FS1011" s="15">
        <f t="shared" si="954"/>
        <v>1.1106471816283925</v>
      </c>
      <c r="FT1011" s="15">
        <f t="shared" si="955"/>
        <v>0.53000000000000025</v>
      </c>
      <c r="FU1011" s="15">
        <f t="shared" si="956"/>
        <v>0.10494289193072937</v>
      </c>
      <c r="FV1011" s="15">
        <f>((FR1011*FR1011)/(AR1011*FP1011*FP1011)+(FO1011*FO1011)/(AR1011*FM1011*FM1011))</f>
        <v>3.9165151378963842E-3</v>
      </c>
      <c r="FX1011" s="15">
        <v>41.238</v>
      </c>
      <c r="FY1011" s="15">
        <v>0.4</v>
      </c>
      <c r="FZ1011" s="15">
        <f>FY1011*SQRT(AR1011)</f>
        <v>0.69282032302755092</v>
      </c>
      <c r="GA1011" s="15">
        <v>67.512</v>
      </c>
      <c r="GB1011" s="15">
        <v>2.2000000000000002</v>
      </c>
      <c r="GC1011" s="15">
        <f>GB1011*SQRT(AR1011)</f>
        <v>3.8105117766515302</v>
      </c>
      <c r="GD1011" s="15">
        <f t="shared" si="957"/>
        <v>1.6371308016877637</v>
      </c>
      <c r="GE1011" s="15">
        <f t="shared" si="958"/>
        <v>26.274000000000001</v>
      </c>
      <c r="GF1011" s="15">
        <f t="shared" si="959"/>
        <v>0.49294519848814167</v>
      </c>
      <c r="GG1011" s="15">
        <f>((GC1011*GC1011)/(AR1011*GA1011*GA1011)+(FZ1011*FZ1011)/(AR1011*FX1011*FX1011))</f>
        <v>1.1559854483413673E-3</v>
      </c>
      <c r="HE1011" s="15">
        <v>1745</v>
      </c>
      <c r="HF1011" s="15">
        <f t="shared" si="941"/>
        <v>87.25</v>
      </c>
      <c r="HG1011" s="15">
        <f>HF1011*SQRT(AR1011)</f>
        <v>151.12143296038454</v>
      </c>
      <c r="HH1011" s="15">
        <v>2426</v>
      </c>
      <c r="HI1011" s="15">
        <f t="shared" si="942"/>
        <v>121.30000000000001</v>
      </c>
      <c r="HJ1011" s="15">
        <f>HI1011*SQRT(AR1011)</f>
        <v>210.09776295810482</v>
      </c>
      <c r="HK1011" s="15">
        <f t="shared" si="862"/>
        <v>1.3902578796561604</v>
      </c>
      <c r="HL1011" s="15">
        <f t="shared" si="863"/>
        <v>681</v>
      </c>
      <c r="HM1011" s="15">
        <f t="shared" si="864"/>
        <v>0.32948925486746816</v>
      </c>
      <c r="HN1011" s="15">
        <f>((HJ1011*HJ1011)/(AR1011*HH1011*HH1011)+(HG1011*HG1011)/(AR1011*HE1011*HE1011))</f>
        <v>5.0000000000000001E-3</v>
      </c>
      <c r="HP1011" s="15" t="s">
        <v>766</v>
      </c>
      <c r="HV1011" s="15">
        <f t="shared" si="865"/>
        <v>910.500101500033</v>
      </c>
      <c r="HW1011" s="15">
        <f t="shared" si="914"/>
        <v>0.32948925486746816</v>
      </c>
      <c r="HX1011" s="25">
        <f t="shared" si="960"/>
        <v>30000</v>
      </c>
      <c r="HY1011" s="25">
        <f t="shared" si="961"/>
        <v>10000</v>
      </c>
      <c r="HZ1011" s="25">
        <f t="shared" si="962"/>
        <v>12.820512820512821</v>
      </c>
      <c r="IA1011" s="25">
        <f t="shared" si="963"/>
        <v>30000</v>
      </c>
    </row>
    <row r="1012" spans="1:235" s="15" customFormat="1" x14ac:dyDescent="0.25">
      <c r="A1012" s="31">
        <v>1010</v>
      </c>
      <c r="B1012" s="1">
        <v>168</v>
      </c>
      <c r="C1012" s="1">
        <v>192</v>
      </c>
      <c r="D1012" s="15" t="s">
        <v>2234</v>
      </c>
      <c r="E1012" s="31">
        <v>2</v>
      </c>
      <c r="F1012" s="15" t="s">
        <v>777</v>
      </c>
      <c r="G1012" s="15" t="s">
        <v>2246</v>
      </c>
      <c r="H1012" s="15" t="s">
        <v>2256</v>
      </c>
      <c r="I1012" s="1">
        <v>2019</v>
      </c>
      <c r="J1012" s="15" t="s">
        <v>2186</v>
      </c>
      <c r="K1012" s="1" t="s">
        <v>2257</v>
      </c>
      <c r="L1012" s="15" t="s">
        <v>2258</v>
      </c>
      <c r="M1012" s="15" t="s">
        <v>2261</v>
      </c>
      <c r="N1012" s="15" t="s">
        <v>538</v>
      </c>
      <c r="O1012" s="31">
        <v>1</v>
      </c>
      <c r="P1012" s="15">
        <v>-0.5</v>
      </c>
      <c r="Q1012" s="15">
        <v>37.5</v>
      </c>
      <c r="R1012" s="15">
        <v>1480</v>
      </c>
      <c r="S1012" s="15">
        <v>785</v>
      </c>
      <c r="T1012" s="15">
        <v>23</v>
      </c>
      <c r="U1012" s="15" t="s">
        <v>549</v>
      </c>
      <c r="V1012" s="31">
        <v>1</v>
      </c>
      <c r="W1012" s="16" t="s">
        <v>2262</v>
      </c>
      <c r="X1012" s="15" t="s">
        <v>1147</v>
      </c>
      <c r="Y1012" s="1">
        <v>5</v>
      </c>
      <c r="Z1012" s="15">
        <v>5.01</v>
      </c>
      <c r="AA1012" s="15" t="s">
        <v>573</v>
      </c>
      <c r="AB1012" s="15">
        <f t="shared" si="882"/>
        <v>5.01</v>
      </c>
      <c r="AC1012" s="1">
        <v>3</v>
      </c>
      <c r="AD1012" s="15">
        <f>20*1.74</f>
        <v>34.799999999999997</v>
      </c>
      <c r="AJ1012" s="15">
        <v>45.5</v>
      </c>
      <c r="AK1012" s="15">
        <f t="shared" si="943"/>
        <v>30.8</v>
      </c>
      <c r="AL1012" s="15">
        <v>23.7</v>
      </c>
      <c r="AM1012" s="1">
        <v>1</v>
      </c>
      <c r="AP1012" s="15" t="s">
        <v>2264</v>
      </c>
      <c r="AQ1012" s="1">
        <v>6</v>
      </c>
      <c r="AR1012" s="1">
        <v>3</v>
      </c>
      <c r="BP1012" s="16"/>
      <c r="BQ1012" s="16"/>
      <c r="BR1012" s="16"/>
      <c r="BU1012" s="16"/>
      <c r="CC1012" s="15" t="s">
        <v>2263</v>
      </c>
      <c r="CE1012" s="15">
        <v>10000</v>
      </c>
      <c r="CF1012" s="15">
        <v>10000</v>
      </c>
      <c r="CG1012" s="15" t="s">
        <v>766</v>
      </c>
      <c r="CW1012" s="15">
        <v>45.3</v>
      </c>
      <c r="CY1012" s="25">
        <f t="shared" si="944"/>
        <v>10000</v>
      </c>
      <c r="CZ1012" s="25">
        <f t="shared" si="945"/>
        <v>12.820512820512821</v>
      </c>
      <c r="DA1012" s="25">
        <f t="shared" si="946"/>
        <v>30000</v>
      </c>
      <c r="EZ1012" s="15">
        <v>0.77</v>
      </c>
      <c r="FA1012" s="15">
        <f t="shared" si="947"/>
        <v>3.8500000000000006E-2</v>
      </c>
      <c r="FB1012" s="15">
        <f>FA1012*SQRT(AR1012)</f>
        <v>6.6683956091401778E-2</v>
      </c>
      <c r="FC1012" s="15">
        <v>0.73</v>
      </c>
      <c r="FD1012" s="15">
        <f t="shared" si="948"/>
        <v>3.6499999999999998E-2</v>
      </c>
      <c r="FE1012" s="15">
        <f>FD1012*SQRT(AR1012)</f>
        <v>6.321985447626402E-2</v>
      </c>
      <c r="FF1012" s="15">
        <f t="shared" si="949"/>
        <v>0.94805194805194803</v>
      </c>
      <c r="FG1012" s="15">
        <f t="shared" si="950"/>
        <v>-4.0000000000000036E-2</v>
      </c>
      <c r="FH1012" s="15">
        <f t="shared" si="951"/>
        <v>-5.3345980705292728E-2</v>
      </c>
      <c r="FI1012" s="15">
        <f>((FE1012*FE1012)/(AR1012*FC1012*FC1012)+(FB1012*FB1012)/(AR1012*EZ1012*EZ1012))</f>
        <v>5.0000000000000001E-3</v>
      </c>
      <c r="FK1012" s="16">
        <f t="shared" si="952"/>
        <v>4.8</v>
      </c>
      <c r="FL1012" s="16">
        <f t="shared" si="953"/>
        <v>4.9800000000000004</v>
      </c>
      <c r="FM1012" s="15">
        <v>4.8</v>
      </c>
      <c r="FN1012" s="15">
        <v>0.23</v>
      </c>
      <c r="FO1012" s="15">
        <f>FN1012*SQRT(AR1012)</f>
        <v>0.39837168574084175</v>
      </c>
      <c r="FP1012" s="15">
        <v>4.9800000000000004</v>
      </c>
      <c r="FQ1012" s="15">
        <v>0.23</v>
      </c>
      <c r="FR1012" s="15">
        <f>FQ1012*SQRT(AR1012)</f>
        <v>0.39837168574084175</v>
      </c>
      <c r="FS1012" s="15">
        <f t="shared" si="954"/>
        <v>1.0375000000000001</v>
      </c>
      <c r="FT1012" s="15">
        <f t="shared" si="955"/>
        <v>0.1800000000000006</v>
      </c>
      <c r="FU1012" s="15">
        <f t="shared" si="956"/>
        <v>3.6813973122716392E-2</v>
      </c>
      <c r="FV1012" s="15">
        <f>((FR1012*FR1012)/(AR1012*FP1012*FP1012)+(FO1012*FO1012)/(AR1012*FM1012*FM1012))</f>
        <v>4.429037056861985E-3</v>
      </c>
      <c r="FX1012" s="15">
        <v>41.585999999999999</v>
      </c>
      <c r="FY1012" s="15">
        <v>1.7</v>
      </c>
      <c r="FZ1012" s="15">
        <f>FY1012*SQRT(AR1012)</f>
        <v>2.9444863728670914</v>
      </c>
      <c r="GA1012" s="15">
        <v>62.64</v>
      </c>
      <c r="GB1012" s="15">
        <v>5.8</v>
      </c>
      <c r="GC1012" s="15">
        <f>GB1012*SQRT(AR1012)</f>
        <v>10.045894683899487</v>
      </c>
      <c r="GD1012" s="15">
        <f t="shared" si="957"/>
        <v>1.5062761506276152</v>
      </c>
      <c r="GE1012" s="15">
        <f t="shared" si="958"/>
        <v>21.054000000000002</v>
      </c>
      <c r="GF1012" s="15">
        <f t="shared" si="959"/>
        <v>0.40964047951864568</v>
      </c>
      <c r="GG1012" s="15">
        <f>((GC1012*GC1012)/(AR1012*GA1012*GA1012)+(FZ1012*FZ1012)/(AR1012*FX1012*FX1012))</f>
        <v>1.0244492455223205E-2</v>
      </c>
      <c r="HE1012" s="15">
        <v>115</v>
      </c>
      <c r="HF1012" s="15">
        <f t="shared" si="941"/>
        <v>5.75</v>
      </c>
      <c r="HG1012" s="15">
        <f>HF1012*SQRT(AR1012)</f>
        <v>9.9592921435210435</v>
      </c>
      <c r="HH1012" s="15">
        <v>229</v>
      </c>
      <c r="HI1012" s="15">
        <f t="shared" si="942"/>
        <v>11.450000000000001</v>
      </c>
      <c r="HJ1012" s="15">
        <f>HI1012*SQRT(AR1012)</f>
        <v>19.831981746663647</v>
      </c>
      <c r="HK1012" s="15">
        <f t="shared" si="862"/>
        <v>1.991304347826087</v>
      </c>
      <c r="HL1012" s="15">
        <f t="shared" si="863"/>
        <v>114</v>
      </c>
      <c r="HM1012" s="15">
        <f t="shared" si="864"/>
        <v>0.68878987519098978</v>
      </c>
      <c r="HN1012" s="15">
        <f>((HJ1012*HJ1012)/(AR1012*HH1012*HH1012)+(HG1012*HG1012)/(AR1012*HE1012*HE1012))</f>
        <v>5.0000000000000001E-3</v>
      </c>
      <c r="HP1012" s="15" t="s">
        <v>766</v>
      </c>
      <c r="HV1012" s="15">
        <f t="shared" si="865"/>
        <v>435.54647187114222</v>
      </c>
      <c r="HW1012" s="15">
        <f t="shared" si="914"/>
        <v>0.68878987519098978</v>
      </c>
      <c r="HX1012" s="25">
        <f t="shared" si="960"/>
        <v>30000</v>
      </c>
      <c r="HY1012" s="25">
        <f t="shared" si="961"/>
        <v>10000</v>
      </c>
      <c r="HZ1012" s="25">
        <f t="shared" si="962"/>
        <v>12.820512820512821</v>
      </c>
      <c r="IA1012" s="25">
        <f t="shared" si="963"/>
        <v>30000</v>
      </c>
    </row>
    <row r="1013" spans="1:235" s="15" customFormat="1" x14ac:dyDescent="0.25">
      <c r="A1013" s="31">
        <v>1011</v>
      </c>
      <c r="B1013" s="1">
        <v>168</v>
      </c>
      <c r="C1013" s="1">
        <v>192</v>
      </c>
      <c r="D1013" s="15" t="s">
        <v>2235</v>
      </c>
      <c r="E1013" s="31">
        <v>2</v>
      </c>
      <c r="F1013" s="15" t="s">
        <v>777</v>
      </c>
      <c r="G1013" s="15" t="s">
        <v>2247</v>
      </c>
      <c r="H1013" s="15" t="s">
        <v>2256</v>
      </c>
      <c r="I1013" s="1">
        <v>2019</v>
      </c>
      <c r="J1013" s="15" t="s">
        <v>2186</v>
      </c>
      <c r="K1013" s="1" t="s">
        <v>2257</v>
      </c>
      <c r="L1013" s="15" t="s">
        <v>2258</v>
      </c>
      <c r="M1013" s="15" t="s">
        <v>2261</v>
      </c>
      <c r="N1013" s="15" t="s">
        <v>538</v>
      </c>
      <c r="O1013" s="31">
        <v>1</v>
      </c>
      <c r="P1013" s="15">
        <v>-0.5</v>
      </c>
      <c r="Q1013" s="15">
        <v>37.5</v>
      </c>
      <c r="R1013" s="15">
        <v>1480</v>
      </c>
      <c r="S1013" s="15">
        <v>785</v>
      </c>
      <c r="T1013" s="15">
        <v>23</v>
      </c>
      <c r="U1013" s="15" t="s">
        <v>549</v>
      </c>
      <c r="V1013" s="31">
        <v>1</v>
      </c>
      <c r="W1013" s="16" t="s">
        <v>2262</v>
      </c>
      <c r="X1013" s="15" t="s">
        <v>1147</v>
      </c>
      <c r="Y1013" s="1">
        <v>5</v>
      </c>
      <c r="Z1013" s="15">
        <v>5.01</v>
      </c>
      <c r="AA1013" s="15" t="s">
        <v>573</v>
      </c>
      <c r="AB1013" s="15">
        <f t="shared" si="882"/>
        <v>5.01</v>
      </c>
      <c r="AC1013" s="1">
        <v>3</v>
      </c>
      <c r="AD1013" s="15">
        <f>20*1.74</f>
        <v>34.799999999999997</v>
      </c>
      <c r="AJ1013" s="15">
        <v>46.5</v>
      </c>
      <c r="AK1013" s="15">
        <f t="shared" si="943"/>
        <v>28.8</v>
      </c>
      <c r="AL1013" s="15">
        <v>24.7</v>
      </c>
      <c r="AM1013" s="1">
        <v>1</v>
      </c>
      <c r="AP1013" s="15" t="s">
        <v>2264</v>
      </c>
      <c r="AQ1013" s="1">
        <v>6</v>
      </c>
      <c r="AR1013" s="1">
        <v>3</v>
      </c>
      <c r="BP1013" s="16"/>
      <c r="BQ1013" s="16"/>
      <c r="BR1013" s="16"/>
      <c r="BU1013" s="16"/>
      <c r="CC1013" s="15" t="s">
        <v>2263</v>
      </c>
      <c r="CE1013" s="15">
        <v>10000</v>
      </c>
      <c r="CF1013" s="15">
        <v>10000</v>
      </c>
      <c r="CG1013" s="15" t="s">
        <v>766</v>
      </c>
      <c r="CW1013" s="15">
        <v>45.3</v>
      </c>
      <c r="CY1013" s="25">
        <f t="shared" si="944"/>
        <v>10000</v>
      </c>
      <c r="CZ1013" s="25">
        <f t="shared" si="945"/>
        <v>12.820512820512821</v>
      </c>
      <c r="DA1013" s="25">
        <f t="shared" si="946"/>
        <v>30000</v>
      </c>
      <c r="EZ1013" s="15">
        <v>0.8</v>
      </c>
      <c r="FA1013" s="15">
        <f t="shared" si="947"/>
        <v>4.0000000000000008E-2</v>
      </c>
      <c r="FB1013" s="15">
        <f>FA1013*SQRT(AR1013)</f>
        <v>6.9282032302755106E-2</v>
      </c>
      <c r="FC1013" s="15">
        <v>0.72</v>
      </c>
      <c r="FD1013" s="15">
        <f t="shared" si="948"/>
        <v>3.5999999999999997E-2</v>
      </c>
      <c r="FE1013" s="15">
        <f>FD1013*SQRT(AR1013)</f>
        <v>6.2353829072479577E-2</v>
      </c>
      <c r="FF1013" s="15">
        <f t="shared" si="949"/>
        <v>0.89999999999999991</v>
      </c>
      <c r="FG1013" s="15">
        <f t="shared" si="950"/>
        <v>-8.0000000000000071E-2</v>
      </c>
      <c r="FH1013" s="15">
        <f t="shared" si="951"/>
        <v>-0.10536051565782639</v>
      </c>
      <c r="FI1013" s="15">
        <f>((FE1013*FE1013)/(AR1013*FC1013*FC1013)+(FB1013*FB1013)/(AR1013*EZ1013*EZ1013))</f>
        <v>5.0000000000000001E-3</v>
      </c>
      <c r="FK1013" s="16">
        <f t="shared" si="952"/>
        <v>4.7300000000000004</v>
      </c>
      <c r="FL1013" s="16">
        <f t="shared" si="953"/>
        <v>5.35</v>
      </c>
      <c r="FM1013" s="15">
        <v>4.7300000000000004</v>
      </c>
      <c r="FN1013" s="15">
        <v>0.21</v>
      </c>
      <c r="FO1013" s="15">
        <f>FN1013*SQRT(AR1013)</f>
        <v>0.36373066958946421</v>
      </c>
      <c r="FP1013" s="15">
        <v>5.35</v>
      </c>
      <c r="FQ1013" s="15">
        <v>0.21</v>
      </c>
      <c r="FR1013" s="15">
        <f>FQ1013*SQRT(AR1013)</f>
        <v>0.36373066958946421</v>
      </c>
      <c r="FS1013" s="15">
        <f t="shared" si="954"/>
        <v>1.1310782241014798</v>
      </c>
      <c r="FT1013" s="15">
        <f t="shared" si="955"/>
        <v>0.61999999999999922</v>
      </c>
      <c r="FU1013" s="15">
        <f t="shared" si="956"/>
        <v>0.12317135840407345</v>
      </c>
      <c r="FV1013" s="15">
        <f>((FR1013*FR1013)/(AR1013*FP1013*FP1013)+(FO1013*FO1013)/(AR1013*FM1013*FM1013))</f>
        <v>3.5118806376980404E-3</v>
      </c>
      <c r="FX1013" s="15">
        <v>41.238</v>
      </c>
      <c r="FY1013" s="15">
        <v>0.4</v>
      </c>
      <c r="FZ1013" s="15">
        <f>FY1013*SQRT(AR1013)</f>
        <v>0.69282032302755092</v>
      </c>
      <c r="GA1013" s="15">
        <v>67.512</v>
      </c>
      <c r="GB1013" s="15">
        <v>2.2000000000000002</v>
      </c>
      <c r="GC1013" s="15">
        <f>GB1013*SQRT(AR1013)</f>
        <v>3.8105117766515302</v>
      </c>
      <c r="GD1013" s="15">
        <f t="shared" si="957"/>
        <v>1.6371308016877637</v>
      </c>
      <c r="GE1013" s="15">
        <f t="shared" si="958"/>
        <v>26.274000000000001</v>
      </c>
      <c r="GF1013" s="15">
        <f t="shared" si="959"/>
        <v>0.49294519848814167</v>
      </c>
      <c r="GG1013" s="15">
        <f>((GC1013*GC1013)/(AR1013*GA1013*GA1013)+(FZ1013*FZ1013)/(AR1013*FX1013*FX1013))</f>
        <v>1.1559854483413673E-3</v>
      </c>
      <c r="HE1013" s="15">
        <v>287</v>
      </c>
      <c r="HF1013" s="15">
        <f t="shared" si="941"/>
        <v>14.350000000000001</v>
      </c>
      <c r="HG1013" s="15">
        <f>HF1013*SQRT(AR1013)</f>
        <v>24.854929088613389</v>
      </c>
      <c r="HH1013" s="15">
        <v>574</v>
      </c>
      <c r="HI1013" s="15">
        <f t="shared" si="942"/>
        <v>28.700000000000003</v>
      </c>
      <c r="HJ1013" s="15">
        <f>HI1013*SQRT(AR1013)</f>
        <v>49.709858177226778</v>
      </c>
      <c r="HK1013" s="15">
        <f t="shared" si="862"/>
        <v>2</v>
      </c>
      <c r="HL1013" s="15">
        <f t="shared" si="863"/>
        <v>287</v>
      </c>
      <c r="HM1013" s="15">
        <f t="shared" si="864"/>
        <v>0.6931471805599454</v>
      </c>
      <c r="HN1013" s="15">
        <f>((HJ1013*HJ1013)/(AR1013*HH1013*HH1013)+(HG1013*HG1013)/(AR1013*HE1013*HE1013))</f>
        <v>5.0000000000000001E-3</v>
      </c>
      <c r="HP1013" s="15" t="s">
        <v>766</v>
      </c>
      <c r="HV1013" s="15">
        <f t="shared" si="865"/>
        <v>432.80851226668898</v>
      </c>
      <c r="HW1013" s="15">
        <f t="shared" si="914"/>
        <v>0.6931471805599454</v>
      </c>
      <c r="HX1013" s="25">
        <f t="shared" si="960"/>
        <v>30000</v>
      </c>
      <c r="HY1013" s="25">
        <f t="shared" si="961"/>
        <v>10000</v>
      </c>
      <c r="HZ1013" s="25">
        <f t="shared" si="962"/>
        <v>12.820512820512821</v>
      </c>
      <c r="IA1013" s="25">
        <f t="shared" si="963"/>
        <v>30000</v>
      </c>
    </row>
    <row r="1014" spans="1:235" s="15" customFormat="1" x14ac:dyDescent="0.25">
      <c r="A1014" s="31">
        <v>1012</v>
      </c>
      <c r="B1014" s="1">
        <v>168</v>
      </c>
      <c r="C1014" s="1">
        <v>193</v>
      </c>
      <c r="D1014" s="15" t="s">
        <v>2236</v>
      </c>
      <c r="E1014" s="31">
        <v>2</v>
      </c>
      <c r="F1014" s="15" t="s">
        <v>777</v>
      </c>
      <c r="G1014" s="15" t="s">
        <v>2248</v>
      </c>
      <c r="H1014" s="15" t="s">
        <v>2256</v>
      </c>
      <c r="I1014" s="1">
        <v>2019</v>
      </c>
      <c r="J1014" s="15" t="s">
        <v>2186</v>
      </c>
      <c r="K1014" s="1" t="s">
        <v>2257</v>
      </c>
      <c r="L1014" s="15" t="s">
        <v>2259</v>
      </c>
      <c r="M1014" s="15" t="s">
        <v>2261</v>
      </c>
      <c r="N1014" s="15" t="s">
        <v>538</v>
      </c>
      <c r="O1014" s="31">
        <v>1</v>
      </c>
      <c r="P1014" s="15">
        <v>0.13</v>
      </c>
      <c r="Q1014" s="15">
        <v>34.4</v>
      </c>
      <c r="R1014" s="15">
        <v>1333</v>
      </c>
      <c r="S1014" s="15">
        <v>785</v>
      </c>
      <c r="T1014" s="15">
        <v>23</v>
      </c>
      <c r="U1014" s="15" t="s">
        <v>549</v>
      </c>
      <c r="V1014" s="31">
        <v>1</v>
      </c>
      <c r="W1014" s="16" t="s">
        <v>2262</v>
      </c>
      <c r="X1014" s="15" t="s">
        <v>731</v>
      </c>
      <c r="Y1014" s="1">
        <v>12</v>
      </c>
      <c r="Z1014" s="15">
        <v>5.96</v>
      </c>
      <c r="AA1014" s="15" t="s">
        <v>573</v>
      </c>
      <c r="AB1014" s="15">
        <f t="shared" si="882"/>
        <v>5.96</v>
      </c>
      <c r="AC1014" s="1">
        <v>4</v>
      </c>
      <c r="AD1014" s="15">
        <f>1.66*10*1.74</f>
        <v>28.883999999999997</v>
      </c>
      <c r="AJ1014" s="15">
        <v>60.1</v>
      </c>
      <c r="AK1014" s="15">
        <f t="shared" si="943"/>
        <v>16.899999999999999</v>
      </c>
      <c r="AL1014" s="15">
        <v>23</v>
      </c>
      <c r="AM1014" s="1">
        <v>1</v>
      </c>
      <c r="AP1014" s="15" t="s">
        <v>2264</v>
      </c>
      <c r="AQ1014" s="1">
        <v>6</v>
      </c>
      <c r="AR1014" s="1">
        <v>3</v>
      </c>
      <c r="BP1014" s="16"/>
      <c r="BQ1014" s="16"/>
      <c r="BR1014" s="16"/>
      <c r="BU1014" s="16"/>
      <c r="CC1014" s="15" t="s">
        <v>2263</v>
      </c>
      <c r="CE1014" s="15">
        <v>10000</v>
      </c>
      <c r="CF1014" s="15">
        <v>10000</v>
      </c>
      <c r="CG1014" s="15" t="s">
        <v>766</v>
      </c>
      <c r="CW1014" s="15">
        <v>45.3</v>
      </c>
      <c r="CY1014" s="25">
        <f t="shared" si="944"/>
        <v>10000</v>
      </c>
      <c r="CZ1014" s="25">
        <f t="shared" si="945"/>
        <v>12.820512820512821</v>
      </c>
      <c r="DA1014" s="25">
        <f t="shared" si="946"/>
        <v>30000</v>
      </c>
      <c r="EZ1014" s="15">
        <v>1.1100000000000001</v>
      </c>
      <c r="FA1014" s="15">
        <f t="shared" si="947"/>
        <v>5.5500000000000008E-2</v>
      </c>
      <c r="FB1014" s="15">
        <f>FA1014*SQRT(AR1014)</f>
        <v>9.6128819820072695E-2</v>
      </c>
      <c r="FC1014" s="15">
        <v>0.95</v>
      </c>
      <c r="FD1014" s="15">
        <f t="shared" si="948"/>
        <v>4.7500000000000001E-2</v>
      </c>
      <c r="FE1014" s="15">
        <f>FD1014*SQRT(AR1014)</f>
        <v>8.2272413359521665E-2</v>
      </c>
      <c r="FF1014" s="15">
        <f t="shared" si="949"/>
        <v>0.85585585585585577</v>
      </c>
      <c r="FG1014" s="15">
        <f t="shared" si="950"/>
        <v>-0.16000000000000014</v>
      </c>
      <c r="FH1014" s="15">
        <f t="shared" si="951"/>
        <v>-0.15565330971179342</v>
      </c>
      <c r="FI1014" s="15">
        <f>((FE1014*FE1014)/(AR1014*FC1014*FC1014)+(FB1014*FB1014)/(AR1014*EZ1014*EZ1014))</f>
        <v>5.0000000000000001E-3</v>
      </c>
      <c r="FK1014" s="16">
        <f t="shared" si="952"/>
        <v>5.41</v>
      </c>
      <c r="FL1014" s="16">
        <f t="shared" si="953"/>
        <v>5.48</v>
      </c>
      <c r="FM1014" s="15">
        <v>5.41</v>
      </c>
      <c r="FN1014" s="15">
        <v>0.06</v>
      </c>
      <c r="FO1014" s="15">
        <f>FN1014*SQRT(AR1014)</f>
        <v>0.10392304845413262</v>
      </c>
      <c r="FP1014" s="15">
        <v>5.48</v>
      </c>
      <c r="FQ1014" s="15">
        <v>0.06</v>
      </c>
      <c r="FR1014" s="15">
        <f>FQ1014*SQRT(AR1014)</f>
        <v>0.10392304845413262</v>
      </c>
      <c r="FS1014" s="15">
        <f t="shared" si="954"/>
        <v>1.0129390018484288</v>
      </c>
      <c r="FT1014" s="15">
        <f t="shared" si="955"/>
        <v>7.0000000000000284E-2</v>
      </c>
      <c r="FU1014" s="15">
        <f t="shared" si="956"/>
        <v>1.2856008101534089E-2</v>
      </c>
      <c r="FV1014" s="15">
        <f>((FR1014*FR1014)/(AR1014*FP1014*FP1014)+(FO1014*FO1014)/(AR1014*FM1014*FM1014))</f>
        <v>2.4287933285192624E-4</v>
      </c>
      <c r="FX1014" s="15">
        <v>32.364000000000004</v>
      </c>
      <c r="FY1014" s="15">
        <v>3</v>
      </c>
      <c r="FZ1014" s="15">
        <f>FY1014*SQRT(AR1014)</f>
        <v>5.196152422706632</v>
      </c>
      <c r="GA1014" s="15">
        <v>46.283999999999999</v>
      </c>
      <c r="GB1014" s="15">
        <v>5.6</v>
      </c>
      <c r="GC1014" s="15">
        <f>GB1014*SQRT(AR1014)</f>
        <v>9.6994845223857116</v>
      </c>
      <c r="GD1014" s="15">
        <f t="shared" si="957"/>
        <v>1.4301075268817203</v>
      </c>
      <c r="GE1014" s="15">
        <f t="shared" si="958"/>
        <v>13.919999999999995</v>
      </c>
      <c r="GF1014" s="15">
        <f t="shared" si="959"/>
        <v>0.35774963506849744</v>
      </c>
      <c r="GG1014" s="15">
        <f>((GC1014*GC1014)/(AR1014*GA1014*GA1014)+(FZ1014*FZ1014)/(AR1014*FX1014*FX1014))</f>
        <v>2.3231568832757878E-2</v>
      </c>
      <c r="HE1014" s="15">
        <v>1691</v>
      </c>
      <c r="HF1014" s="15">
        <f t="shared" si="941"/>
        <v>84.550000000000011</v>
      </c>
      <c r="HG1014" s="15">
        <f>HF1014*SQRT(AR1014)</f>
        <v>146.44489577994858</v>
      </c>
      <c r="HH1014" s="15">
        <v>2566</v>
      </c>
      <c r="HI1014" s="15">
        <f t="shared" si="942"/>
        <v>128.30000000000001</v>
      </c>
      <c r="HJ1014" s="15">
        <f>HI1014*SQRT(AR1014)</f>
        <v>222.22211861108696</v>
      </c>
      <c r="HK1014" s="15">
        <f t="shared" si="862"/>
        <v>1.5174452986398581</v>
      </c>
      <c r="HL1014" s="15">
        <f t="shared" si="863"/>
        <v>875</v>
      </c>
      <c r="HM1014" s="15">
        <f t="shared" si="864"/>
        <v>0.41702819627700194</v>
      </c>
      <c r="HN1014" s="15">
        <f>((HJ1014*HJ1014)/(AR1014*HH1014*HH1014)+(HG1014*HG1014)/(AR1014*HE1014*HE1014))</f>
        <v>5.0000000000000001E-3</v>
      </c>
      <c r="HP1014" s="15" t="s">
        <v>766</v>
      </c>
      <c r="HV1014" s="15">
        <f t="shared" si="865"/>
        <v>719.37581841763881</v>
      </c>
      <c r="HW1014" s="15">
        <f t="shared" si="914"/>
        <v>0.41702819627700194</v>
      </c>
      <c r="HX1014" s="25">
        <f t="shared" si="960"/>
        <v>30000</v>
      </c>
      <c r="HY1014" s="25">
        <f t="shared" si="961"/>
        <v>10000</v>
      </c>
      <c r="HZ1014" s="25">
        <f t="shared" si="962"/>
        <v>12.820512820512821</v>
      </c>
      <c r="IA1014" s="25">
        <f t="shared" si="963"/>
        <v>30000</v>
      </c>
    </row>
    <row r="1015" spans="1:235" s="15" customFormat="1" x14ac:dyDescent="0.25">
      <c r="A1015" s="31">
        <v>1013</v>
      </c>
      <c r="B1015" s="1">
        <v>168</v>
      </c>
      <c r="C1015" s="1">
        <v>193</v>
      </c>
      <c r="D1015" s="15" t="s">
        <v>2237</v>
      </c>
      <c r="E1015" s="31">
        <v>2</v>
      </c>
      <c r="F1015" s="15" t="s">
        <v>777</v>
      </c>
      <c r="G1015" s="15" t="s">
        <v>2249</v>
      </c>
      <c r="H1015" s="15" t="s">
        <v>2256</v>
      </c>
      <c r="I1015" s="1">
        <v>2019</v>
      </c>
      <c r="J1015" s="15" t="s">
        <v>2186</v>
      </c>
      <c r="K1015" s="1" t="s">
        <v>2257</v>
      </c>
      <c r="L1015" s="15" t="s">
        <v>2259</v>
      </c>
      <c r="M1015" s="15" t="s">
        <v>2261</v>
      </c>
      <c r="N1015" s="15" t="s">
        <v>538</v>
      </c>
      <c r="O1015" s="31">
        <v>1</v>
      </c>
      <c r="P1015" s="15">
        <v>0.13</v>
      </c>
      <c r="Q1015" s="15">
        <v>34.4</v>
      </c>
      <c r="R1015" s="15">
        <v>1333</v>
      </c>
      <c r="S1015" s="15">
        <v>785</v>
      </c>
      <c r="T1015" s="15">
        <v>23</v>
      </c>
      <c r="U1015" s="15" t="s">
        <v>549</v>
      </c>
      <c r="V1015" s="31">
        <v>1</v>
      </c>
      <c r="W1015" s="16" t="s">
        <v>2262</v>
      </c>
      <c r="X1015" s="15" t="s">
        <v>731</v>
      </c>
      <c r="Y1015" s="1">
        <v>12</v>
      </c>
      <c r="Z1015" s="15">
        <v>5.96</v>
      </c>
      <c r="AA1015" s="15" t="s">
        <v>573</v>
      </c>
      <c r="AB1015" s="15">
        <f t="shared" si="882"/>
        <v>5.96</v>
      </c>
      <c r="AC1015" s="1">
        <v>4</v>
      </c>
      <c r="AD1015" s="15">
        <f>1.66*10*1.74</f>
        <v>28.883999999999997</v>
      </c>
      <c r="AJ1015" s="15">
        <v>61.1</v>
      </c>
      <c r="AK1015" s="15">
        <f t="shared" si="943"/>
        <v>14.899999999999999</v>
      </c>
      <c r="AL1015" s="15">
        <v>24</v>
      </c>
      <c r="AM1015" s="1">
        <v>1</v>
      </c>
      <c r="AP1015" s="15" t="s">
        <v>2264</v>
      </c>
      <c r="AQ1015" s="1">
        <v>6</v>
      </c>
      <c r="AR1015" s="1">
        <v>3</v>
      </c>
      <c r="BP1015" s="16"/>
      <c r="BQ1015" s="16"/>
      <c r="BR1015" s="16"/>
      <c r="BU1015" s="16"/>
      <c r="CC1015" s="15" t="s">
        <v>2263</v>
      </c>
      <c r="CE1015" s="15">
        <v>10000</v>
      </c>
      <c r="CF1015" s="15">
        <v>10000</v>
      </c>
      <c r="CG1015" s="15" t="s">
        <v>766</v>
      </c>
      <c r="CW1015" s="15">
        <v>45.3</v>
      </c>
      <c r="CY1015" s="25">
        <f t="shared" si="944"/>
        <v>10000</v>
      </c>
      <c r="CZ1015" s="25">
        <f t="shared" si="945"/>
        <v>12.820512820512821</v>
      </c>
      <c r="DA1015" s="25">
        <f t="shared" si="946"/>
        <v>30000</v>
      </c>
      <c r="EZ1015" s="15">
        <v>1.1100000000000001</v>
      </c>
      <c r="FA1015" s="15">
        <f t="shared" si="947"/>
        <v>5.5500000000000008E-2</v>
      </c>
      <c r="FB1015" s="15">
        <f>FA1015*SQRT(AR1015)</f>
        <v>9.6128819820072695E-2</v>
      </c>
      <c r="FC1015" s="15">
        <v>0.92</v>
      </c>
      <c r="FD1015" s="15">
        <f t="shared" si="948"/>
        <v>4.6000000000000006E-2</v>
      </c>
      <c r="FE1015" s="15">
        <f>FD1015*SQRT(AR1015)</f>
        <v>7.9674337148168364E-2</v>
      </c>
      <c r="FF1015" s="15">
        <f t="shared" si="949"/>
        <v>0.8288288288288288</v>
      </c>
      <c r="FG1015" s="15">
        <f t="shared" si="950"/>
        <v>-0.19000000000000006</v>
      </c>
      <c r="FH1015" s="15">
        <f t="shared" si="951"/>
        <v>-0.18774162426329388</v>
      </c>
      <c r="FI1015" s="15">
        <f>((FE1015*FE1015)/(AR1015*FC1015*FC1015)+(FB1015*FB1015)/(AR1015*EZ1015*EZ1015))</f>
        <v>5.000000000000001E-3</v>
      </c>
      <c r="FK1015" s="16">
        <f t="shared" si="952"/>
        <v>5.6</v>
      </c>
      <c r="FL1015" s="16">
        <f t="shared" si="953"/>
        <v>5.7</v>
      </c>
      <c r="FM1015" s="15">
        <v>5.6</v>
      </c>
      <c r="FN1015" s="15">
        <v>0.16</v>
      </c>
      <c r="FO1015" s="15">
        <f>FN1015*SQRT(AR1015)</f>
        <v>0.27712812921102037</v>
      </c>
      <c r="FP1015" s="15">
        <v>5.7</v>
      </c>
      <c r="FQ1015" s="15">
        <v>0.11</v>
      </c>
      <c r="FR1015" s="15">
        <f>FQ1015*SQRT(AR1015)</f>
        <v>0.1905255888325765</v>
      </c>
      <c r="FS1015" s="15">
        <f t="shared" si="954"/>
        <v>1.017857142857143</v>
      </c>
      <c r="FT1015" s="15">
        <f t="shared" si="955"/>
        <v>0.10000000000000053</v>
      </c>
      <c r="FU1015" s="15">
        <f t="shared" si="956"/>
        <v>1.7699577099401065E-2</v>
      </c>
      <c r="FV1015" s="15">
        <f>((FR1015*FR1015)/(AR1015*FP1015*FP1015)+(FO1015*FO1015)/(AR1015*FM1015*FM1015))</f>
        <v>1.1887488143918696E-3</v>
      </c>
      <c r="FX1015" s="15">
        <v>35.147999999999996</v>
      </c>
      <c r="FY1015" s="15">
        <v>2.6</v>
      </c>
      <c r="FZ1015" s="15">
        <f>FY1015*SQRT(AR1015)</f>
        <v>4.5033320996790804</v>
      </c>
      <c r="GA1015" s="15">
        <v>42.63</v>
      </c>
      <c r="GB1015" s="15">
        <v>1.3</v>
      </c>
      <c r="GC1015" s="15">
        <f>GB1015*SQRT(AR1015)</f>
        <v>2.2516660498395402</v>
      </c>
      <c r="GD1015" s="15">
        <f t="shared" si="957"/>
        <v>1.2128712871287131</v>
      </c>
      <c r="GE1015" s="15">
        <f t="shared" si="958"/>
        <v>7.4820000000000064</v>
      </c>
      <c r="GF1015" s="15">
        <f t="shared" si="959"/>
        <v>0.19299051314352234</v>
      </c>
      <c r="GG1015" s="15">
        <f>((GC1015*GC1015)/(AR1015*GA1015*GA1015)+(FZ1015*FZ1015)/(AR1015*FX1015*FX1015))</f>
        <v>6.4019344627207946E-3</v>
      </c>
      <c r="HE1015" s="15">
        <v>4339</v>
      </c>
      <c r="HF1015" s="15">
        <f t="shared" si="941"/>
        <v>216.95000000000002</v>
      </c>
      <c r="HG1015" s="15">
        <f>HF1015*SQRT(AR1015)</f>
        <v>375.76842270206794</v>
      </c>
      <c r="HH1015" s="15">
        <v>4634</v>
      </c>
      <c r="HI1015" s="15">
        <f t="shared" si="942"/>
        <v>231.70000000000002</v>
      </c>
      <c r="HJ1015" s="15">
        <f>HI1015*SQRT(AR1015)</f>
        <v>401.31617211370889</v>
      </c>
      <c r="HK1015" s="15">
        <f t="shared" si="862"/>
        <v>1.0679880156718138</v>
      </c>
      <c r="HL1015" s="15">
        <f t="shared" si="863"/>
        <v>295</v>
      </c>
      <c r="HM1015" s="15">
        <f t="shared" si="864"/>
        <v>6.5776519193970984E-2</v>
      </c>
      <c r="HN1015" s="15">
        <f>((HJ1015*HJ1015)/(AR1015*HH1015*HH1015)+(HG1015*HG1015)/(AR1015*HE1015*HE1015))</f>
        <v>5.0000000000000001E-3</v>
      </c>
      <c r="HP1015" s="15" t="s">
        <v>766</v>
      </c>
      <c r="HV1015" s="15">
        <f t="shared" si="865"/>
        <v>4560.8980784665437</v>
      </c>
      <c r="HW1015" s="15">
        <f t="shared" si="914"/>
        <v>6.5776519193970984E-2</v>
      </c>
      <c r="HX1015" s="25">
        <f t="shared" si="960"/>
        <v>30000</v>
      </c>
      <c r="HY1015" s="25">
        <f t="shared" si="961"/>
        <v>10000</v>
      </c>
      <c r="HZ1015" s="25">
        <f t="shared" si="962"/>
        <v>12.820512820512821</v>
      </c>
      <c r="IA1015" s="25">
        <f t="shared" si="963"/>
        <v>30000</v>
      </c>
    </row>
    <row r="1016" spans="1:235" s="15" customFormat="1" x14ac:dyDescent="0.25">
      <c r="A1016" s="31">
        <v>1014</v>
      </c>
      <c r="B1016" s="1">
        <v>168</v>
      </c>
      <c r="C1016" s="1">
        <v>193</v>
      </c>
      <c r="D1016" s="15" t="s">
        <v>2238</v>
      </c>
      <c r="E1016" s="31">
        <v>2</v>
      </c>
      <c r="F1016" s="15" t="s">
        <v>777</v>
      </c>
      <c r="G1016" s="15" t="s">
        <v>2250</v>
      </c>
      <c r="H1016" s="15" t="s">
        <v>2256</v>
      </c>
      <c r="I1016" s="1">
        <v>2019</v>
      </c>
      <c r="J1016" s="15" t="s">
        <v>2186</v>
      </c>
      <c r="K1016" s="1" t="s">
        <v>2257</v>
      </c>
      <c r="L1016" s="15" t="s">
        <v>2259</v>
      </c>
      <c r="M1016" s="15" t="s">
        <v>2261</v>
      </c>
      <c r="N1016" s="15" t="s">
        <v>538</v>
      </c>
      <c r="O1016" s="31">
        <v>1</v>
      </c>
      <c r="P1016" s="15">
        <v>0.13</v>
      </c>
      <c r="Q1016" s="15">
        <v>34.4</v>
      </c>
      <c r="R1016" s="15">
        <v>1333</v>
      </c>
      <c r="S1016" s="15">
        <v>785</v>
      </c>
      <c r="T1016" s="15">
        <v>23</v>
      </c>
      <c r="U1016" s="15" t="s">
        <v>549</v>
      </c>
      <c r="V1016" s="31">
        <v>1</v>
      </c>
      <c r="W1016" s="16" t="s">
        <v>2262</v>
      </c>
      <c r="X1016" s="15" t="s">
        <v>1147</v>
      </c>
      <c r="Y1016" s="1">
        <v>5</v>
      </c>
      <c r="Z1016" s="15">
        <v>5.96</v>
      </c>
      <c r="AA1016" s="15" t="s">
        <v>573</v>
      </c>
      <c r="AB1016" s="15">
        <f t="shared" si="882"/>
        <v>5.96</v>
      </c>
      <c r="AC1016" s="1">
        <v>4</v>
      </c>
      <c r="AD1016" s="15">
        <f>1.66*10*1.74</f>
        <v>28.883999999999997</v>
      </c>
      <c r="AJ1016" s="15">
        <v>62.1</v>
      </c>
      <c r="AK1016" s="15">
        <f t="shared" si="943"/>
        <v>12.899999999999999</v>
      </c>
      <c r="AL1016" s="15">
        <v>25</v>
      </c>
      <c r="AM1016" s="1">
        <v>1</v>
      </c>
      <c r="AP1016" s="15" t="s">
        <v>2264</v>
      </c>
      <c r="AQ1016" s="1">
        <v>6</v>
      </c>
      <c r="AR1016" s="1">
        <v>3</v>
      </c>
      <c r="BP1016" s="16"/>
      <c r="BQ1016" s="16"/>
      <c r="BR1016" s="16"/>
      <c r="BU1016" s="16"/>
      <c r="CC1016" s="15" t="s">
        <v>2263</v>
      </c>
      <c r="CE1016" s="15">
        <v>10000</v>
      </c>
      <c r="CF1016" s="15">
        <v>10000</v>
      </c>
      <c r="CG1016" s="15" t="s">
        <v>766</v>
      </c>
      <c r="CW1016" s="15">
        <v>45.3</v>
      </c>
      <c r="CY1016" s="25">
        <f t="shared" si="944"/>
        <v>10000</v>
      </c>
      <c r="CZ1016" s="25">
        <f t="shared" si="945"/>
        <v>12.820512820512821</v>
      </c>
      <c r="DA1016" s="25">
        <f t="shared" si="946"/>
        <v>30000</v>
      </c>
      <c r="EZ1016" s="15">
        <v>1.1100000000000001</v>
      </c>
      <c r="FA1016" s="15">
        <f t="shared" si="947"/>
        <v>5.5500000000000008E-2</v>
      </c>
      <c r="FB1016" s="15">
        <f>FA1016*SQRT(AR1016)</f>
        <v>9.6128819820072695E-2</v>
      </c>
      <c r="FC1016" s="15">
        <v>0.95</v>
      </c>
      <c r="FD1016" s="15">
        <f t="shared" si="948"/>
        <v>4.7500000000000001E-2</v>
      </c>
      <c r="FE1016" s="15">
        <f>FD1016*SQRT(AR1016)</f>
        <v>8.2272413359521665E-2</v>
      </c>
      <c r="FF1016" s="15">
        <f t="shared" si="949"/>
        <v>0.85585585585585577</v>
      </c>
      <c r="FG1016" s="15">
        <f t="shared" si="950"/>
        <v>-0.16000000000000014</v>
      </c>
      <c r="FH1016" s="15">
        <f t="shared" si="951"/>
        <v>-0.15565330971179342</v>
      </c>
      <c r="FI1016" s="15">
        <f>((FE1016*FE1016)/(AR1016*FC1016*FC1016)+(FB1016*FB1016)/(AR1016*EZ1016*EZ1016))</f>
        <v>5.0000000000000001E-3</v>
      </c>
      <c r="FK1016" s="16">
        <f t="shared" si="952"/>
        <v>5.42</v>
      </c>
      <c r="FL1016" s="16">
        <f t="shared" si="953"/>
        <v>5.39</v>
      </c>
      <c r="FM1016" s="15">
        <v>5.42</v>
      </c>
      <c r="FN1016" s="15">
        <v>0.08</v>
      </c>
      <c r="FO1016" s="15">
        <f>FN1016*SQRT(AR1016)</f>
        <v>0.13856406460551018</v>
      </c>
      <c r="FP1016" s="15">
        <v>5.39</v>
      </c>
      <c r="FQ1016" s="15">
        <v>0.09</v>
      </c>
      <c r="FR1016" s="15">
        <f>FQ1016*SQRT(AR1016)</f>
        <v>0.15588457268119893</v>
      </c>
      <c r="FS1016" s="15">
        <f t="shared" si="954"/>
        <v>0.99446494464944646</v>
      </c>
      <c r="FT1016" s="15">
        <f t="shared" si="955"/>
        <v>-3.0000000000000249E-2</v>
      </c>
      <c r="FU1016" s="15">
        <f t="shared" si="956"/>
        <v>-5.5504305306490753E-3</v>
      </c>
      <c r="FV1016" s="15">
        <f>((FR1016*FR1016)/(AR1016*FP1016*FP1016)+(FO1016*FO1016)/(AR1016*FM1016*FM1016))</f>
        <v>4.966714064482227E-4</v>
      </c>
      <c r="FX1016" s="15">
        <v>32.364000000000004</v>
      </c>
      <c r="FY1016" s="15">
        <v>3</v>
      </c>
      <c r="FZ1016" s="15">
        <f>FY1016*SQRT(AR1016)</f>
        <v>5.196152422706632</v>
      </c>
      <c r="GA1016" s="15">
        <v>46.283999999999999</v>
      </c>
      <c r="GB1016" s="15">
        <v>5.6</v>
      </c>
      <c r="GC1016" s="15">
        <f>GB1016*SQRT(AR1016)</f>
        <v>9.6994845223857116</v>
      </c>
      <c r="GD1016" s="15">
        <f t="shared" si="957"/>
        <v>1.4301075268817203</v>
      </c>
      <c r="GE1016" s="15">
        <f t="shared" si="958"/>
        <v>13.919999999999995</v>
      </c>
      <c r="GF1016" s="15">
        <f t="shared" si="959"/>
        <v>0.35774963506849744</v>
      </c>
      <c r="GG1016" s="15">
        <f>((GC1016*GC1016)/(AR1016*GA1016*GA1016)+(FZ1016*FZ1016)/(AR1016*FX1016*FX1016))</f>
        <v>2.3231568832757878E-2</v>
      </c>
      <c r="HE1016" s="15">
        <v>461</v>
      </c>
      <c r="HF1016" s="15">
        <f t="shared" si="941"/>
        <v>23.05</v>
      </c>
      <c r="HG1016" s="15">
        <f>HF1016*SQRT(AR1016)</f>
        <v>39.923771114462618</v>
      </c>
      <c r="HH1016" s="15">
        <v>1182</v>
      </c>
      <c r="HI1016" s="15">
        <f t="shared" si="942"/>
        <v>59.1</v>
      </c>
      <c r="HJ1016" s="15">
        <f>HI1016*SQRT(AR1016)</f>
        <v>102.36420272732065</v>
      </c>
      <c r="HK1016" s="15">
        <f t="shared" si="862"/>
        <v>2.5639913232104123</v>
      </c>
      <c r="HL1016" s="15">
        <f t="shared" si="863"/>
        <v>721</v>
      </c>
      <c r="HM1016" s="15">
        <f t="shared" si="864"/>
        <v>0.9415651549693953</v>
      </c>
      <c r="HN1016" s="15">
        <f>((HJ1016*HJ1016)/(AR1016*HH1016*HH1016)+(HG1016*HG1016)/(AR1016*HE1016*HE1016))</f>
        <v>4.9999999999999992E-3</v>
      </c>
      <c r="HP1016" s="15" t="s">
        <v>766</v>
      </c>
      <c r="HV1016" s="15">
        <f t="shared" si="865"/>
        <v>318.61841787226206</v>
      </c>
      <c r="HW1016" s="15">
        <f t="shared" si="914"/>
        <v>0.9415651549693953</v>
      </c>
      <c r="HX1016" s="25">
        <f t="shared" si="960"/>
        <v>30000</v>
      </c>
      <c r="HY1016" s="25">
        <f t="shared" si="961"/>
        <v>10000</v>
      </c>
      <c r="HZ1016" s="25">
        <f t="shared" si="962"/>
        <v>12.820512820512821</v>
      </c>
      <c r="IA1016" s="25">
        <f t="shared" si="963"/>
        <v>30000</v>
      </c>
    </row>
    <row r="1017" spans="1:235" s="15" customFormat="1" x14ac:dyDescent="0.25">
      <c r="A1017" s="31">
        <v>1015</v>
      </c>
      <c r="B1017" s="1">
        <v>168</v>
      </c>
      <c r="C1017" s="1">
        <v>193</v>
      </c>
      <c r="D1017" s="15" t="s">
        <v>2239</v>
      </c>
      <c r="E1017" s="31">
        <v>2</v>
      </c>
      <c r="F1017" s="15" t="s">
        <v>777</v>
      </c>
      <c r="G1017" s="15" t="s">
        <v>2251</v>
      </c>
      <c r="H1017" s="15" t="s">
        <v>2256</v>
      </c>
      <c r="I1017" s="1">
        <v>2019</v>
      </c>
      <c r="J1017" s="15" t="s">
        <v>2186</v>
      </c>
      <c r="K1017" s="1" t="s">
        <v>2257</v>
      </c>
      <c r="L1017" s="15" t="s">
        <v>2259</v>
      </c>
      <c r="M1017" s="15" t="s">
        <v>2261</v>
      </c>
      <c r="N1017" s="15" t="s">
        <v>538</v>
      </c>
      <c r="O1017" s="31">
        <v>1</v>
      </c>
      <c r="P1017" s="15">
        <v>0.13</v>
      </c>
      <c r="Q1017" s="15">
        <v>34.4</v>
      </c>
      <c r="R1017" s="15">
        <v>1333</v>
      </c>
      <c r="S1017" s="15">
        <v>785</v>
      </c>
      <c r="T1017" s="15">
        <v>23</v>
      </c>
      <c r="U1017" s="15" t="s">
        <v>549</v>
      </c>
      <c r="V1017" s="31">
        <v>1</v>
      </c>
      <c r="W1017" s="16" t="s">
        <v>2262</v>
      </c>
      <c r="X1017" s="15" t="s">
        <v>1147</v>
      </c>
      <c r="Y1017" s="1">
        <v>5</v>
      </c>
      <c r="Z1017" s="15">
        <v>5.96</v>
      </c>
      <c r="AA1017" s="15" t="s">
        <v>573</v>
      </c>
      <c r="AB1017" s="15">
        <f t="shared" si="882"/>
        <v>5.96</v>
      </c>
      <c r="AC1017" s="1">
        <v>4</v>
      </c>
      <c r="AD1017" s="15">
        <f>1.66*10*1.74</f>
        <v>28.883999999999997</v>
      </c>
      <c r="AJ1017" s="15">
        <v>63.1</v>
      </c>
      <c r="AK1017" s="15">
        <f t="shared" si="943"/>
        <v>10.899999999999999</v>
      </c>
      <c r="AL1017" s="15">
        <v>26</v>
      </c>
      <c r="AM1017" s="1">
        <v>1</v>
      </c>
      <c r="AP1017" s="15" t="s">
        <v>2264</v>
      </c>
      <c r="AQ1017" s="1">
        <v>6</v>
      </c>
      <c r="AR1017" s="1">
        <v>3</v>
      </c>
      <c r="BP1017" s="16"/>
      <c r="BQ1017" s="16"/>
      <c r="BR1017" s="16"/>
      <c r="BU1017" s="16"/>
      <c r="CC1017" s="15" t="s">
        <v>2263</v>
      </c>
      <c r="CE1017" s="15">
        <v>10000</v>
      </c>
      <c r="CF1017" s="15">
        <v>10000</v>
      </c>
      <c r="CG1017" s="15" t="s">
        <v>766</v>
      </c>
      <c r="CW1017" s="15">
        <v>45.3</v>
      </c>
      <c r="CY1017" s="25">
        <f t="shared" si="944"/>
        <v>10000</v>
      </c>
      <c r="CZ1017" s="25">
        <f t="shared" si="945"/>
        <v>12.820512820512821</v>
      </c>
      <c r="DA1017" s="25">
        <f t="shared" si="946"/>
        <v>30000</v>
      </c>
      <c r="EZ1017" s="15">
        <v>1.1100000000000001</v>
      </c>
      <c r="FA1017" s="15">
        <f t="shared" si="947"/>
        <v>5.5500000000000008E-2</v>
      </c>
      <c r="FB1017" s="15">
        <f>FA1017*SQRT(AR1017)</f>
        <v>9.6128819820072695E-2</v>
      </c>
      <c r="FC1017" s="15">
        <v>0.92</v>
      </c>
      <c r="FD1017" s="15">
        <f t="shared" si="948"/>
        <v>4.6000000000000006E-2</v>
      </c>
      <c r="FE1017" s="15">
        <f>FD1017*SQRT(AR1017)</f>
        <v>7.9674337148168364E-2</v>
      </c>
      <c r="FF1017" s="15">
        <f t="shared" si="949"/>
        <v>0.8288288288288288</v>
      </c>
      <c r="FG1017" s="15">
        <f t="shared" si="950"/>
        <v>-0.19000000000000006</v>
      </c>
      <c r="FH1017" s="15">
        <f t="shared" si="951"/>
        <v>-0.18774162426329388</v>
      </c>
      <c r="FI1017" s="15">
        <f>((FE1017*FE1017)/(AR1017*FC1017*FC1017)+(FB1017*FB1017)/(AR1017*EZ1017*EZ1017))</f>
        <v>5.000000000000001E-3</v>
      </c>
      <c r="FK1017" s="16">
        <f t="shared" si="952"/>
        <v>5.7</v>
      </c>
      <c r="FL1017" s="16">
        <f t="shared" si="953"/>
        <v>5.45</v>
      </c>
      <c r="FM1017" s="15">
        <v>5.7</v>
      </c>
      <c r="FN1017" s="15">
        <v>0.25</v>
      </c>
      <c r="FO1017" s="15">
        <f>FN1017*SQRT(AR1017)</f>
        <v>0.4330127018922193</v>
      </c>
      <c r="FP1017" s="15">
        <v>5.45</v>
      </c>
      <c r="FQ1017" s="15">
        <v>0.18</v>
      </c>
      <c r="FR1017" s="15">
        <f>FQ1017*SQRT(AR1017)</f>
        <v>0.31176914536239786</v>
      </c>
      <c r="FS1017" s="15">
        <f t="shared" si="954"/>
        <v>0.95614035087719296</v>
      </c>
      <c r="FT1017" s="15">
        <f t="shared" si="955"/>
        <v>-0.25</v>
      </c>
      <c r="FU1017" s="15">
        <f t="shared" si="956"/>
        <v>-4.4850566165351768E-2</v>
      </c>
      <c r="FV1017" s="15">
        <f>((FR1017*FR1017)/(AR1017*FP1017*FP1017)+(FO1017*FO1017)/(AR1017*FM1017*FM1017))</f>
        <v>3.014486092449207E-3</v>
      </c>
      <c r="FX1017" s="15">
        <v>35.147999999999996</v>
      </c>
      <c r="FY1017" s="15">
        <v>2.6</v>
      </c>
      <c r="FZ1017" s="15">
        <f>FY1017*SQRT(AR1017)</f>
        <v>4.5033320996790804</v>
      </c>
      <c r="GA1017" s="15">
        <v>42.63</v>
      </c>
      <c r="GB1017" s="15">
        <v>1.3</v>
      </c>
      <c r="GC1017" s="15">
        <f>GB1017*SQRT(AR1017)</f>
        <v>2.2516660498395402</v>
      </c>
      <c r="GD1017" s="15">
        <f t="shared" si="957"/>
        <v>1.2128712871287131</v>
      </c>
      <c r="GE1017" s="15">
        <f t="shared" si="958"/>
        <v>7.4820000000000064</v>
      </c>
      <c r="GF1017" s="15">
        <f t="shared" si="959"/>
        <v>0.19299051314352234</v>
      </c>
      <c r="GG1017" s="15">
        <f>((GC1017*GC1017)/(AR1017*GA1017*GA1017)+(FZ1017*FZ1017)/(AR1017*FX1017*FX1017))</f>
        <v>6.4019344627207946E-3</v>
      </c>
      <c r="HE1017" s="15">
        <v>966</v>
      </c>
      <c r="HF1017" s="15">
        <f t="shared" si="941"/>
        <v>48.300000000000004</v>
      </c>
      <c r="HG1017" s="15">
        <f>HF1017*SQRT(AR1017)</f>
        <v>83.658054005576773</v>
      </c>
      <c r="HH1017" s="15">
        <v>1630</v>
      </c>
      <c r="HI1017" s="15">
        <f t="shared" si="942"/>
        <v>81.5</v>
      </c>
      <c r="HJ1017" s="15">
        <f>HI1017*SQRT(AR1017)</f>
        <v>141.16214081686348</v>
      </c>
      <c r="HK1017" s="15">
        <f t="shared" si="862"/>
        <v>1.6873706004140787</v>
      </c>
      <c r="HL1017" s="15">
        <f t="shared" si="863"/>
        <v>664</v>
      </c>
      <c r="HM1017" s="15">
        <f t="shared" si="864"/>
        <v>0.52317145958829059</v>
      </c>
      <c r="HN1017" s="15">
        <f>((HJ1017*HJ1017)/(AR1017*HH1017*HH1017)+(HG1017*HG1017)/(AR1017*HE1017*HE1017))</f>
        <v>4.9999999999999992E-3</v>
      </c>
      <c r="HP1017" s="15" t="s">
        <v>766</v>
      </c>
      <c r="HV1017" s="15">
        <f t="shared" si="865"/>
        <v>573.42577562637837</v>
      </c>
      <c r="HW1017" s="15">
        <f t="shared" si="914"/>
        <v>0.52317145958829059</v>
      </c>
      <c r="HX1017" s="25">
        <f t="shared" si="960"/>
        <v>30000</v>
      </c>
      <c r="HY1017" s="25">
        <f t="shared" si="961"/>
        <v>10000</v>
      </c>
      <c r="HZ1017" s="25">
        <f t="shared" si="962"/>
        <v>12.820512820512821</v>
      </c>
      <c r="IA1017" s="25">
        <f t="shared" si="963"/>
        <v>30000</v>
      </c>
    </row>
    <row r="1018" spans="1:235" s="15" customFormat="1" x14ac:dyDescent="0.25">
      <c r="A1018" s="31">
        <v>1016</v>
      </c>
      <c r="B1018" s="1">
        <v>168</v>
      </c>
      <c r="C1018" s="1">
        <v>194</v>
      </c>
      <c r="D1018" s="15" t="s">
        <v>2240</v>
      </c>
      <c r="E1018" s="31">
        <v>2</v>
      </c>
      <c r="F1018" s="15" t="s">
        <v>777</v>
      </c>
      <c r="G1018" s="15" t="s">
        <v>2252</v>
      </c>
      <c r="H1018" s="15" t="s">
        <v>2256</v>
      </c>
      <c r="I1018" s="1">
        <v>2019</v>
      </c>
      <c r="J1018" s="15" t="s">
        <v>2186</v>
      </c>
      <c r="K1018" s="1" t="s">
        <v>2257</v>
      </c>
      <c r="L1018" s="15" t="s">
        <v>2260</v>
      </c>
      <c r="M1018" s="15" t="s">
        <v>2261</v>
      </c>
      <c r="N1018" s="15" t="s">
        <v>538</v>
      </c>
      <c r="O1018" s="31">
        <v>1</v>
      </c>
      <c r="P1018" s="15">
        <v>0.13400000000000001</v>
      </c>
      <c r="Q1018" s="15">
        <v>34.409999999999997</v>
      </c>
      <c r="R1018" s="15">
        <v>1347</v>
      </c>
      <c r="S1018" s="15">
        <v>785</v>
      </c>
      <c r="T1018" s="15">
        <v>23</v>
      </c>
      <c r="U1018" s="15" t="s">
        <v>549</v>
      </c>
      <c r="V1018" s="31">
        <v>1</v>
      </c>
      <c r="W1018" s="16" t="s">
        <v>2262</v>
      </c>
      <c r="X1018" s="15" t="s">
        <v>731</v>
      </c>
      <c r="Y1018" s="1">
        <v>12</v>
      </c>
      <c r="Z1018" s="15">
        <v>5.25</v>
      </c>
      <c r="AA1018" s="15" t="s">
        <v>573</v>
      </c>
      <c r="AB1018" s="15">
        <f t="shared" si="882"/>
        <v>5.25</v>
      </c>
      <c r="AC1018" s="1">
        <v>3</v>
      </c>
      <c r="AD1018" s="15">
        <f>15.6*1.74</f>
        <v>27.143999999999998</v>
      </c>
      <c r="AJ1018" s="15">
        <v>60.1</v>
      </c>
      <c r="AK1018" s="15">
        <f t="shared" si="943"/>
        <v>17.5</v>
      </c>
      <c r="AL1018" s="15">
        <v>22.4</v>
      </c>
      <c r="AM1018" s="1">
        <v>1</v>
      </c>
      <c r="AP1018" s="15" t="s">
        <v>2264</v>
      </c>
      <c r="AQ1018" s="1">
        <v>6</v>
      </c>
      <c r="AR1018" s="1">
        <v>3</v>
      </c>
      <c r="BP1018" s="16"/>
      <c r="BQ1018" s="16"/>
      <c r="BR1018" s="16"/>
      <c r="BU1018" s="16"/>
      <c r="CC1018" s="15" t="s">
        <v>2263</v>
      </c>
      <c r="CE1018" s="15">
        <v>10000</v>
      </c>
      <c r="CF1018" s="15">
        <v>10000</v>
      </c>
      <c r="CG1018" s="15" t="s">
        <v>766</v>
      </c>
      <c r="CW1018" s="15">
        <v>45.3</v>
      </c>
      <c r="CY1018" s="25">
        <f t="shared" si="944"/>
        <v>10000</v>
      </c>
      <c r="CZ1018" s="25">
        <f t="shared" si="945"/>
        <v>12.820512820512821</v>
      </c>
      <c r="DA1018" s="25">
        <f t="shared" si="946"/>
        <v>30000</v>
      </c>
      <c r="EZ1018" s="15">
        <v>1.1299999999999999</v>
      </c>
      <c r="FA1018" s="15">
        <f t="shared" si="947"/>
        <v>5.6499999999999995E-2</v>
      </c>
      <c r="FB1018" s="15">
        <f>FA1018*SQRT(AR1018)</f>
        <v>9.7860870627641552E-2</v>
      </c>
      <c r="FC1018" s="15">
        <v>0.98</v>
      </c>
      <c r="FD1018" s="15">
        <f t="shared" si="948"/>
        <v>4.9000000000000002E-2</v>
      </c>
      <c r="FE1018" s="15">
        <f>FD1018*SQRT(AR1018)</f>
        <v>8.487048957087498E-2</v>
      </c>
      <c r="FF1018" s="15">
        <f t="shared" si="949"/>
        <v>0.86725663716814161</v>
      </c>
      <c r="FG1018" s="15">
        <f t="shared" si="950"/>
        <v>-0.14999999999999991</v>
      </c>
      <c r="FH1018" s="15">
        <f t="shared" si="951"/>
        <v>-0.14242034004176857</v>
      </c>
      <c r="FI1018" s="15">
        <f>((FE1018*FE1018)/(AR1018*FC1018*FC1018)+(FB1018*FB1018)/(AR1018*EZ1018*EZ1018))</f>
        <v>4.9999999999999992E-3</v>
      </c>
      <c r="FK1018" s="16">
        <f t="shared" si="952"/>
        <v>5.25</v>
      </c>
      <c r="FL1018" s="16">
        <f t="shared" si="953"/>
        <v>5.52</v>
      </c>
      <c r="FM1018" s="15">
        <v>5.25</v>
      </c>
      <c r="FN1018" s="15">
        <v>0.06</v>
      </c>
      <c r="FO1018" s="15">
        <f>FN1018*SQRT(AR1018)</f>
        <v>0.10392304845413262</v>
      </c>
      <c r="FP1018" s="15">
        <v>5.52</v>
      </c>
      <c r="FQ1018" s="15">
        <v>0.06</v>
      </c>
      <c r="FR1018" s="15">
        <f>FQ1018*SQRT(AR1018)</f>
        <v>0.10392304845413262</v>
      </c>
      <c r="FS1018" s="15">
        <f t="shared" si="954"/>
        <v>1.0514285714285714</v>
      </c>
      <c r="FT1018" s="15">
        <f t="shared" si="955"/>
        <v>0.26999999999999957</v>
      </c>
      <c r="FU1018" s="15">
        <f t="shared" si="956"/>
        <v>5.0149783685471405E-2</v>
      </c>
      <c r="FV1018" s="15">
        <f>((FR1018*FR1018)/(AR1018*FP1018*FP1018)+(FO1018*FO1018)/(AR1018*FM1018*FM1018))</f>
        <v>2.4875969291308204E-4</v>
      </c>
      <c r="FX1018" s="15">
        <v>28.71</v>
      </c>
      <c r="FY1018" s="15">
        <v>0.4</v>
      </c>
      <c r="FZ1018" s="15">
        <f>FY1018*SQRT(AR1018)</f>
        <v>0.69282032302755092</v>
      </c>
      <c r="GA1018" s="15">
        <v>41.585999999999999</v>
      </c>
      <c r="GB1018" s="15">
        <v>6.3</v>
      </c>
      <c r="GC1018" s="15">
        <f>GB1018*SQRT(AR1018)</f>
        <v>10.911920087683926</v>
      </c>
      <c r="GD1018" s="15">
        <f t="shared" si="957"/>
        <v>1.4484848484848485</v>
      </c>
      <c r="GE1018" s="15">
        <f t="shared" si="958"/>
        <v>12.875999999999998</v>
      </c>
      <c r="GF1018" s="15">
        <f t="shared" si="959"/>
        <v>0.37051807803092984</v>
      </c>
      <c r="GG1018" s="15">
        <f>((GC1018*GC1018)/(AR1018*GA1018*GA1018)+(FZ1018*FZ1018)/(AR1018*FX1018*FX1018))</f>
        <v>2.3144329763791289E-2</v>
      </c>
      <c r="HE1018" s="15">
        <v>1767</v>
      </c>
      <c r="HF1018" s="15">
        <f t="shared" si="941"/>
        <v>88.350000000000009</v>
      </c>
      <c r="HG1018" s="15">
        <f>HF1018*SQRT(AR1018)</f>
        <v>153.02668884871031</v>
      </c>
      <c r="HH1018" s="15">
        <v>3049</v>
      </c>
      <c r="HI1018" s="15">
        <f t="shared" si="942"/>
        <v>152.45000000000002</v>
      </c>
      <c r="HJ1018" s="15">
        <f>HI1018*SQRT(AR1018)</f>
        <v>264.05114561387535</v>
      </c>
      <c r="HK1018" s="15">
        <f t="shared" si="862"/>
        <v>1.7255234861346915</v>
      </c>
      <c r="HL1018" s="15">
        <f t="shared" si="863"/>
        <v>1282</v>
      </c>
      <c r="HM1018" s="15">
        <f t="shared" si="864"/>
        <v>0.54553047466855809</v>
      </c>
      <c r="HN1018" s="15">
        <f>((HJ1018*HJ1018)/(AR1018*HH1018*HH1018)+(HG1018*HG1018)/(AR1018*HE1018*HE1018))</f>
        <v>5.0000000000000001E-3</v>
      </c>
      <c r="HP1018" s="15" t="s">
        <v>766</v>
      </c>
      <c r="HV1018" s="15">
        <f t="shared" si="865"/>
        <v>549.92344869875092</v>
      </c>
      <c r="HW1018" s="15">
        <f t="shared" si="914"/>
        <v>0.54553047466855809</v>
      </c>
      <c r="HX1018" s="25">
        <f t="shared" si="960"/>
        <v>30000</v>
      </c>
      <c r="HY1018" s="25">
        <f t="shared" si="961"/>
        <v>10000</v>
      </c>
      <c r="HZ1018" s="25">
        <f t="shared" si="962"/>
        <v>12.820512820512821</v>
      </c>
      <c r="IA1018" s="25">
        <f t="shared" si="963"/>
        <v>30000</v>
      </c>
    </row>
    <row r="1019" spans="1:235" s="15" customFormat="1" x14ac:dyDescent="0.25">
      <c r="A1019" s="31">
        <v>1017</v>
      </c>
      <c r="B1019" s="1">
        <v>168</v>
      </c>
      <c r="C1019" s="1">
        <v>194</v>
      </c>
      <c r="D1019" s="15" t="s">
        <v>2241</v>
      </c>
      <c r="E1019" s="31">
        <v>2</v>
      </c>
      <c r="F1019" s="15" t="s">
        <v>777</v>
      </c>
      <c r="G1019" s="15" t="s">
        <v>2253</v>
      </c>
      <c r="H1019" s="15" t="s">
        <v>2256</v>
      </c>
      <c r="I1019" s="1">
        <v>2019</v>
      </c>
      <c r="J1019" s="15" t="s">
        <v>2186</v>
      </c>
      <c r="K1019" s="1" t="s">
        <v>2257</v>
      </c>
      <c r="L1019" s="15" t="s">
        <v>2260</v>
      </c>
      <c r="M1019" s="15" t="s">
        <v>2261</v>
      </c>
      <c r="N1019" s="15" t="s">
        <v>538</v>
      </c>
      <c r="O1019" s="31">
        <v>1</v>
      </c>
      <c r="P1019" s="15">
        <v>0.13400000000000001</v>
      </c>
      <c r="Q1019" s="15">
        <v>34.409999999999997</v>
      </c>
      <c r="R1019" s="15">
        <v>1347</v>
      </c>
      <c r="S1019" s="15">
        <v>785</v>
      </c>
      <c r="T1019" s="15">
        <v>23</v>
      </c>
      <c r="U1019" s="15" t="s">
        <v>549</v>
      </c>
      <c r="V1019" s="31">
        <v>1</v>
      </c>
      <c r="W1019" s="16" t="s">
        <v>2262</v>
      </c>
      <c r="X1019" s="15" t="s">
        <v>731</v>
      </c>
      <c r="Y1019" s="1">
        <v>12</v>
      </c>
      <c r="Z1019" s="15">
        <v>5.25</v>
      </c>
      <c r="AA1019" s="15" t="s">
        <v>573</v>
      </c>
      <c r="AB1019" s="15">
        <f t="shared" si="882"/>
        <v>5.25</v>
      </c>
      <c r="AC1019" s="1">
        <v>3</v>
      </c>
      <c r="AD1019" s="15">
        <f>15.6*1.74</f>
        <v>27.143999999999998</v>
      </c>
      <c r="AJ1019" s="15">
        <v>60.1</v>
      </c>
      <c r="AK1019" s="15">
        <f t="shared" si="943"/>
        <v>17.5</v>
      </c>
      <c r="AL1019" s="15">
        <v>22.4</v>
      </c>
      <c r="AM1019" s="1">
        <v>1</v>
      </c>
      <c r="AP1019" s="15" t="s">
        <v>2264</v>
      </c>
      <c r="AQ1019" s="1">
        <v>6</v>
      </c>
      <c r="AR1019" s="1">
        <v>3</v>
      </c>
      <c r="BP1019" s="16"/>
      <c r="BQ1019" s="16"/>
      <c r="BR1019" s="16"/>
      <c r="BU1019" s="16"/>
      <c r="CC1019" s="15" t="s">
        <v>2263</v>
      </c>
      <c r="CE1019" s="15">
        <v>10000</v>
      </c>
      <c r="CF1019" s="15">
        <v>10000</v>
      </c>
      <c r="CG1019" s="15" t="s">
        <v>766</v>
      </c>
      <c r="CW1019" s="15">
        <v>45.3</v>
      </c>
      <c r="CY1019" s="25">
        <f t="shared" si="944"/>
        <v>10000</v>
      </c>
      <c r="CZ1019" s="25">
        <f t="shared" si="945"/>
        <v>12.820512820512821</v>
      </c>
      <c r="DA1019" s="25">
        <f t="shared" si="946"/>
        <v>30000</v>
      </c>
      <c r="EZ1019" s="15">
        <v>1.08</v>
      </c>
      <c r="FA1019" s="15">
        <f t="shared" si="947"/>
        <v>5.4000000000000006E-2</v>
      </c>
      <c r="FB1019" s="15">
        <f>FA1019*SQRT(AR1019)</f>
        <v>9.353074360871938E-2</v>
      </c>
      <c r="FC1019" s="15">
        <v>0.93</v>
      </c>
      <c r="FD1019" s="15">
        <f t="shared" si="948"/>
        <v>4.6500000000000007E-2</v>
      </c>
      <c r="FE1019" s="15">
        <f>FD1019*SQRT(AR1019)</f>
        <v>8.0540362551952807E-2</v>
      </c>
      <c r="FF1019" s="15">
        <f t="shared" si="949"/>
        <v>0.86111111111111105</v>
      </c>
      <c r="FG1019" s="15">
        <f t="shared" si="950"/>
        <v>-0.15000000000000002</v>
      </c>
      <c r="FH1019" s="15">
        <f t="shared" si="951"/>
        <v>-0.14953173397096375</v>
      </c>
      <c r="FI1019" s="15">
        <f>((FE1019*FE1019)/(AR1019*FC1019*FC1019)+(FB1019*FB1019)/(AR1019*EZ1019*EZ1019))</f>
        <v>5.000000000000001E-3</v>
      </c>
      <c r="FK1019" s="16">
        <f t="shared" si="952"/>
        <v>5.29</v>
      </c>
      <c r="FL1019" s="16">
        <f t="shared" si="953"/>
        <v>5.47</v>
      </c>
      <c r="FM1019" s="15">
        <v>5.29</v>
      </c>
      <c r="FN1019" s="15">
        <v>0.1</v>
      </c>
      <c r="FO1019" s="15">
        <f>FN1019*SQRT(AR1019)</f>
        <v>0.17320508075688773</v>
      </c>
      <c r="FP1019" s="15">
        <v>5.47</v>
      </c>
      <c r="FQ1019" s="15">
        <v>0.21</v>
      </c>
      <c r="FR1019" s="15">
        <f>FQ1019*SQRT(AR1019)</f>
        <v>0.36373066958946421</v>
      </c>
      <c r="FS1019" s="15">
        <f t="shared" si="954"/>
        <v>1.0340264650283553</v>
      </c>
      <c r="FT1019" s="15">
        <f t="shared" si="955"/>
        <v>0.17999999999999972</v>
      </c>
      <c r="FU1019" s="15">
        <f t="shared" si="956"/>
        <v>3.3460370563681785E-2</v>
      </c>
      <c r="FV1019" s="15">
        <f>((FR1019*FR1019)/(AR1019*FP1019*FP1019)+(FO1019*FO1019)/(AR1019*FM1019*FM1019))</f>
        <v>1.8312319249685124E-3</v>
      </c>
      <c r="FX1019" s="15">
        <v>35.147999999999996</v>
      </c>
      <c r="FY1019" s="15">
        <v>1.2</v>
      </c>
      <c r="FZ1019" s="15">
        <f>FY1019*SQRT(AR1019)</f>
        <v>2.0784609690826525</v>
      </c>
      <c r="GA1019" s="15">
        <v>44.717999999999996</v>
      </c>
      <c r="GB1019" s="15">
        <v>3.6</v>
      </c>
      <c r="GC1019" s="15">
        <f>GB1019*SQRT(AR1019)</f>
        <v>6.2353829072479581</v>
      </c>
      <c r="GD1019" s="15">
        <f t="shared" si="957"/>
        <v>1.2722772277227723</v>
      </c>
      <c r="GE1019" s="15">
        <f t="shared" si="958"/>
        <v>9.57</v>
      </c>
      <c r="GF1019" s="15">
        <f t="shared" si="959"/>
        <v>0.24080838749401501</v>
      </c>
      <c r="GG1019" s="15">
        <f>((GC1019*GC1019)/(AR1019*GA1019*GA1019)+(FZ1019*FZ1019)/(AR1019*FX1019*FX1019))</f>
        <v>7.6466051384737931E-3</v>
      </c>
      <c r="HE1019" s="15">
        <v>3542</v>
      </c>
      <c r="HF1019" s="15">
        <f t="shared" si="941"/>
        <v>177.10000000000002</v>
      </c>
      <c r="HG1019" s="15">
        <f>HF1019*SQRT(AR1019)</f>
        <v>306.74619802044816</v>
      </c>
      <c r="HH1019" s="15">
        <v>4677</v>
      </c>
      <c r="HI1019" s="15">
        <f t="shared" si="942"/>
        <v>233.85000000000002</v>
      </c>
      <c r="HJ1019" s="15">
        <f>HI1019*SQRT(AR1019)</f>
        <v>405.04008134998196</v>
      </c>
      <c r="HK1019" s="15">
        <f t="shared" ref="HK1019:HK1035" si="964">HH1019/HE1019</f>
        <v>1.3204404291360814</v>
      </c>
      <c r="HL1019" s="15">
        <f t="shared" ref="HL1019:HL1035" si="965">HH1019-HE1019</f>
        <v>1135</v>
      </c>
      <c r="HM1019" s="15">
        <f t="shared" ref="HM1019:HM1035" si="966">LN(HH1019)-LN(HE1019)</f>
        <v>0.27796533938310652</v>
      </c>
      <c r="HN1019" s="15">
        <f>((HJ1019*HJ1019)/(AR1019*HH1019*HH1019)+(HG1019*HG1019)/(AR1019*HE1019*HE1019))</f>
        <v>5.0000000000000001E-3</v>
      </c>
      <c r="HP1019" s="15" t="s">
        <v>766</v>
      </c>
      <c r="HV1019" s="15">
        <f t="shared" ref="HV1019:HV1035" si="967">HX1019/HW1019/100</f>
        <v>1079.2712525446352</v>
      </c>
      <c r="HW1019" s="15">
        <f t="shared" ref="HW1019:HW1035" si="968">HM1019</f>
        <v>0.27796533938310652</v>
      </c>
      <c r="HX1019" s="25">
        <f t="shared" si="960"/>
        <v>30000</v>
      </c>
      <c r="HY1019" s="25">
        <f t="shared" si="961"/>
        <v>10000</v>
      </c>
      <c r="HZ1019" s="25">
        <f t="shared" si="962"/>
        <v>12.820512820512821</v>
      </c>
      <c r="IA1019" s="25">
        <f t="shared" si="963"/>
        <v>30000</v>
      </c>
    </row>
    <row r="1020" spans="1:235" s="15" customFormat="1" x14ac:dyDescent="0.25">
      <c r="A1020" s="31">
        <v>1018</v>
      </c>
      <c r="B1020" s="1">
        <v>168</v>
      </c>
      <c r="C1020" s="1">
        <v>194</v>
      </c>
      <c r="D1020" s="15" t="s">
        <v>2242</v>
      </c>
      <c r="E1020" s="31">
        <v>2</v>
      </c>
      <c r="F1020" s="15" t="s">
        <v>777</v>
      </c>
      <c r="G1020" s="15" t="s">
        <v>2254</v>
      </c>
      <c r="H1020" s="15" t="s">
        <v>2256</v>
      </c>
      <c r="I1020" s="1">
        <v>2019</v>
      </c>
      <c r="J1020" s="15" t="s">
        <v>2186</v>
      </c>
      <c r="K1020" s="1" t="s">
        <v>2257</v>
      </c>
      <c r="L1020" s="15" t="s">
        <v>2260</v>
      </c>
      <c r="M1020" s="15" t="s">
        <v>2261</v>
      </c>
      <c r="N1020" s="15" t="s">
        <v>538</v>
      </c>
      <c r="O1020" s="31">
        <v>1</v>
      </c>
      <c r="P1020" s="15">
        <v>0.13400000000000001</v>
      </c>
      <c r="Q1020" s="15">
        <v>34.409999999999997</v>
      </c>
      <c r="R1020" s="15">
        <v>1347</v>
      </c>
      <c r="S1020" s="15">
        <v>785</v>
      </c>
      <c r="T1020" s="15">
        <v>23</v>
      </c>
      <c r="U1020" s="15" t="s">
        <v>549</v>
      </c>
      <c r="V1020" s="31">
        <v>1</v>
      </c>
      <c r="W1020" s="16" t="s">
        <v>2262</v>
      </c>
      <c r="X1020" s="15" t="s">
        <v>1147</v>
      </c>
      <c r="Y1020" s="1">
        <v>5</v>
      </c>
      <c r="Z1020" s="15">
        <v>5.25</v>
      </c>
      <c r="AA1020" s="15" t="s">
        <v>573</v>
      </c>
      <c r="AB1020" s="15">
        <f t="shared" si="882"/>
        <v>5.25</v>
      </c>
      <c r="AC1020" s="1">
        <v>3</v>
      </c>
      <c r="AD1020" s="15">
        <f>15.6*1.74</f>
        <v>27.143999999999998</v>
      </c>
      <c r="AJ1020" s="15">
        <v>60.1</v>
      </c>
      <c r="AK1020" s="15">
        <f t="shared" si="943"/>
        <v>17.5</v>
      </c>
      <c r="AL1020" s="15">
        <v>22.4</v>
      </c>
      <c r="AM1020" s="1">
        <v>1</v>
      </c>
      <c r="AP1020" s="15" t="s">
        <v>2264</v>
      </c>
      <c r="AQ1020" s="1">
        <v>6</v>
      </c>
      <c r="AR1020" s="1">
        <v>3</v>
      </c>
      <c r="BP1020" s="16"/>
      <c r="BQ1020" s="16"/>
      <c r="BR1020" s="16"/>
      <c r="BU1020" s="16"/>
      <c r="CC1020" s="15" t="s">
        <v>2263</v>
      </c>
      <c r="CE1020" s="15">
        <v>10000</v>
      </c>
      <c r="CF1020" s="15">
        <v>10000</v>
      </c>
      <c r="CG1020" s="15" t="s">
        <v>766</v>
      </c>
      <c r="CW1020" s="15">
        <v>45.3</v>
      </c>
      <c r="CY1020" s="25">
        <f t="shared" si="944"/>
        <v>10000</v>
      </c>
      <c r="CZ1020" s="25">
        <f t="shared" si="945"/>
        <v>12.820512820512821</v>
      </c>
      <c r="DA1020" s="25">
        <f t="shared" si="946"/>
        <v>30000</v>
      </c>
      <c r="EZ1020" s="15">
        <v>1.1299999999999999</v>
      </c>
      <c r="FA1020" s="15">
        <f t="shared" si="947"/>
        <v>5.6499999999999995E-2</v>
      </c>
      <c r="FB1020" s="15">
        <f>FA1020*SQRT(AR1020)</f>
        <v>9.7860870627641552E-2</v>
      </c>
      <c r="FC1020" s="15">
        <v>0.98</v>
      </c>
      <c r="FD1020" s="15">
        <f t="shared" si="948"/>
        <v>4.9000000000000002E-2</v>
      </c>
      <c r="FE1020" s="15">
        <f>FD1020*SQRT(AR1020)</f>
        <v>8.487048957087498E-2</v>
      </c>
      <c r="FF1020" s="15">
        <f t="shared" si="949"/>
        <v>0.86725663716814161</v>
      </c>
      <c r="FG1020" s="15">
        <f t="shared" si="950"/>
        <v>-0.14999999999999991</v>
      </c>
      <c r="FH1020" s="15">
        <f t="shared" si="951"/>
        <v>-0.14242034004176857</v>
      </c>
      <c r="FI1020" s="15">
        <f>((FE1020*FE1020)/(AR1020*FC1020*FC1020)+(FB1020*FB1020)/(AR1020*EZ1020*EZ1020))</f>
        <v>4.9999999999999992E-3</v>
      </c>
      <c r="FK1020" s="16">
        <f t="shared" si="952"/>
        <v>5.08</v>
      </c>
      <c r="FL1020" s="16">
        <f t="shared" si="953"/>
        <v>5.31</v>
      </c>
      <c r="FM1020" s="15">
        <v>5.08</v>
      </c>
      <c r="FN1020" s="15">
        <v>0.04</v>
      </c>
      <c r="FO1020" s="15">
        <f>FN1020*SQRT(AR1020)</f>
        <v>6.9282032302755092E-2</v>
      </c>
      <c r="FP1020" s="15">
        <v>5.31</v>
      </c>
      <c r="FQ1020" s="15">
        <v>0.13</v>
      </c>
      <c r="FR1020" s="15">
        <f>FQ1020*SQRT(AR1020)</f>
        <v>0.22516660498395405</v>
      </c>
      <c r="FS1020" s="15">
        <f t="shared" si="954"/>
        <v>1.045275590551181</v>
      </c>
      <c r="FT1020" s="15">
        <f t="shared" si="955"/>
        <v>0.22999999999999954</v>
      </c>
      <c r="FU1020" s="15">
        <f t="shared" si="956"/>
        <v>4.4280573663456835E-2</v>
      </c>
      <c r="FV1020" s="15">
        <f>((FR1020*FR1020)/(AR1020*FP1020*FP1020)+(FO1020*FO1020)/(AR1020*FM1020*FM1020))</f>
        <v>6.6137379624570049E-4</v>
      </c>
      <c r="FX1020" s="15">
        <v>28.71</v>
      </c>
      <c r="FY1020" s="15">
        <v>0.4</v>
      </c>
      <c r="FZ1020" s="15">
        <f>FY1020*SQRT(AR1020)</f>
        <v>0.69282032302755092</v>
      </c>
      <c r="GA1020" s="15">
        <v>41.585999999999999</v>
      </c>
      <c r="GB1020" s="15">
        <v>6.3</v>
      </c>
      <c r="GC1020" s="15">
        <f>GB1020*SQRT(AR1020)</f>
        <v>10.911920087683926</v>
      </c>
      <c r="GD1020" s="15">
        <f t="shared" si="957"/>
        <v>1.4484848484848485</v>
      </c>
      <c r="GE1020" s="15">
        <f t="shared" si="958"/>
        <v>12.875999999999998</v>
      </c>
      <c r="GF1020" s="15">
        <f t="shared" si="959"/>
        <v>0.37051807803092984</v>
      </c>
      <c r="GG1020" s="15">
        <f>((GC1020*GC1020)/(AR1020*GA1020*GA1020)+(FZ1020*FZ1020)/(AR1020*FX1020*FX1020))</f>
        <v>2.3144329763791289E-2</v>
      </c>
      <c r="HE1020" s="15">
        <v>741</v>
      </c>
      <c r="HF1020" s="15">
        <f t="shared" si="941"/>
        <v>37.050000000000004</v>
      </c>
      <c r="HG1020" s="15">
        <f>HF1020*SQRT(AR1020)</f>
        <v>64.172482420426903</v>
      </c>
      <c r="HH1020" s="15">
        <v>1083</v>
      </c>
      <c r="HI1020" s="15">
        <f t="shared" si="942"/>
        <v>54.150000000000006</v>
      </c>
      <c r="HJ1020" s="15">
        <f>HI1020*SQRT(AR1020)</f>
        <v>93.790551229854714</v>
      </c>
      <c r="HK1020" s="15">
        <f t="shared" si="964"/>
        <v>1.4615384615384615</v>
      </c>
      <c r="HL1020" s="15">
        <f t="shared" si="965"/>
        <v>342</v>
      </c>
      <c r="HM1020" s="15">
        <f t="shared" si="966"/>
        <v>0.37948962170490397</v>
      </c>
      <c r="HN1020" s="15">
        <f>((HJ1020*HJ1020)/(AR1020*HH1020*HH1020)+(HG1020*HG1020)/(AR1020*HE1020*HE1020))</f>
        <v>5.000000000000001E-3</v>
      </c>
      <c r="HP1020" s="15" t="s">
        <v>766</v>
      </c>
      <c r="HV1020" s="15">
        <f t="shared" si="967"/>
        <v>790.53545299134396</v>
      </c>
      <c r="HW1020" s="15">
        <f t="shared" si="968"/>
        <v>0.37948962170490397</v>
      </c>
      <c r="HX1020" s="25">
        <f t="shared" si="960"/>
        <v>30000</v>
      </c>
      <c r="HY1020" s="25">
        <f t="shared" si="961"/>
        <v>10000</v>
      </c>
      <c r="HZ1020" s="25">
        <f t="shared" si="962"/>
        <v>12.820512820512821</v>
      </c>
      <c r="IA1020" s="25">
        <f t="shared" si="963"/>
        <v>30000</v>
      </c>
    </row>
    <row r="1021" spans="1:235" s="15" customFormat="1" x14ac:dyDescent="0.25">
      <c r="A1021" s="31">
        <v>1019</v>
      </c>
      <c r="B1021" s="1">
        <v>168</v>
      </c>
      <c r="C1021" s="1">
        <v>194</v>
      </c>
      <c r="D1021" s="15" t="s">
        <v>2243</v>
      </c>
      <c r="E1021" s="31">
        <v>2</v>
      </c>
      <c r="F1021" s="15" t="s">
        <v>777</v>
      </c>
      <c r="G1021" s="15" t="s">
        <v>2255</v>
      </c>
      <c r="H1021" s="15" t="s">
        <v>2256</v>
      </c>
      <c r="I1021" s="1">
        <v>2019</v>
      </c>
      <c r="J1021" s="15" t="s">
        <v>2186</v>
      </c>
      <c r="K1021" s="1" t="s">
        <v>2257</v>
      </c>
      <c r="L1021" s="15" t="s">
        <v>2260</v>
      </c>
      <c r="M1021" s="15" t="s">
        <v>2261</v>
      </c>
      <c r="N1021" s="15" t="s">
        <v>538</v>
      </c>
      <c r="O1021" s="31">
        <v>1</v>
      </c>
      <c r="P1021" s="15">
        <v>0.13400000000000001</v>
      </c>
      <c r="Q1021" s="15">
        <v>34.409999999999997</v>
      </c>
      <c r="R1021" s="15">
        <v>1347</v>
      </c>
      <c r="S1021" s="15">
        <v>785</v>
      </c>
      <c r="T1021" s="15">
        <v>23</v>
      </c>
      <c r="U1021" s="15" t="s">
        <v>549</v>
      </c>
      <c r="V1021" s="31">
        <v>1</v>
      </c>
      <c r="W1021" s="16" t="s">
        <v>2262</v>
      </c>
      <c r="X1021" s="15" t="s">
        <v>1147</v>
      </c>
      <c r="Y1021" s="1">
        <v>5</v>
      </c>
      <c r="Z1021" s="15">
        <v>5.25</v>
      </c>
      <c r="AA1021" s="15" t="s">
        <v>573</v>
      </c>
      <c r="AB1021" s="15">
        <f t="shared" si="882"/>
        <v>5.25</v>
      </c>
      <c r="AC1021" s="1">
        <v>3</v>
      </c>
      <c r="AD1021" s="15">
        <f>15.6*1.74</f>
        <v>27.143999999999998</v>
      </c>
      <c r="AJ1021" s="15">
        <v>60.1</v>
      </c>
      <c r="AK1021" s="15">
        <f t="shared" si="943"/>
        <v>17.5</v>
      </c>
      <c r="AL1021" s="15">
        <v>22.4</v>
      </c>
      <c r="AM1021" s="1">
        <v>1</v>
      </c>
      <c r="AP1021" s="15" t="s">
        <v>2264</v>
      </c>
      <c r="AQ1021" s="1">
        <v>6</v>
      </c>
      <c r="AR1021" s="1">
        <v>3</v>
      </c>
      <c r="BP1021" s="16"/>
      <c r="BQ1021" s="16"/>
      <c r="BR1021" s="16"/>
      <c r="BU1021" s="16"/>
      <c r="CC1021" s="15" t="s">
        <v>2263</v>
      </c>
      <c r="CE1021" s="15">
        <v>10000</v>
      </c>
      <c r="CF1021" s="15">
        <v>10000</v>
      </c>
      <c r="CG1021" s="15" t="s">
        <v>766</v>
      </c>
      <c r="CW1021" s="15">
        <v>45.3</v>
      </c>
      <c r="CY1021" s="25">
        <f t="shared" si="944"/>
        <v>10000</v>
      </c>
      <c r="CZ1021" s="25">
        <f t="shared" si="945"/>
        <v>12.820512820512821</v>
      </c>
      <c r="DA1021" s="25">
        <f t="shared" si="946"/>
        <v>30000</v>
      </c>
      <c r="EZ1021" s="15">
        <v>1.08</v>
      </c>
      <c r="FA1021" s="15">
        <f t="shared" si="947"/>
        <v>5.4000000000000006E-2</v>
      </c>
      <c r="FB1021" s="15">
        <f>FA1021*SQRT(AR1021)</f>
        <v>9.353074360871938E-2</v>
      </c>
      <c r="FC1021" s="15">
        <v>0.93</v>
      </c>
      <c r="FD1021" s="15">
        <f t="shared" si="948"/>
        <v>4.6500000000000007E-2</v>
      </c>
      <c r="FE1021" s="15">
        <f>FD1021*SQRT(AR1021)</f>
        <v>8.0540362551952807E-2</v>
      </c>
      <c r="FF1021" s="15">
        <f t="shared" si="949"/>
        <v>0.86111111111111105</v>
      </c>
      <c r="FG1021" s="15">
        <f t="shared" si="950"/>
        <v>-0.15000000000000002</v>
      </c>
      <c r="FH1021" s="15">
        <f t="shared" si="951"/>
        <v>-0.14953173397096375</v>
      </c>
      <c r="FI1021" s="15">
        <f>((FE1021*FE1021)/(AR1021*FC1021*FC1021)+(FB1021*FB1021)/(AR1021*EZ1021*EZ1021))</f>
        <v>5.000000000000001E-3</v>
      </c>
      <c r="FK1021" s="16">
        <f t="shared" si="952"/>
        <v>5.16</v>
      </c>
      <c r="FL1021" s="16">
        <f t="shared" si="953"/>
        <v>5.28</v>
      </c>
      <c r="FM1021" s="15">
        <v>5.16</v>
      </c>
      <c r="FN1021" s="15">
        <v>0.14000000000000001</v>
      </c>
      <c r="FO1021" s="15">
        <f>FN1021*SQRT(AR1021)</f>
        <v>0.24248711305964282</v>
      </c>
      <c r="FP1021" s="15">
        <v>5.28</v>
      </c>
      <c r="FQ1021" s="15">
        <v>0.08</v>
      </c>
      <c r="FR1021" s="15">
        <f>FQ1021*SQRT(AR1021)</f>
        <v>0.13856406460551018</v>
      </c>
      <c r="FS1021" s="15">
        <f t="shared" si="954"/>
        <v>1.0232558139534884</v>
      </c>
      <c r="FT1021" s="15">
        <f t="shared" si="955"/>
        <v>0.12000000000000011</v>
      </c>
      <c r="FU1021" s="15">
        <f t="shared" si="956"/>
        <v>2.2989518224698857E-2</v>
      </c>
      <c r="FV1021" s="15">
        <f>((FR1021*FR1021)/(AR1021*FP1021*FP1021)+(FO1021*FO1021)/(AR1021*FM1021*FM1021))</f>
        <v>9.657020572011476E-4</v>
      </c>
      <c r="FX1021" s="15">
        <v>35.147999999999996</v>
      </c>
      <c r="FY1021" s="15">
        <v>1.2</v>
      </c>
      <c r="FZ1021" s="15">
        <f>FY1021*SQRT(AR1021)</f>
        <v>2.0784609690826525</v>
      </c>
      <c r="GA1021" s="15">
        <v>44.717999999999996</v>
      </c>
      <c r="GB1021" s="15">
        <v>3.6</v>
      </c>
      <c r="GC1021" s="15">
        <f>GB1021*SQRT(AR1021)</f>
        <v>6.2353829072479581</v>
      </c>
      <c r="GD1021" s="15">
        <f t="shared" si="957"/>
        <v>1.2722772277227723</v>
      </c>
      <c r="GE1021" s="15">
        <f t="shared" si="958"/>
        <v>9.57</v>
      </c>
      <c r="GF1021" s="15">
        <f t="shared" si="959"/>
        <v>0.24080838749401501</v>
      </c>
      <c r="GG1021" s="15">
        <f>((GC1021*GC1021)/(AR1021*GA1021*GA1021)+(FZ1021*FZ1021)/(AR1021*FX1021*FX1021))</f>
        <v>7.6466051384737931E-3</v>
      </c>
      <c r="HE1021" s="15">
        <v>1346</v>
      </c>
      <c r="HF1021" s="15">
        <f t="shared" si="941"/>
        <v>67.3</v>
      </c>
      <c r="HG1021" s="15">
        <f>HF1021*SQRT(AR1021)</f>
        <v>116.56701934938543</v>
      </c>
      <c r="HH1021" s="15">
        <v>1512</v>
      </c>
      <c r="HI1021" s="15">
        <f t="shared" si="942"/>
        <v>75.600000000000009</v>
      </c>
      <c r="HJ1021" s="15">
        <f>HI1021*SQRT(AR1021)</f>
        <v>130.94304105220712</v>
      </c>
      <c r="HK1021" s="15">
        <f t="shared" si="964"/>
        <v>1.1233283803863299</v>
      </c>
      <c r="HL1021" s="15">
        <f t="shared" si="965"/>
        <v>166</v>
      </c>
      <c r="HM1021" s="15">
        <f t="shared" si="966"/>
        <v>0.11629604653480463</v>
      </c>
      <c r="HN1021" s="15">
        <f>((HJ1021*HJ1021)/(AR1021*HH1021*HH1021)+(HG1021*HG1021)/(AR1021*HE1021*HE1021))</f>
        <v>4.9999999999999992E-3</v>
      </c>
      <c r="HP1021" s="15" t="s">
        <v>766</v>
      </c>
      <c r="HV1021" s="15">
        <f t="shared" si="967"/>
        <v>2579.6233744731567</v>
      </c>
      <c r="HW1021" s="15">
        <f t="shared" si="968"/>
        <v>0.11629604653480463</v>
      </c>
      <c r="HX1021" s="25">
        <f t="shared" si="960"/>
        <v>30000</v>
      </c>
      <c r="HY1021" s="25">
        <f t="shared" si="961"/>
        <v>10000</v>
      </c>
      <c r="HZ1021" s="25">
        <f t="shared" si="962"/>
        <v>12.820512820512821</v>
      </c>
      <c r="IA1021" s="25">
        <f t="shared" si="963"/>
        <v>30000</v>
      </c>
    </row>
    <row r="1022" spans="1:235" s="15" customFormat="1" x14ac:dyDescent="0.25">
      <c r="A1022" s="31">
        <v>1020</v>
      </c>
      <c r="B1022" s="1">
        <v>169</v>
      </c>
      <c r="C1022" s="1">
        <v>195</v>
      </c>
      <c r="D1022" s="15" t="s">
        <v>2265</v>
      </c>
      <c r="E1022" s="31">
        <v>2</v>
      </c>
      <c r="F1022" s="15" t="s">
        <v>777</v>
      </c>
      <c r="G1022" s="15" t="s">
        <v>2271</v>
      </c>
      <c r="H1022" s="15" t="s">
        <v>812</v>
      </c>
      <c r="I1022" s="1">
        <v>2012</v>
      </c>
      <c r="J1022" s="15" t="s">
        <v>2186</v>
      </c>
      <c r="K1022" s="1" t="s">
        <v>2277</v>
      </c>
      <c r="L1022" s="15" t="s">
        <v>2278</v>
      </c>
      <c r="M1022" s="15" t="s">
        <v>480</v>
      </c>
      <c r="N1022" s="15" t="s">
        <v>23</v>
      </c>
      <c r="O1022" s="31">
        <v>2</v>
      </c>
      <c r="P1022" s="15">
        <v>119.68</v>
      </c>
      <c r="Q1022" s="15">
        <v>31.4</v>
      </c>
      <c r="S1022" s="15">
        <v>1177</v>
      </c>
      <c r="T1022" s="15">
        <v>15.7</v>
      </c>
      <c r="U1022" s="15" t="s">
        <v>549</v>
      </c>
      <c r="V1022" s="31">
        <v>1</v>
      </c>
      <c r="W1022" s="16" t="s">
        <v>1153</v>
      </c>
      <c r="X1022" s="15" t="s">
        <v>689</v>
      </c>
      <c r="Y1022" s="1">
        <v>1</v>
      </c>
      <c r="Z1022" s="15">
        <v>6.5</v>
      </c>
      <c r="AA1022" s="15" t="s">
        <v>573</v>
      </c>
      <c r="AB1022" s="15">
        <f t="shared" si="882"/>
        <v>6.5</v>
      </c>
      <c r="AC1022" s="1">
        <v>5</v>
      </c>
      <c r="AD1022" s="15">
        <f t="shared" ref="AD1022:AD1031" si="969">23.5*1.74</f>
        <v>40.89</v>
      </c>
      <c r="AJ1022" s="15">
        <v>39</v>
      </c>
      <c r="AM1022" s="1">
        <v>1</v>
      </c>
      <c r="AN1022" s="15">
        <v>1.01</v>
      </c>
      <c r="AP1022" s="15" t="s">
        <v>1185</v>
      </c>
      <c r="AQ1022" s="1">
        <v>3</v>
      </c>
      <c r="AR1022" s="1">
        <v>3</v>
      </c>
      <c r="BP1022" s="16"/>
      <c r="BQ1022" s="16"/>
      <c r="BR1022" s="16"/>
      <c r="BU1022" s="16"/>
      <c r="CE1022" s="15">
        <v>10000</v>
      </c>
      <c r="CF1022" s="15">
        <v>10000</v>
      </c>
      <c r="CG1022" s="15" t="s">
        <v>766</v>
      </c>
      <c r="CH1022" s="15">
        <v>10.4</v>
      </c>
      <c r="CK1022" s="15">
        <v>467</v>
      </c>
      <c r="CL1022" s="15">
        <v>5.9</v>
      </c>
      <c r="CP1022" s="15">
        <v>10</v>
      </c>
      <c r="CQ1022" s="15">
        <v>6</v>
      </c>
      <c r="CR1022" s="15">
        <v>26</v>
      </c>
      <c r="CW1022" s="15">
        <v>20.8</v>
      </c>
      <c r="CY1022" s="25">
        <f t="shared" si="944"/>
        <v>10000</v>
      </c>
      <c r="CZ1022" s="25">
        <f t="shared" si="945"/>
        <v>12.820512820512821</v>
      </c>
      <c r="DA1022" s="25">
        <f t="shared" si="946"/>
        <v>30000</v>
      </c>
      <c r="EZ1022" s="15">
        <v>0.99</v>
      </c>
      <c r="FA1022" s="15">
        <f t="shared" si="947"/>
        <v>4.9500000000000002E-2</v>
      </c>
      <c r="FB1022" s="15">
        <f>FA1022*SQRT(AR1022)</f>
        <v>8.5736514974659422E-2</v>
      </c>
      <c r="FC1022" s="15">
        <v>0.96</v>
      </c>
      <c r="FD1022" s="15">
        <v>0.02</v>
      </c>
      <c r="FE1022" s="15">
        <f>FD1022*SQRT(AR1022)</f>
        <v>3.4641016151377546E-2</v>
      </c>
      <c r="FF1022" s="15">
        <f t="shared" si="949"/>
        <v>0.96969696969696972</v>
      </c>
      <c r="FG1022" s="15">
        <f t="shared" si="950"/>
        <v>-3.0000000000000027E-2</v>
      </c>
      <c r="FH1022" s="15">
        <f t="shared" si="951"/>
        <v>-3.0771658666753715E-2</v>
      </c>
      <c r="FI1022" s="15">
        <f>((FE1022*FE1022)/(AR1022*FC1022*FC1022)+(FB1022*FB1022)/(AR1022*EZ1022*EZ1022))</f>
        <v>2.934027777777778E-3</v>
      </c>
      <c r="FK1022" s="16">
        <f t="shared" si="952"/>
        <v>6.53</v>
      </c>
      <c r="FL1022" s="15">
        <f t="shared" si="953"/>
        <v>6.75</v>
      </c>
      <c r="FM1022" s="16">
        <v>6.53</v>
      </c>
      <c r="FN1022" s="16">
        <v>0.11</v>
      </c>
      <c r="FO1022" s="15">
        <f>FN1022*SQRT(AR1022)</f>
        <v>0.1905255888325765</v>
      </c>
      <c r="FP1022" s="15">
        <v>6.75</v>
      </c>
      <c r="FQ1022" s="15">
        <v>0.08</v>
      </c>
      <c r="FR1022" s="15">
        <f>FQ1022*SQRT(AR1022)</f>
        <v>0.13856406460551018</v>
      </c>
      <c r="FS1022" s="15">
        <f t="shared" si="954"/>
        <v>1.0336906584992342</v>
      </c>
      <c r="FT1022" s="15">
        <f t="shared" si="955"/>
        <v>0.21999999999999975</v>
      </c>
      <c r="FU1022" s="15">
        <f t="shared" si="956"/>
        <v>3.3135561596098873E-2</v>
      </c>
      <c r="FV1022" s="15">
        <f>((FR1022*FR1022)/(AR1022*FP1022*FP1022)+(FO1022*FO1022)/(AR1022*FM1022*FM1022))</f>
        <v>4.2423150984625133E-4</v>
      </c>
      <c r="FX1022" s="15">
        <v>40.368000000000002</v>
      </c>
      <c r="FY1022" s="15">
        <v>1.6</v>
      </c>
      <c r="FZ1022" s="15">
        <f>FY1022*SQRT(AR1022)</f>
        <v>2.7712812921102037</v>
      </c>
      <c r="GA1022" s="15">
        <v>47.154000000000003</v>
      </c>
      <c r="GB1022" s="15">
        <v>1.5</v>
      </c>
      <c r="GC1022" s="15">
        <f>GB1022*SQRT(AR1022)</f>
        <v>2.598076211353316</v>
      </c>
      <c r="GD1022" s="15">
        <f t="shared" si="957"/>
        <v>1.1681034482758621</v>
      </c>
      <c r="GE1022" s="15">
        <f t="shared" si="958"/>
        <v>6.7860000000000014</v>
      </c>
      <c r="GF1022" s="15">
        <f t="shared" si="959"/>
        <v>0.1553814492133907</v>
      </c>
      <c r="GG1022" s="15">
        <f>((GC1022*GC1022)/(AR1022*GA1022*GA1022)+(FZ1022*FZ1022)/(AR1022*FX1022*FX1022))</f>
        <v>2.5828796213965134E-3</v>
      </c>
      <c r="HE1022" s="15">
        <v>7600</v>
      </c>
      <c r="HF1022" s="15">
        <v>330</v>
      </c>
      <c r="HG1022" s="15">
        <f>HF1022*SQRT(AR1022)</f>
        <v>571.57676649772952</v>
      </c>
      <c r="HH1022" s="15">
        <v>8300</v>
      </c>
      <c r="HI1022" s="15">
        <v>100</v>
      </c>
      <c r="HJ1022" s="15">
        <f>HI1022*SQRT(AR1022)</f>
        <v>173.20508075688772</v>
      </c>
      <c r="HK1022" s="15">
        <f t="shared" si="964"/>
        <v>1.0921052631578947</v>
      </c>
      <c r="HL1022" s="15">
        <f t="shared" si="965"/>
        <v>700</v>
      </c>
      <c r="HM1022" s="15">
        <f t="shared" si="966"/>
        <v>8.8107267510267206E-2</v>
      </c>
      <c r="HN1022" s="15">
        <f>((HJ1022*HJ1022)/(AR1022*HH1022*HH1022)+(HG1022*HG1022)/(AR1022*HE1022*HE1022))</f>
        <v>2.0305467606835581E-3</v>
      </c>
      <c r="HP1022" s="15" t="s">
        <v>766</v>
      </c>
      <c r="HV1022" s="15">
        <f t="shared" si="967"/>
        <v>3404.9404603887047</v>
      </c>
      <c r="HW1022" s="15">
        <f t="shared" si="968"/>
        <v>8.8107267510267206E-2</v>
      </c>
      <c r="HX1022" s="25">
        <f t="shared" si="960"/>
        <v>30000</v>
      </c>
      <c r="HY1022" s="25">
        <f t="shared" si="961"/>
        <v>10000</v>
      </c>
      <c r="HZ1022" s="25">
        <f t="shared" si="962"/>
        <v>12.820512820512821</v>
      </c>
      <c r="IA1022" s="25">
        <f t="shared" si="963"/>
        <v>30000</v>
      </c>
    </row>
    <row r="1023" spans="1:235" s="15" customFormat="1" x14ac:dyDescent="0.25">
      <c r="A1023" s="31">
        <v>1021</v>
      </c>
      <c r="B1023" s="1">
        <v>169</v>
      </c>
      <c r="C1023" s="1">
        <v>195</v>
      </c>
      <c r="D1023" s="15" t="s">
        <v>2266</v>
      </c>
      <c r="E1023" s="31">
        <v>2</v>
      </c>
      <c r="F1023" s="15" t="s">
        <v>777</v>
      </c>
      <c r="G1023" s="15" t="s">
        <v>2272</v>
      </c>
      <c r="H1023" s="15" t="s">
        <v>812</v>
      </c>
      <c r="I1023" s="1">
        <v>2012</v>
      </c>
      <c r="J1023" s="15" t="s">
        <v>2186</v>
      </c>
      <c r="K1023" s="1" t="s">
        <v>2277</v>
      </c>
      <c r="L1023" s="15" t="s">
        <v>2278</v>
      </c>
      <c r="M1023" s="15" t="s">
        <v>480</v>
      </c>
      <c r="N1023" s="15" t="s">
        <v>23</v>
      </c>
      <c r="O1023" s="31">
        <v>2</v>
      </c>
      <c r="P1023" s="15">
        <v>119.68</v>
      </c>
      <c r="Q1023" s="15">
        <v>31.4</v>
      </c>
      <c r="S1023" s="15">
        <v>1177</v>
      </c>
      <c r="T1023" s="15">
        <v>15.7</v>
      </c>
      <c r="U1023" s="15" t="s">
        <v>549</v>
      </c>
      <c r="V1023" s="31">
        <v>1</v>
      </c>
      <c r="W1023" s="16" t="s">
        <v>1153</v>
      </c>
      <c r="X1023" s="15" t="s">
        <v>689</v>
      </c>
      <c r="Y1023" s="1">
        <v>1</v>
      </c>
      <c r="Z1023" s="15">
        <v>6.5</v>
      </c>
      <c r="AA1023" s="15" t="s">
        <v>573</v>
      </c>
      <c r="AB1023" s="15">
        <f t="shared" si="882"/>
        <v>6.5</v>
      </c>
      <c r="AC1023" s="1">
        <v>5</v>
      </c>
      <c r="AD1023" s="15">
        <f t="shared" si="969"/>
        <v>40.89</v>
      </c>
      <c r="AJ1023" s="15">
        <v>39</v>
      </c>
      <c r="AM1023" s="1">
        <v>1</v>
      </c>
      <c r="AN1023" s="15">
        <v>1.01</v>
      </c>
      <c r="AP1023" s="15" t="s">
        <v>1185</v>
      </c>
      <c r="AQ1023" s="1">
        <v>3</v>
      </c>
      <c r="AR1023" s="1">
        <v>3</v>
      </c>
      <c r="BP1023" s="16"/>
      <c r="BQ1023" s="16"/>
      <c r="BR1023" s="16"/>
      <c r="BU1023" s="16"/>
      <c r="CE1023" s="15">
        <v>10000</v>
      </c>
      <c r="CF1023" s="15">
        <v>10000</v>
      </c>
      <c r="CG1023" s="15" t="s">
        <v>766</v>
      </c>
      <c r="CH1023" s="15">
        <v>10.4</v>
      </c>
      <c r="CK1023" s="15">
        <v>467</v>
      </c>
      <c r="CL1023" s="15">
        <v>5.9</v>
      </c>
      <c r="CP1023" s="15">
        <v>10</v>
      </c>
      <c r="CQ1023" s="15">
        <v>6</v>
      </c>
      <c r="CR1023" s="15">
        <v>26</v>
      </c>
      <c r="CW1023" s="15">
        <v>20.8</v>
      </c>
      <c r="CY1023" s="25">
        <f t="shared" si="944"/>
        <v>10000</v>
      </c>
      <c r="CZ1023" s="25">
        <f t="shared" si="945"/>
        <v>12.820512820512821</v>
      </c>
      <c r="DA1023" s="25">
        <f t="shared" si="946"/>
        <v>30000</v>
      </c>
      <c r="EZ1023" s="15">
        <v>0.94</v>
      </c>
      <c r="FA1023" s="15">
        <v>0.02</v>
      </c>
      <c r="FB1023" s="15">
        <f>FA1023*SQRT(AR1023)</f>
        <v>3.4641016151377546E-2</v>
      </c>
      <c r="FC1023" s="15">
        <v>0.91</v>
      </c>
      <c r="FD1023" s="15">
        <v>0.02</v>
      </c>
      <c r="FE1023" s="15">
        <f>FD1023*SQRT(AR1023)</f>
        <v>3.4641016151377546E-2</v>
      </c>
      <c r="FF1023" s="15">
        <f t="shared" si="949"/>
        <v>0.96808510638297884</v>
      </c>
      <c r="FG1023" s="15">
        <f t="shared" si="950"/>
        <v>-2.9999999999999916E-2</v>
      </c>
      <c r="FH1023" s="15">
        <f t="shared" si="951"/>
        <v>-3.2435275753153761E-2</v>
      </c>
      <c r="FI1023" s="15">
        <f>((FE1023*FE1023)/(AR1023*FC1023*FC1023)+(FB1023*FB1023)/(AR1023*EZ1023*EZ1023))</f>
        <v>9.3572697654898838E-4</v>
      </c>
      <c r="FK1023" s="16">
        <f t="shared" si="952"/>
        <v>6.53</v>
      </c>
      <c r="FL1023" s="15">
        <f t="shared" si="953"/>
        <v>6.73</v>
      </c>
      <c r="FM1023" s="16">
        <v>6.53</v>
      </c>
      <c r="FN1023" s="16">
        <v>0.04</v>
      </c>
      <c r="FO1023" s="15">
        <f>FN1023*SQRT(AR1023)</f>
        <v>6.9282032302755092E-2</v>
      </c>
      <c r="FP1023" s="15">
        <v>6.73</v>
      </c>
      <c r="FQ1023" s="15">
        <v>0.21</v>
      </c>
      <c r="FR1023" s="15">
        <f>FQ1023*SQRT(AR1023)</f>
        <v>0.36373066958946421</v>
      </c>
      <c r="FS1023" s="15">
        <f t="shared" si="954"/>
        <v>1.0306278713629402</v>
      </c>
      <c r="FT1023" s="15">
        <f t="shared" si="955"/>
        <v>0.20000000000000018</v>
      </c>
      <c r="FU1023" s="15">
        <f t="shared" si="956"/>
        <v>3.0168200368296816E-2</v>
      </c>
      <c r="FV1023" s="15">
        <f>((FR1023*FR1023)/(AR1023*FP1023*FP1023)+(FO1023*FO1023)/(AR1023*FM1023*FM1023))</f>
        <v>1.0111851988891891E-3</v>
      </c>
      <c r="FX1023" s="15">
        <v>40.89</v>
      </c>
      <c r="FY1023" s="15">
        <v>1.2</v>
      </c>
      <c r="FZ1023" s="15">
        <f>FY1023*SQRT(AR1023)</f>
        <v>2.0784609690826525</v>
      </c>
      <c r="GA1023" s="15">
        <v>44.717999999999996</v>
      </c>
      <c r="GB1023" s="15">
        <v>2</v>
      </c>
      <c r="GC1023" s="15">
        <f>GB1023*SQRT(AR1023)</f>
        <v>3.4641016151377544</v>
      </c>
      <c r="GD1023" s="15">
        <f t="shared" si="957"/>
        <v>1.0936170212765957</v>
      </c>
      <c r="GE1023" s="15">
        <f t="shared" si="958"/>
        <v>3.8279999999999959</v>
      </c>
      <c r="GF1023" s="15">
        <f t="shared" si="959"/>
        <v>8.9490570751060705E-2</v>
      </c>
      <c r="GG1023" s="15">
        <f>((GC1023*GC1023)/(AR1023*GA1023*GA1023)+(FZ1023*FZ1023)/(AR1023*FX1023*FX1023))</f>
        <v>2.8615486095826502E-3</v>
      </c>
      <c r="HE1023" s="15">
        <v>7600</v>
      </c>
      <c r="HF1023" s="15">
        <v>190</v>
      </c>
      <c r="HG1023" s="15">
        <f>HF1023*SQRT(AR1023)</f>
        <v>329.08965343808666</v>
      </c>
      <c r="HH1023" s="15">
        <v>9700</v>
      </c>
      <c r="HI1023" s="15">
        <v>330</v>
      </c>
      <c r="HJ1023" s="15">
        <f>HI1023*SQRT(AR1023)</f>
        <v>571.57676649772952</v>
      </c>
      <c r="HK1023" s="15">
        <f t="shared" si="964"/>
        <v>1.2763157894736843</v>
      </c>
      <c r="HL1023" s="15">
        <f t="shared" si="965"/>
        <v>2100</v>
      </c>
      <c r="HM1023" s="15">
        <f t="shared" si="966"/>
        <v>0.24397763821705176</v>
      </c>
      <c r="HN1023" s="15">
        <f>((HJ1023*HJ1023)/(AR1023*HH1023*HH1023)+(HG1023*HG1023)/(AR1023*HE1023*HE1023))</f>
        <v>1.7824024869805505E-3</v>
      </c>
      <c r="HP1023" s="15" t="s">
        <v>766</v>
      </c>
      <c r="HV1023" s="15">
        <f t="shared" si="967"/>
        <v>1229.6208873581627</v>
      </c>
      <c r="HW1023" s="15">
        <f t="shared" si="968"/>
        <v>0.24397763821705176</v>
      </c>
      <c r="HX1023" s="25">
        <f t="shared" si="960"/>
        <v>30000</v>
      </c>
      <c r="HY1023" s="25">
        <f t="shared" si="961"/>
        <v>10000</v>
      </c>
      <c r="HZ1023" s="25">
        <f t="shared" si="962"/>
        <v>12.820512820512821</v>
      </c>
      <c r="IA1023" s="25">
        <f t="shared" si="963"/>
        <v>30000</v>
      </c>
    </row>
    <row r="1024" spans="1:235" s="15" customFormat="1" x14ac:dyDescent="0.25">
      <c r="A1024" s="31">
        <v>1022</v>
      </c>
      <c r="B1024" s="1">
        <v>169</v>
      </c>
      <c r="C1024" s="1">
        <v>195</v>
      </c>
      <c r="D1024" s="15" t="s">
        <v>2267</v>
      </c>
      <c r="E1024" s="31">
        <v>2</v>
      </c>
      <c r="F1024" s="15" t="s">
        <v>777</v>
      </c>
      <c r="G1024" s="15" t="s">
        <v>2273</v>
      </c>
      <c r="H1024" s="15" t="s">
        <v>812</v>
      </c>
      <c r="I1024" s="1">
        <v>2012</v>
      </c>
      <c r="J1024" s="15" t="s">
        <v>2186</v>
      </c>
      <c r="K1024" s="1" t="s">
        <v>2277</v>
      </c>
      <c r="L1024" s="15" t="s">
        <v>2278</v>
      </c>
      <c r="M1024" s="15" t="s">
        <v>480</v>
      </c>
      <c r="N1024" s="15" t="s">
        <v>23</v>
      </c>
      <c r="O1024" s="31">
        <v>2</v>
      </c>
      <c r="P1024" s="15">
        <v>119.68</v>
      </c>
      <c r="Q1024" s="15">
        <v>31.4</v>
      </c>
      <c r="S1024" s="15">
        <v>1177</v>
      </c>
      <c r="T1024" s="15">
        <v>15.7</v>
      </c>
      <c r="U1024" s="15" t="s">
        <v>549</v>
      </c>
      <c r="V1024" s="31">
        <v>1</v>
      </c>
      <c r="W1024" s="16" t="s">
        <v>1153</v>
      </c>
      <c r="X1024" s="15" t="s">
        <v>689</v>
      </c>
      <c r="Y1024" s="1">
        <v>1</v>
      </c>
      <c r="Z1024" s="15">
        <v>6.5</v>
      </c>
      <c r="AA1024" s="15" t="s">
        <v>573</v>
      </c>
      <c r="AB1024" s="15">
        <f t="shared" si="882"/>
        <v>6.5</v>
      </c>
      <c r="AC1024" s="1">
        <v>5</v>
      </c>
      <c r="AD1024" s="15">
        <f t="shared" si="969"/>
        <v>40.89</v>
      </c>
      <c r="AJ1024" s="15">
        <v>39</v>
      </c>
      <c r="AM1024" s="1">
        <v>1</v>
      </c>
      <c r="AN1024" s="15">
        <v>1.01</v>
      </c>
      <c r="AP1024" s="15" t="s">
        <v>1185</v>
      </c>
      <c r="AQ1024" s="1">
        <v>3</v>
      </c>
      <c r="AR1024" s="1">
        <v>3</v>
      </c>
      <c r="BP1024" s="16"/>
      <c r="BQ1024" s="16"/>
      <c r="BR1024" s="16"/>
      <c r="BU1024" s="16"/>
      <c r="CE1024" s="15">
        <v>20000</v>
      </c>
      <c r="CF1024" s="15">
        <v>20000</v>
      </c>
      <c r="CG1024" s="15" t="s">
        <v>766</v>
      </c>
      <c r="CH1024" s="15">
        <v>10.4</v>
      </c>
      <c r="CK1024" s="15">
        <v>467</v>
      </c>
      <c r="CL1024" s="15">
        <v>5.9</v>
      </c>
      <c r="CP1024" s="15">
        <v>10</v>
      </c>
      <c r="CQ1024" s="15">
        <v>6</v>
      </c>
      <c r="CR1024" s="15">
        <v>26</v>
      </c>
      <c r="CW1024" s="15">
        <v>20.8</v>
      </c>
      <c r="CY1024" s="25">
        <f t="shared" si="944"/>
        <v>20000</v>
      </c>
      <c r="CZ1024" s="25">
        <f t="shared" si="945"/>
        <v>25.641025641025642</v>
      </c>
      <c r="DA1024" s="25">
        <f t="shared" si="946"/>
        <v>60000</v>
      </c>
      <c r="EZ1024" s="15">
        <v>0.99</v>
      </c>
      <c r="FA1024" s="15">
        <f>EZ1024*0.05</f>
        <v>4.9500000000000002E-2</v>
      </c>
      <c r="FB1024" s="15">
        <f>FA1024*SQRT(AR1024)</f>
        <v>8.5736514974659422E-2</v>
      </c>
      <c r="FC1024" s="15">
        <v>0.91</v>
      </c>
      <c r="FD1024" s="15">
        <v>0.02</v>
      </c>
      <c r="FE1024" s="15">
        <f>FD1024*SQRT(AR1024)</f>
        <v>3.4641016151377546E-2</v>
      </c>
      <c r="FF1024" s="15">
        <f t="shared" si="949"/>
        <v>0.91919191919191923</v>
      </c>
      <c r="FG1024" s="15">
        <f t="shared" si="950"/>
        <v>-7.999999999999996E-2</v>
      </c>
      <c r="FH1024" s="15">
        <f t="shared" si="951"/>
        <v>-8.4260343617739847E-2</v>
      </c>
      <c r="FI1024" s="15">
        <f>((FE1024*FE1024)/(AR1024*FC1024*FC1024)+(FB1024*FB1024)/(AR1024*EZ1024*EZ1024))</f>
        <v>2.9830334500664172E-3</v>
      </c>
      <c r="FK1024" s="16">
        <f t="shared" si="952"/>
        <v>6.53</v>
      </c>
      <c r="FL1024" s="15">
        <f t="shared" si="953"/>
        <v>6.77</v>
      </c>
      <c r="FM1024" s="16">
        <v>6.53</v>
      </c>
      <c r="FN1024" s="16">
        <v>0.11</v>
      </c>
      <c r="FO1024" s="15">
        <f>FN1024*SQRT(AR1024)</f>
        <v>0.1905255888325765</v>
      </c>
      <c r="FP1024" s="15">
        <v>6.77</v>
      </c>
      <c r="FQ1024" s="15">
        <v>0.18</v>
      </c>
      <c r="FR1024" s="15">
        <f>FQ1024*SQRT(AR1024)</f>
        <v>0.31176914536239786</v>
      </c>
      <c r="FS1024" s="15">
        <f t="shared" si="954"/>
        <v>1.0367534456355283</v>
      </c>
      <c r="FT1024" s="15">
        <f t="shared" si="955"/>
        <v>0.23999999999999932</v>
      </c>
      <c r="FU1024" s="15">
        <f t="shared" si="956"/>
        <v>3.6094143635843956E-2</v>
      </c>
      <c r="FV1024" s="15">
        <f>((FR1024*FR1024)/(AR1024*FP1024*FP1024)+(FO1024*FO1024)/(AR1024*FM1024*FM1024))</f>
        <v>9.9068089200442027E-4</v>
      </c>
      <c r="FX1024" s="15">
        <v>40.368000000000002</v>
      </c>
      <c r="FY1024" s="15">
        <v>1.6</v>
      </c>
      <c r="FZ1024" s="15">
        <f>FY1024*SQRT(AR1024)</f>
        <v>2.7712812921102037</v>
      </c>
      <c r="GA1024" s="15">
        <v>51.33</v>
      </c>
      <c r="GB1024" s="15">
        <v>0.9</v>
      </c>
      <c r="GC1024" s="15">
        <f>GB1024*SQRT(AR1024)</f>
        <v>1.5588457268119895</v>
      </c>
      <c r="GD1024" s="15">
        <f t="shared" si="957"/>
        <v>1.2715517241379308</v>
      </c>
      <c r="GE1024" s="15">
        <f t="shared" si="958"/>
        <v>10.961999999999996</v>
      </c>
      <c r="GF1024" s="15">
        <f t="shared" si="959"/>
        <v>0.24023798467350943</v>
      </c>
      <c r="GG1024" s="15">
        <f>((GC1024*GC1024)/(AR1024*GA1024*GA1024)+(FZ1024*FZ1024)/(AR1024*FX1024*FX1024))</f>
        <v>1.8783886871918255E-3</v>
      </c>
      <c r="HE1024" s="15">
        <v>7600</v>
      </c>
      <c r="HF1024" s="15">
        <v>330</v>
      </c>
      <c r="HG1024" s="15">
        <f>HF1024*SQRT(AR1024)</f>
        <v>571.57676649772952</v>
      </c>
      <c r="HH1024" s="15">
        <v>8400</v>
      </c>
      <c r="HI1024" s="15">
        <v>260</v>
      </c>
      <c r="HJ1024" s="15">
        <f>HI1024*SQRT(AR1024)</f>
        <v>450.33320996790809</v>
      </c>
      <c r="HK1024" s="15">
        <f t="shared" si="964"/>
        <v>1.1052631578947369</v>
      </c>
      <c r="HL1024" s="15">
        <f t="shared" si="965"/>
        <v>800</v>
      </c>
      <c r="HM1024" s="15">
        <f t="shared" si="966"/>
        <v>0.10008345855698231</v>
      </c>
      <c r="HN1024" s="15">
        <f>((HJ1024*HJ1024)/(AR1024*HH1024*HH1024)+(HG1024*HG1024)/(AR1024*HE1024*HE1024))</f>
        <v>2.8434376982556641E-3</v>
      </c>
      <c r="HP1024" s="15" t="s">
        <v>766</v>
      </c>
      <c r="HV1024" s="15">
        <f t="shared" si="967"/>
        <v>5994.9966622945121</v>
      </c>
      <c r="HW1024" s="15">
        <f t="shared" si="968"/>
        <v>0.10008345855698231</v>
      </c>
      <c r="HX1024" s="25">
        <f t="shared" si="960"/>
        <v>60000</v>
      </c>
      <c r="HY1024" s="25">
        <f t="shared" si="961"/>
        <v>20000</v>
      </c>
      <c r="HZ1024" s="25">
        <f t="shared" si="962"/>
        <v>25.641025641025642</v>
      </c>
      <c r="IA1024" s="25">
        <f t="shared" si="963"/>
        <v>60000</v>
      </c>
    </row>
    <row r="1025" spans="1:235" s="15" customFormat="1" x14ac:dyDescent="0.25">
      <c r="A1025" s="31">
        <v>1023</v>
      </c>
      <c r="B1025" s="1">
        <v>169</v>
      </c>
      <c r="C1025" s="1">
        <v>195</v>
      </c>
      <c r="D1025" s="15" t="s">
        <v>2268</v>
      </c>
      <c r="E1025" s="31">
        <v>2</v>
      </c>
      <c r="F1025" s="15" t="s">
        <v>777</v>
      </c>
      <c r="G1025" s="15" t="s">
        <v>2274</v>
      </c>
      <c r="H1025" s="15" t="s">
        <v>812</v>
      </c>
      <c r="I1025" s="1">
        <v>2012</v>
      </c>
      <c r="J1025" s="15" t="s">
        <v>2186</v>
      </c>
      <c r="K1025" s="1" t="s">
        <v>2277</v>
      </c>
      <c r="L1025" s="15" t="s">
        <v>2278</v>
      </c>
      <c r="M1025" s="15" t="s">
        <v>480</v>
      </c>
      <c r="N1025" s="15" t="s">
        <v>23</v>
      </c>
      <c r="O1025" s="31">
        <v>2</v>
      </c>
      <c r="P1025" s="15">
        <v>119.68</v>
      </c>
      <c r="Q1025" s="15">
        <v>31.4</v>
      </c>
      <c r="S1025" s="15">
        <v>1177</v>
      </c>
      <c r="T1025" s="15">
        <v>15.7</v>
      </c>
      <c r="U1025" s="15" t="s">
        <v>549</v>
      </c>
      <c r="V1025" s="31">
        <v>1</v>
      </c>
      <c r="W1025" s="16" t="s">
        <v>1153</v>
      </c>
      <c r="X1025" s="15" t="s">
        <v>689</v>
      </c>
      <c r="Y1025" s="1">
        <v>1</v>
      </c>
      <c r="Z1025" s="15">
        <v>6.5</v>
      </c>
      <c r="AA1025" s="15" t="s">
        <v>573</v>
      </c>
      <c r="AB1025" s="15">
        <f t="shared" si="882"/>
        <v>6.5</v>
      </c>
      <c r="AC1025" s="1">
        <v>5</v>
      </c>
      <c r="AD1025" s="15">
        <f t="shared" si="969"/>
        <v>40.89</v>
      </c>
      <c r="AJ1025" s="15">
        <v>39</v>
      </c>
      <c r="AM1025" s="1">
        <v>1</v>
      </c>
      <c r="AN1025" s="15">
        <v>1.01</v>
      </c>
      <c r="AP1025" s="15" t="s">
        <v>1185</v>
      </c>
      <c r="AQ1025" s="1">
        <v>3</v>
      </c>
      <c r="AR1025" s="1">
        <v>3</v>
      </c>
      <c r="BP1025" s="16"/>
      <c r="BQ1025" s="16"/>
      <c r="BR1025" s="16"/>
      <c r="BU1025" s="16"/>
      <c r="CE1025" s="15">
        <v>20000</v>
      </c>
      <c r="CF1025" s="15">
        <v>20000</v>
      </c>
      <c r="CG1025" s="15" t="s">
        <v>766</v>
      </c>
      <c r="CH1025" s="15">
        <v>10.4</v>
      </c>
      <c r="CK1025" s="15">
        <v>467</v>
      </c>
      <c r="CL1025" s="15">
        <v>5.9</v>
      </c>
      <c r="CP1025" s="15">
        <v>10</v>
      </c>
      <c r="CQ1025" s="15">
        <v>6</v>
      </c>
      <c r="CR1025" s="15">
        <v>26</v>
      </c>
      <c r="CW1025" s="15">
        <v>20.8</v>
      </c>
      <c r="CY1025" s="25">
        <f t="shared" si="944"/>
        <v>20000</v>
      </c>
      <c r="CZ1025" s="25">
        <f t="shared" si="945"/>
        <v>25.641025641025642</v>
      </c>
      <c r="DA1025" s="25">
        <f t="shared" si="946"/>
        <v>60000</v>
      </c>
      <c r="EZ1025" s="15">
        <v>0.94</v>
      </c>
      <c r="FA1025" s="15">
        <v>0.02</v>
      </c>
      <c r="FB1025" s="15">
        <f>FA1025*SQRT(AR1025)</f>
        <v>3.4641016151377546E-2</v>
      </c>
      <c r="FC1025" s="15">
        <v>0.86</v>
      </c>
      <c r="FD1025" s="15">
        <v>0.01</v>
      </c>
      <c r="FE1025" s="15">
        <f>FD1025*SQRT(AR1025)</f>
        <v>1.7320508075688773E-2</v>
      </c>
      <c r="FF1025" s="15">
        <f t="shared" si="949"/>
        <v>0.91489361702127658</v>
      </c>
      <c r="FG1025" s="15">
        <f t="shared" si="950"/>
        <v>-7.999999999999996E-2</v>
      </c>
      <c r="FH1025" s="15">
        <f t="shared" si="951"/>
        <v>-8.894748601649613E-2</v>
      </c>
      <c r="FI1025" s="15">
        <f>((FE1025*FE1025)/(AR1025*FC1025*FC1025)+(FB1025*FB1025)/(AR1025*EZ1025*EZ1025))</f>
        <v>5.879017471423875E-4</v>
      </c>
      <c r="FK1025" s="16">
        <f t="shared" si="952"/>
        <v>6.53</v>
      </c>
      <c r="FL1025" s="15">
        <f t="shared" si="953"/>
        <v>6.77</v>
      </c>
      <c r="FM1025" s="16">
        <v>6.53</v>
      </c>
      <c r="FN1025" s="16">
        <v>0.04</v>
      </c>
      <c r="FO1025" s="15">
        <f>FN1025*SQRT(AR1025)</f>
        <v>6.9282032302755092E-2</v>
      </c>
      <c r="FP1025" s="15">
        <v>6.77</v>
      </c>
      <c r="FQ1025" s="15">
        <v>0.05</v>
      </c>
      <c r="FR1025" s="15">
        <f>FQ1025*SQRT(AR1025)</f>
        <v>8.6602540378443865E-2</v>
      </c>
      <c r="FS1025" s="15">
        <f t="shared" si="954"/>
        <v>1.0367534456355283</v>
      </c>
      <c r="FT1025" s="15">
        <f t="shared" si="955"/>
        <v>0.23999999999999932</v>
      </c>
      <c r="FU1025" s="15">
        <f t="shared" si="956"/>
        <v>3.6094143635843956E-2</v>
      </c>
      <c r="FV1025" s="15">
        <f>((FR1025*FR1025)/(AR1025*FP1025*FP1025)+(FO1025*FO1025)/(AR1025*FM1025*FM1025))</f>
        <v>9.2068630421802354E-5</v>
      </c>
      <c r="FX1025" s="15">
        <v>40.89</v>
      </c>
      <c r="FY1025" s="15">
        <v>1.2</v>
      </c>
      <c r="FZ1025" s="15">
        <f>FY1025*SQRT(AR1025)</f>
        <v>2.0784609690826525</v>
      </c>
      <c r="GA1025" s="15">
        <v>50.285999999999994</v>
      </c>
      <c r="GB1025" s="15">
        <v>1.6</v>
      </c>
      <c r="GC1025" s="15">
        <f>GB1025*SQRT(AR1025)</f>
        <v>2.7712812921102037</v>
      </c>
      <c r="GD1025" s="15">
        <f t="shared" si="957"/>
        <v>1.2297872340425531</v>
      </c>
      <c r="GE1025" s="15">
        <f t="shared" si="958"/>
        <v>9.3959999999999937</v>
      </c>
      <c r="GF1025" s="15">
        <f t="shared" si="959"/>
        <v>0.2068411739682734</v>
      </c>
      <c r="GG1025" s="15">
        <f>((GC1025*GC1025)/(AR1025*GA1025*GA1025)+(FZ1025*FZ1025)/(AR1025*FX1025*FX1025))</f>
        <v>1.8736332782379899E-3</v>
      </c>
      <c r="HE1025" s="15">
        <v>7600</v>
      </c>
      <c r="HF1025" s="15">
        <v>190</v>
      </c>
      <c r="HG1025" s="15">
        <f>HF1025*SQRT(AR1025)</f>
        <v>329.08965343808666</v>
      </c>
      <c r="HH1025" s="15">
        <v>8300</v>
      </c>
      <c r="HI1025" s="15">
        <v>130</v>
      </c>
      <c r="HJ1025" s="15">
        <f>HI1025*SQRT(AR1025)</f>
        <v>225.16660498395404</v>
      </c>
      <c r="HK1025" s="15">
        <f t="shared" si="964"/>
        <v>1.0921052631578947</v>
      </c>
      <c r="HL1025" s="15">
        <f t="shared" si="965"/>
        <v>700</v>
      </c>
      <c r="HM1025" s="15">
        <f t="shared" si="966"/>
        <v>8.8107267510267206E-2</v>
      </c>
      <c r="HN1025" s="15">
        <f>((HJ1025*HJ1025)/(AR1025*HH1025*HH1025)+(HG1025*HG1025)/(AR1025*HE1025*HE1025))</f>
        <v>8.7031862389316296E-4</v>
      </c>
      <c r="HP1025" s="15" t="s">
        <v>766</v>
      </c>
      <c r="HV1025" s="15">
        <f t="shared" si="967"/>
        <v>6809.8809207774093</v>
      </c>
      <c r="HW1025" s="15">
        <f t="shared" si="968"/>
        <v>8.8107267510267206E-2</v>
      </c>
      <c r="HX1025" s="25">
        <f t="shared" si="960"/>
        <v>60000</v>
      </c>
      <c r="HY1025" s="25">
        <f t="shared" si="961"/>
        <v>20000</v>
      </c>
      <c r="HZ1025" s="25">
        <f t="shared" si="962"/>
        <v>25.641025641025642</v>
      </c>
      <c r="IA1025" s="25">
        <f t="shared" si="963"/>
        <v>60000</v>
      </c>
    </row>
    <row r="1026" spans="1:235" s="15" customFormat="1" x14ac:dyDescent="0.25">
      <c r="A1026" s="31">
        <v>1024</v>
      </c>
      <c r="B1026" s="1">
        <v>169</v>
      </c>
      <c r="C1026" s="1">
        <v>195</v>
      </c>
      <c r="D1026" s="15" t="s">
        <v>2269</v>
      </c>
      <c r="E1026" s="31">
        <v>2</v>
      </c>
      <c r="F1026" s="15" t="s">
        <v>777</v>
      </c>
      <c r="G1026" s="15" t="s">
        <v>2275</v>
      </c>
      <c r="H1026" s="15" t="s">
        <v>812</v>
      </c>
      <c r="I1026" s="1">
        <v>2012</v>
      </c>
      <c r="J1026" s="15" t="s">
        <v>2186</v>
      </c>
      <c r="K1026" s="1" t="s">
        <v>2277</v>
      </c>
      <c r="L1026" s="15" t="s">
        <v>2278</v>
      </c>
      <c r="M1026" s="15" t="s">
        <v>480</v>
      </c>
      <c r="N1026" s="15" t="s">
        <v>23</v>
      </c>
      <c r="O1026" s="31">
        <v>2</v>
      </c>
      <c r="P1026" s="15">
        <v>119.68</v>
      </c>
      <c r="Q1026" s="15">
        <v>31.4</v>
      </c>
      <c r="S1026" s="15">
        <v>1177</v>
      </c>
      <c r="T1026" s="15">
        <v>15.7</v>
      </c>
      <c r="U1026" s="15" t="s">
        <v>549</v>
      </c>
      <c r="V1026" s="31">
        <v>1</v>
      </c>
      <c r="W1026" s="16" t="s">
        <v>1153</v>
      </c>
      <c r="X1026" s="15" t="s">
        <v>689</v>
      </c>
      <c r="Y1026" s="1">
        <v>1</v>
      </c>
      <c r="Z1026" s="15">
        <v>6.5</v>
      </c>
      <c r="AA1026" s="15" t="s">
        <v>573</v>
      </c>
      <c r="AB1026" s="15">
        <f t="shared" si="882"/>
        <v>6.5</v>
      </c>
      <c r="AC1026" s="1">
        <v>5</v>
      </c>
      <c r="AD1026" s="15">
        <f t="shared" si="969"/>
        <v>40.89</v>
      </c>
      <c r="AJ1026" s="15">
        <v>39</v>
      </c>
      <c r="AM1026" s="1">
        <v>1</v>
      </c>
      <c r="AN1026" s="15">
        <v>1.01</v>
      </c>
      <c r="AP1026" s="15" t="s">
        <v>1185</v>
      </c>
      <c r="AQ1026" s="1">
        <v>3</v>
      </c>
      <c r="AR1026" s="1">
        <v>3</v>
      </c>
      <c r="BP1026" s="16"/>
      <c r="BQ1026" s="16"/>
      <c r="BR1026" s="16"/>
      <c r="BU1026" s="16"/>
      <c r="CE1026" s="15">
        <v>40000</v>
      </c>
      <c r="CF1026" s="15">
        <v>40000</v>
      </c>
      <c r="CG1026" s="15" t="s">
        <v>766</v>
      </c>
      <c r="CH1026" s="15">
        <v>10.4</v>
      </c>
      <c r="CK1026" s="15">
        <v>467</v>
      </c>
      <c r="CL1026" s="15">
        <v>5.9</v>
      </c>
      <c r="CP1026" s="15">
        <v>10</v>
      </c>
      <c r="CQ1026" s="15">
        <v>6</v>
      </c>
      <c r="CR1026" s="15">
        <v>26</v>
      </c>
      <c r="CW1026" s="15">
        <v>20.8</v>
      </c>
      <c r="CY1026" s="25">
        <f t="shared" si="944"/>
        <v>40000</v>
      </c>
      <c r="CZ1026" s="25">
        <f t="shared" si="945"/>
        <v>51.282051282051285</v>
      </c>
      <c r="DA1026" s="25">
        <f t="shared" si="946"/>
        <v>120000</v>
      </c>
      <c r="EZ1026" s="15">
        <v>0.99</v>
      </c>
      <c r="FA1026" s="15">
        <f>EZ1026*0.05</f>
        <v>4.9500000000000002E-2</v>
      </c>
      <c r="FB1026" s="15">
        <f>FA1026*SQRT(AR1026)</f>
        <v>8.5736514974659422E-2</v>
      </c>
      <c r="FC1026" s="15">
        <v>0.89</v>
      </c>
      <c r="FD1026" s="15">
        <v>0.02</v>
      </c>
      <c r="FE1026" s="15">
        <f>FD1026*SQRT(AR1026)</f>
        <v>3.4641016151377546E-2</v>
      </c>
      <c r="FF1026" s="15">
        <f t="shared" si="949"/>
        <v>0.89898989898989901</v>
      </c>
      <c r="FG1026" s="15">
        <f t="shared" si="950"/>
        <v>-9.9999999999999978E-2</v>
      </c>
      <c r="FH1026" s="15">
        <f t="shared" si="951"/>
        <v>-0.10648348040245006</v>
      </c>
      <c r="FI1026" s="15">
        <f>((FE1026*FE1026)/(AR1026*FC1026*FC1026)+(FB1026*FB1026)/(AR1026*EZ1026*EZ1026))</f>
        <v>3.0049867440979676E-3</v>
      </c>
      <c r="FK1026" s="16">
        <f t="shared" si="952"/>
        <v>6.53</v>
      </c>
      <c r="FL1026" s="15">
        <f t="shared" si="953"/>
        <v>6.77</v>
      </c>
      <c r="FM1026" s="16">
        <v>6.53</v>
      </c>
      <c r="FN1026" s="16">
        <v>0.11</v>
      </c>
      <c r="FO1026" s="15">
        <f>FN1026*SQRT(AR1026)</f>
        <v>0.1905255888325765</v>
      </c>
      <c r="FP1026" s="15">
        <v>6.77</v>
      </c>
      <c r="FQ1026" s="15">
        <v>0.12</v>
      </c>
      <c r="FR1026" s="15">
        <f>FQ1026*SQRT(AR1026)</f>
        <v>0.20784609690826525</v>
      </c>
      <c r="FS1026" s="15">
        <f t="shared" si="954"/>
        <v>1.0367534456355283</v>
      </c>
      <c r="FT1026" s="15">
        <f t="shared" si="955"/>
        <v>0.23999999999999932</v>
      </c>
      <c r="FU1026" s="15">
        <f t="shared" si="956"/>
        <v>3.6094143635843956E-2</v>
      </c>
      <c r="FV1026" s="15">
        <f>((FR1026*FR1026)/(AR1026*FP1026*FP1026)+(FO1026*FO1026)/(AR1026*FM1026*FM1026))</f>
        <v>5.979499061841908E-4</v>
      </c>
      <c r="FX1026" s="15">
        <v>40.368000000000002</v>
      </c>
      <c r="FY1026" s="15">
        <v>1.6</v>
      </c>
      <c r="FZ1026" s="15">
        <f>FY1026*SQRT(AR1026)</f>
        <v>2.7712812921102037</v>
      </c>
      <c r="GA1026" s="15">
        <v>62.64</v>
      </c>
      <c r="GB1026" s="15">
        <v>1.7</v>
      </c>
      <c r="GC1026" s="15">
        <f>GB1026*SQRT(AR1026)</f>
        <v>2.9444863728670914</v>
      </c>
      <c r="GD1026" s="15">
        <f t="shared" si="957"/>
        <v>1.5517241379310345</v>
      </c>
      <c r="GE1026" s="15">
        <f t="shared" si="958"/>
        <v>22.271999999999998</v>
      </c>
      <c r="GF1026" s="15">
        <f t="shared" si="959"/>
        <v>0.43936665978384593</v>
      </c>
      <c r="GG1026" s="15">
        <f>((GC1026*GC1026)/(AR1026*GA1026*GA1026)+(FZ1026*FZ1026)/(AR1026*FX1026*FX1026))</f>
        <v>2.3074979653771714E-3</v>
      </c>
      <c r="HE1026" s="15">
        <v>7600</v>
      </c>
      <c r="HF1026" s="15">
        <v>330</v>
      </c>
      <c r="HG1026" s="15">
        <f>HF1026*SQRT(AR1026)</f>
        <v>571.57676649772952</v>
      </c>
      <c r="HH1026" s="15">
        <v>8500</v>
      </c>
      <c r="HI1026" s="15">
        <v>360</v>
      </c>
      <c r="HJ1026" s="15">
        <f>HI1026*SQRT(AR1026)</f>
        <v>623.53829072479584</v>
      </c>
      <c r="HK1026" s="15">
        <f t="shared" si="964"/>
        <v>1.118421052631579</v>
      </c>
      <c r="HL1026" s="15">
        <f t="shared" si="965"/>
        <v>900</v>
      </c>
      <c r="HM1026" s="15">
        <f t="shared" si="966"/>
        <v>0.11191791620398561</v>
      </c>
      <c r="HN1026" s="15">
        <f>((HJ1026*HJ1026)/(AR1026*HH1026*HH1026)+(HG1026*HG1026)/(AR1026*HE1026*HE1026))</f>
        <v>3.6791594379319268E-3</v>
      </c>
      <c r="HP1026" s="15" t="s">
        <v>766</v>
      </c>
      <c r="HV1026" s="15">
        <f t="shared" si="967"/>
        <v>10722.14387741849</v>
      </c>
      <c r="HW1026" s="15">
        <f t="shared" si="968"/>
        <v>0.11191791620398561</v>
      </c>
      <c r="HX1026" s="25">
        <f t="shared" si="960"/>
        <v>120000</v>
      </c>
      <c r="HY1026" s="25">
        <f t="shared" si="961"/>
        <v>40000</v>
      </c>
      <c r="HZ1026" s="25">
        <f t="shared" si="962"/>
        <v>51.282051282051285</v>
      </c>
      <c r="IA1026" s="25">
        <f t="shared" si="963"/>
        <v>120000</v>
      </c>
    </row>
    <row r="1027" spans="1:235" s="15" customFormat="1" x14ac:dyDescent="0.25">
      <c r="A1027" s="31">
        <v>1025</v>
      </c>
      <c r="B1027" s="1">
        <v>169</v>
      </c>
      <c r="C1027" s="1">
        <v>195</v>
      </c>
      <c r="D1027" s="15" t="s">
        <v>2270</v>
      </c>
      <c r="E1027" s="31">
        <v>2</v>
      </c>
      <c r="F1027" s="15" t="s">
        <v>777</v>
      </c>
      <c r="G1027" s="15" t="s">
        <v>2276</v>
      </c>
      <c r="H1027" s="15" t="s">
        <v>812</v>
      </c>
      <c r="I1027" s="1">
        <v>2012</v>
      </c>
      <c r="J1027" s="15" t="s">
        <v>2186</v>
      </c>
      <c r="K1027" s="1" t="s">
        <v>2277</v>
      </c>
      <c r="L1027" s="15" t="s">
        <v>2278</v>
      </c>
      <c r="M1027" s="15" t="s">
        <v>480</v>
      </c>
      <c r="N1027" s="15" t="s">
        <v>23</v>
      </c>
      <c r="O1027" s="31">
        <v>2</v>
      </c>
      <c r="P1027" s="15">
        <v>119.68</v>
      </c>
      <c r="Q1027" s="15">
        <v>31.4</v>
      </c>
      <c r="S1027" s="15">
        <v>1177</v>
      </c>
      <c r="T1027" s="15">
        <v>15.7</v>
      </c>
      <c r="U1027" s="15" t="s">
        <v>549</v>
      </c>
      <c r="V1027" s="31">
        <v>1</v>
      </c>
      <c r="W1027" s="16" t="s">
        <v>1153</v>
      </c>
      <c r="X1027" s="15" t="s">
        <v>689</v>
      </c>
      <c r="Y1027" s="1">
        <v>1</v>
      </c>
      <c r="Z1027" s="15">
        <v>6.5</v>
      </c>
      <c r="AA1027" s="15" t="s">
        <v>573</v>
      </c>
      <c r="AB1027" s="15">
        <f t="shared" si="882"/>
        <v>6.5</v>
      </c>
      <c r="AC1027" s="1">
        <v>5</v>
      </c>
      <c r="AD1027" s="15">
        <f t="shared" si="969"/>
        <v>40.89</v>
      </c>
      <c r="AJ1027" s="15">
        <v>39</v>
      </c>
      <c r="AM1027" s="1">
        <v>1</v>
      </c>
      <c r="AN1027" s="15">
        <v>1.01</v>
      </c>
      <c r="AP1027" s="15" t="s">
        <v>1185</v>
      </c>
      <c r="AQ1027" s="1">
        <v>3</v>
      </c>
      <c r="AR1027" s="1">
        <v>3</v>
      </c>
      <c r="BP1027" s="16"/>
      <c r="BQ1027" s="16"/>
      <c r="BR1027" s="16"/>
      <c r="BU1027" s="16"/>
      <c r="CE1027" s="15">
        <v>40000</v>
      </c>
      <c r="CF1027" s="15">
        <v>40000</v>
      </c>
      <c r="CG1027" s="15" t="s">
        <v>766</v>
      </c>
      <c r="CH1027" s="15">
        <v>10.4</v>
      </c>
      <c r="CK1027" s="15">
        <v>467</v>
      </c>
      <c r="CL1027" s="15">
        <v>5.9</v>
      </c>
      <c r="CP1027" s="15">
        <v>10</v>
      </c>
      <c r="CQ1027" s="15">
        <v>6</v>
      </c>
      <c r="CR1027" s="15">
        <v>26</v>
      </c>
      <c r="CW1027" s="15">
        <v>20.8</v>
      </c>
      <c r="CY1027" s="25">
        <f t="shared" si="944"/>
        <v>40000</v>
      </c>
      <c r="CZ1027" s="25">
        <f t="shared" si="945"/>
        <v>51.282051282051285</v>
      </c>
      <c r="DA1027" s="25">
        <f t="shared" si="946"/>
        <v>120000</v>
      </c>
      <c r="EZ1027" s="15">
        <v>0.94</v>
      </c>
      <c r="FA1027" s="15">
        <v>0.02</v>
      </c>
      <c r="FB1027" s="15">
        <f>FA1027*SQRT(AR1027)</f>
        <v>3.4641016151377546E-2</v>
      </c>
      <c r="FC1027" s="15">
        <v>0.88</v>
      </c>
      <c r="FD1027" s="15">
        <v>0.02</v>
      </c>
      <c r="FE1027" s="15">
        <f>FD1027*SQRT(AR1027)</f>
        <v>3.4641016151377546E-2</v>
      </c>
      <c r="FF1027" s="15">
        <f t="shared" si="949"/>
        <v>0.93617021276595747</v>
      </c>
      <c r="FG1027" s="15">
        <f t="shared" si="950"/>
        <v>-5.9999999999999942E-2</v>
      </c>
      <c r="FH1027" s="15">
        <f t="shared" si="951"/>
        <v>-6.5957967791797356E-2</v>
      </c>
      <c r="FI1027" s="15">
        <f>((FE1027*FE1027)/(AR1027*FC1027*FC1027)+(FB1027*FB1027)/(AR1027*EZ1027*EZ1027))</f>
        <v>9.6922245210240613E-4</v>
      </c>
      <c r="FK1027" s="16">
        <f t="shared" si="952"/>
        <v>6.53</v>
      </c>
      <c r="FL1027" s="15">
        <f t="shared" si="953"/>
        <v>6.89</v>
      </c>
      <c r="FM1027" s="16">
        <v>6.53</v>
      </c>
      <c r="FN1027" s="16">
        <v>0.04</v>
      </c>
      <c r="FO1027" s="15">
        <f>FN1027*SQRT(AR1027)</f>
        <v>6.9282032302755092E-2</v>
      </c>
      <c r="FP1027" s="15">
        <v>6.89</v>
      </c>
      <c r="FQ1027" s="15">
        <v>0.11</v>
      </c>
      <c r="FR1027" s="15">
        <f>FQ1027*SQRT(AR1027)</f>
        <v>0.1905255888325765</v>
      </c>
      <c r="FS1027" s="15">
        <f t="shared" si="954"/>
        <v>1.0551301684532923</v>
      </c>
      <c r="FT1027" s="15">
        <f t="shared" si="955"/>
        <v>0.35999999999999943</v>
      </c>
      <c r="FU1027" s="15">
        <f t="shared" si="956"/>
        <v>5.3664141737227444E-2</v>
      </c>
      <c r="FV1027" s="15">
        <f>((FR1027*FR1027)/(AR1027*FP1027*FP1027)+(FO1027*FO1027)/(AR1027*FM1027*FM1027))</f>
        <v>2.9240921458727209E-4</v>
      </c>
      <c r="FX1027" s="15">
        <v>40.89</v>
      </c>
      <c r="FY1027" s="15">
        <v>1.2</v>
      </c>
      <c r="FZ1027" s="15">
        <f>FY1027*SQRT(AR1027)</f>
        <v>2.0784609690826525</v>
      </c>
      <c r="GA1027" s="15">
        <v>62.814</v>
      </c>
      <c r="GB1027" s="15">
        <v>5.6</v>
      </c>
      <c r="GC1027" s="15">
        <f>GB1027*SQRT(AR1027)</f>
        <v>9.6994845223857116</v>
      </c>
      <c r="GD1027" s="15">
        <f t="shared" si="957"/>
        <v>1.5361702127659573</v>
      </c>
      <c r="GE1027" s="15">
        <f t="shared" si="958"/>
        <v>21.923999999999999</v>
      </c>
      <c r="GF1027" s="15">
        <f t="shared" si="959"/>
        <v>0.42929244418872203</v>
      </c>
      <c r="GG1027" s="15">
        <f>((GC1027*GC1027)/(AR1027*GA1027*GA1027)+(FZ1027*FZ1027)/(AR1027*FX1027*FX1027))</f>
        <v>8.809344996160054E-3</v>
      </c>
      <c r="HE1027" s="15">
        <v>7600</v>
      </c>
      <c r="HF1027" s="15">
        <v>190</v>
      </c>
      <c r="HG1027" s="15">
        <f>HF1027*SQRT(AR1027)</f>
        <v>329.08965343808666</v>
      </c>
      <c r="HH1027" s="15">
        <v>9300</v>
      </c>
      <c r="HI1027" s="15">
        <v>134</v>
      </c>
      <c r="HJ1027" s="15">
        <f>HI1027*SQRT(AR1027)</f>
        <v>232.09480821422954</v>
      </c>
      <c r="HK1027" s="15">
        <f t="shared" si="964"/>
        <v>1.2236842105263157</v>
      </c>
      <c r="HL1027" s="15">
        <f t="shared" si="965"/>
        <v>1700</v>
      </c>
      <c r="HM1027" s="15">
        <f t="shared" si="966"/>
        <v>0.20186615286692522</v>
      </c>
      <c r="HN1027" s="15">
        <f>((HJ1027*HJ1027)/(AR1027*HH1027*HH1027)+(HG1027*HG1027)/(AR1027*HE1027*HE1027))</f>
        <v>8.3260781593247758E-4</v>
      </c>
      <c r="HP1027" s="15" t="s">
        <v>766</v>
      </c>
      <c r="HV1027" s="15">
        <f t="shared" si="967"/>
        <v>5944.5329638350395</v>
      </c>
      <c r="HW1027" s="15">
        <f t="shared" si="968"/>
        <v>0.20186615286692522</v>
      </c>
      <c r="HX1027" s="25">
        <f t="shared" si="960"/>
        <v>120000</v>
      </c>
      <c r="HY1027" s="25">
        <f t="shared" si="961"/>
        <v>40000</v>
      </c>
      <c r="HZ1027" s="25">
        <f t="shared" si="962"/>
        <v>51.282051282051285</v>
      </c>
      <c r="IA1027" s="25">
        <f t="shared" si="963"/>
        <v>120000</v>
      </c>
    </row>
    <row r="1028" spans="1:235" s="15" customFormat="1" x14ac:dyDescent="0.25">
      <c r="A1028" s="31">
        <v>1026</v>
      </c>
      <c r="B1028" s="1">
        <v>170</v>
      </c>
      <c r="C1028" s="1">
        <v>196</v>
      </c>
      <c r="D1028" s="15" t="s">
        <v>2279</v>
      </c>
      <c r="E1028" s="31">
        <v>2</v>
      </c>
      <c r="F1028" s="15" t="s">
        <v>777</v>
      </c>
      <c r="G1028" s="15" t="s">
        <v>2287</v>
      </c>
      <c r="H1028" s="15" t="s">
        <v>812</v>
      </c>
      <c r="I1028" s="1">
        <v>2010</v>
      </c>
      <c r="J1028" s="15" t="s">
        <v>1034</v>
      </c>
      <c r="K1028" s="1">
        <v>2009</v>
      </c>
      <c r="L1028" s="15" t="s">
        <v>2278</v>
      </c>
      <c r="M1028" s="15" t="s">
        <v>480</v>
      </c>
      <c r="N1028" s="15" t="s">
        <v>23</v>
      </c>
      <c r="O1028" s="31">
        <v>2</v>
      </c>
      <c r="P1028" s="15">
        <v>119.68</v>
      </c>
      <c r="Q1028" s="15">
        <v>31.4</v>
      </c>
      <c r="S1028" s="15">
        <v>1177</v>
      </c>
      <c r="T1028" s="15">
        <v>15.7</v>
      </c>
      <c r="U1028" s="15" t="s">
        <v>549</v>
      </c>
      <c r="V1028" s="31">
        <v>1</v>
      </c>
      <c r="W1028" s="16" t="s">
        <v>1158</v>
      </c>
      <c r="X1028" s="15" t="s">
        <v>689</v>
      </c>
      <c r="Y1028" s="1">
        <v>1</v>
      </c>
      <c r="Z1028" s="15">
        <v>6.5</v>
      </c>
      <c r="AA1028" s="15" t="s">
        <v>573</v>
      </c>
      <c r="AB1028" s="15">
        <f t="shared" ref="AB1028:AB1035" si="970">Z1028</f>
        <v>6.5</v>
      </c>
      <c r="AC1028" s="1">
        <v>5</v>
      </c>
      <c r="AD1028" s="15">
        <f t="shared" si="969"/>
        <v>40.89</v>
      </c>
      <c r="AM1028" s="1">
        <v>1</v>
      </c>
      <c r="AN1028" s="15">
        <v>1.01</v>
      </c>
      <c r="AP1028" s="15" t="s">
        <v>1185</v>
      </c>
      <c r="AQ1028" s="1">
        <v>3</v>
      </c>
      <c r="AR1028" s="1">
        <v>3</v>
      </c>
      <c r="BP1028" s="16"/>
      <c r="BQ1028" s="16"/>
      <c r="BR1028" s="16"/>
      <c r="BU1028" s="16"/>
      <c r="CE1028" s="15">
        <v>10000</v>
      </c>
      <c r="CF1028" s="15">
        <v>10000</v>
      </c>
      <c r="CG1028" s="15" t="s">
        <v>766</v>
      </c>
      <c r="CH1028" s="15">
        <v>10.4</v>
      </c>
      <c r="CK1028" s="15">
        <v>467</v>
      </c>
      <c r="CL1028" s="15">
        <v>5.9</v>
      </c>
      <c r="CP1028" s="15">
        <v>10</v>
      </c>
      <c r="CQ1028" s="15">
        <v>6</v>
      </c>
      <c r="CR1028" s="15">
        <v>26</v>
      </c>
      <c r="CW1028" s="15">
        <v>20.8</v>
      </c>
      <c r="CY1028" s="25">
        <f t="shared" si="944"/>
        <v>10000</v>
      </c>
      <c r="CZ1028" s="25">
        <f t="shared" si="945"/>
        <v>12.820512820512821</v>
      </c>
      <c r="DA1028" s="25">
        <f t="shared" si="946"/>
        <v>30000</v>
      </c>
      <c r="EZ1028" s="15">
        <v>1.01</v>
      </c>
      <c r="FA1028" s="15">
        <v>0.04</v>
      </c>
      <c r="FB1028" s="15">
        <f>FA1028*SQRT(AR1028)</f>
        <v>6.9282032302755092E-2</v>
      </c>
      <c r="FC1028" s="15">
        <v>0.98</v>
      </c>
      <c r="FD1028" s="15">
        <v>0.04</v>
      </c>
      <c r="FE1028" s="15">
        <f>FD1028*SQRT(AR1028)</f>
        <v>6.9282032302755092E-2</v>
      </c>
      <c r="FF1028" s="15">
        <f t="shared" si="949"/>
        <v>0.97029702970297027</v>
      </c>
      <c r="FG1028" s="15">
        <f t="shared" si="950"/>
        <v>-3.0000000000000027E-2</v>
      </c>
      <c r="FH1028" s="15">
        <f t="shared" si="951"/>
        <v>-3.0153038170687558E-2</v>
      </c>
      <c r="FI1028" s="15">
        <f>((FE1028*FE1028)/(AR1028*FC1028*FC1028)+(FB1028*FB1028)/(AR1028*EZ1028*EZ1028))</f>
        <v>3.2344461905046348E-3</v>
      </c>
      <c r="FK1028" s="16">
        <f t="shared" si="952"/>
        <v>6.48</v>
      </c>
      <c r="FL1028" s="15">
        <f t="shared" si="953"/>
        <v>6.67</v>
      </c>
      <c r="FM1028" s="16">
        <v>6.48</v>
      </c>
      <c r="FN1028" s="16">
        <v>0.11</v>
      </c>
      <c r="FO1028" s="15">
        <f>FN1028*SQRT(AR1028)</f>
        <v>0.1905255888325765</v>
      </c>
      <c r="FP1028" s="15">
        <v>6.67</v>
      </c>
      <c r="FQ1028" s="15">
        <v>0.21</v>
      </c>
      <c r="FR1028" s="15">
        <f>FQ1028*SQRT(AR1028)</f>
        <v>0.36373066958946421</v>
      </c>
      <c r="FS1028" s="15">
        <f t="shared" si="954"/>
        <v>1.029320987654321</v>
      </c>
      <c r="FT1028" s="15">
        <f t="shared" si="955"/>
        <v>0.1899999999999995</v>
      </c>
      <c r="FU1028" s="15">
        <f t="shared" si="956"/>
        <v>2.8899349563348942E-2</v>
      </c>
      <c r="FV1028" s="15">
        <f>((FR1028*FR1028)/(AR1028*FP1028*FP1028)+(FO1028*FO1028)/(AR1028*FM1028*FM1028))</f>
        <v>1.2794195971820065E-3</v>
      </c>
      <c r="FX1028" s="15">
        <v>40.89</v>
      </c>
      <c r="FY1028" s="15">
        <v>1.7</v>
      </c>
      <c r="FZ1028" s="15">
        <f>FY1028*SQRT(AR1028)</f>
        <v>2.9444863728670914</v>
      </c>
      <c r="GA1028" s="15">
        <v>45.065999999999995</v>
      </c>
      <c r="GB1028" s="15">
        <v>2.1</v>
      </c>
      <c r="GC1028" s="15">
        <f>GB1028*SQRT(AR1028)</f>
        <v>3.6373066958946421</v>
      </c>
      <c r="GD1028" s="15">
        <f t="shared" si="957"/>
        <v>1.102127659574468</v>
      </c>
      <c r="GE1028" s="15">
        <f t="shared" si="958"/>
        <v>4.1759999999999948</v>
      </c>
      <c r="GF1028" s="15">
        <f t="shared" si="959"/>
        <v>9.7242547555378867E-2</v>
      </c>
      <c r="GG1028" s="15">
        <f>((GC1028*GC1028)/(AR1028*GA1028*GA1028)+(FZ1028*FZ1028)/(AR1028*FX1028*FX1028))</f>
        <v>3.8998807224915341E-3</v>
      </c>
      <c r="HE1028" s="15">
        <v>8600</v>
      </c>
      <c r="HF1028" s="15">
        <v>380</v>
      </c>
      <c r="HG1028" s="15">
        <f>HF1028*SQRT(AR1028)</f>
        <v>658.17930687617331</v>
      </c>
      <c r="HH1028" s="15">
        <v>9600</v>
      </c>
      <c r="HI1028" s="15">
        <v>190</v>
      </c>
      <c r="HJ1028" s="15">
        <f>HI1028*SQRT(AR1028)</f>
        <v>329.08965343808666</v>
      </c>
      <c r="HK1028" s="15">
        <f t="shared" si="964"/>
        <v>1.1162790697674418</v>
      </c>
      <c r="HL1028" s="15">
        <f t="shared" si="965"/>
        <v>1000</v>
      </c>
      <c r="HM1028" s="15">
        <f t="shared" si="966"/>
        <v>0.11000089521432876</v>
      </c>
      <c r="HN1028" s="15">
        <f>((HJ1028*HJ1028)/(AR1028*HH1028*HH1028)+(HG1028*HG1028)/(AR1028*HE1028*HE1028))</f>
        <v>2.3441167757721889E-3</v>
      </c>
      <c r="HP1028" s="15" t="s">
        <v>766</v>
      </c>
      <c r="HV1028" s="15">
        <f t="shared" si="967"/>
        <v>2727.250532056778</v>
      </c>
      <c r="HW1028" s="15">
        <f t="shared" si="968"/>
        <v>0.11000089521432876</v>
      </c>
      <c r="HX1028" s="25">
        <f t="shared" si="960"/>
        <v>30000</v>
      </c>
      <c r="HY1028" s="25">
        <f t="shared" si="961"/>
        <v>10000</v>
      </c>
      <c r="HZ1028" s="25">
        <f t="shared" si="962"/>
        <v>12.820512820512821</v>
      </c>
      <c r="IA1028" s="25">
        <f t="shared" si="963"/>
        <v>30000</v>
      </c>
    </row>
    <row r="1029" spans="1:235" s="15" customFormat="1" x14ac:dyDescent="0.25">
      <c r="A1029" s="31">
        <v>1027</v>
      </c>
      <c r="B1029" s="1">
        <v>170</v>
      </c>
      <c r="C1029" s="1">
        <v>196</v>
      </c>
      <c r="D1029" s="15" t="s">
        <v>2280</v>
      </c>
      <c r="E1029" s="31">
        <v>2</v>
      </c>
      <c r="F1029" s="15" t="s">
        <v>777</v>
      </c>
      <c r="G1029" s="15" t="s">
        <v>2287</v>
      </c>
      <c r="H1029" s="15" t="s">
        <v>812</v>
      </c>
      <c r="I1029" s="1">
        <v>2010</v>
      </c>
      <c r="J1029" s="15" t="s">
        <v>1034</v>
      </c>
      <c r="K1029" s="1">
        <v>2009</v>
      </c>
      <c r="L1029" s="15" t="s">
        <v>2278</v>
      </c>
      <c r="M1029" s="15" t="s">
        <v>480</v>
      </c>
      <c r="N1029" s="15" t="s">
        <v>23</v>
      </c>
      <c r="O1029" s="31">
        <v>2</v>
      </c>
      <c r="P1029" s="15">
        <v>119.68</v>
      </c>
      <c r="Q1029" s="15">
        <v>31.4</v>
      </c>
      <c r="S1029" s="15">
        <v>1177</v>
      </c>
      <c r="T1029" s="15">
        <v>15.7</v>
      </c>
      <c r="U1029" s="15" t="s">
        <v>549</v>
      </c>
      <c r="V1029" s="31">
        <v>1</v>
      </c>
      <c r="W1029" s="16" t="s">
        <v>1158</v>
      </c>
      <c r="X1029" s="15" t="s">
        <v>689</v>
      </c>
      <c r="Y1029" s="1">
        <v>1</v>
      </c>
      <c r="Z1029" s="15">
        <v>6.5</v>
      </c>
      <c r="AA1029" s="15" t="s">
        <v>573</v>
      </c>
      <c r="AB1029" s="15">
        <f t="shared" si="970"/>
        <v>6.5</v>
      </c>
      <c r="AC1029" s="1">
        <v>5</v>
      </c>
      <c r="AD1029" s="15">
        <f t="shared" si="969"/>
        <v>40.89</v>
      </c>
      <c r="AM1029" s="1">
        <v>1</v>
      </c>
      <c r="AN1029" s="15">
        <v>1.01</v>
      </c>
      <c r="AP1029" s="15" t="s">
        <v>1185</v>
      </c>
      <c r="AQ1029" s="1">
        <v>3</v>
      </c>
      <c r="AR1029" s="1">
        <v>3</v>
      </c>
      <c r="BP1029" s="16"/>
      <c r="BQ1029" s="16"/>
      <c r="BR1029" s="16"/>
      <c r="BU1029" s="16"/>
      <c r="CE1029" s="15">
        <v>40000</v>
      </c>
      <c r="CF1029" s="15">
        <v>40000</v>
      </c>
      <c r="CG1029" s="15" t="s">
        <v>766</v>
      </c>
      <c r="CH1029" s="15">
        <v>10.4</v>
      </c>
      <c r="CK1029" s="15">
        <v>467</v>
      </c>
      <c r="CL1029" s="15">
        <v>5.9</v>
      </c>
      <c r="CP1029" s="15">
        <v>10</v>
      </c>
      <c r="CQ1029" s="15">
        <v>6</v>
      </c>
      <c r="CR1029" s="15">
        <v>26</v>
      </c>
      <c r="CW1029" s="15">
        <v>20.8</v>
      </c>
      <c r="CY1029" s="25">
        <f t="shared" si="944"/>
        <v>40000</v>
      </c>
      <c r="CZ1029" s="25">
        <f t="shared" si="945"/>
        <v>51.282051282051285</v>
      </c>
      <c r="DA1029" s="25">
        <f t="shared" si="946"/>
        <v>120000</v>
      </c>
      <c r="EZ1029" s="15">
        <v>1.01</v>
      </c>
      <c r="FA1029" s="15">
        <v>0.04</v>
      </c>
      <c r="FB1029" s="15">
        <f>FA1029*SQRT(AR1029)</f>
        <v>6.9282032302755092E-2</v>
      </c>
      <c r="FC1029" s="15">
        <v>0.89</v>
      </c>
      <c r="FD1029" s="15">
        <v>0.04</v>
      </c>
      <c r="FE1029" s="15">
        <f>FD1029*SQRT(AR1029)</f>
        <v>6.9282032302755092E-2</v>
      </c>
      <c r="FF1029" s="15">
        <f t="shared" si="949"/>
        <v>0.88118811881188119</v>
      </c>
      <c r="FG1029" s="15">
        <f t="shared" si="950"/>
        <v>-0.12</v>
      </c>
      <c r="FH1029" s="15">
        <f t="shared" si="951"/>
        <v>-0.12648414710911959</v>
      </c>
      <c r="FI1029" s="15">
        <f>((FE1029*FE1029)/(AR1029*FC1029*FC1029)+(FB1029*FB1029)/(AR1029*EZ1029*EZ1029))</f>
        <v>3.5884206554429436E-3</v>
      </c>
      <c r="FK1029" s="16">
        <f t="shared" si="952"/>
        <v>6.53</v>
      </c>
      <c r="FL1029" s="15">
        <f t="shared" si="953"/>
        <v>6.94</v>
      </c>
      <c r="FM1029" s="16">
        <v>6.53</v>
      </c>
      <c r="FN1029" s="16">
        <v>0.11</v>
      </c>
      <c r="FO1029" s="15">
        <f>FN1029*SQRT(AR1029)</f>
        <v>0.1905255888325765</v>
      </c>
      <c r="FP1029" s="15">
        <v>6.94</v>
      </c>
      <c r="FQ1029" s="15">
        <v>0.18</v>
      </c>
      <c r="FR1029" s="15">
        <f>FQ1029*SQRT(AR1029)</f>
        <v>0.31176914536239786</v>
      </c>
      <c r="FS1029" s="15">
        <f t="shared" si="954"/>
        <v>1.0627871362940275</v>
      </c>
      <c r="FT1029" s="15">
        <f t="shared" si="955"/>
        <v>0.41000000000000014</v>
      </c>
      <c r="FU1029" s="15">
        <f t="shared" si="956"/>
        <v>6.0894831230373425E-2</v>
      </c>
      <c r="FV1029" s="15">
        <f>((FR1029*FR1029)/(AR1029*FP1029*FP1029)+(FO1029*FO1029)/(AR1029*FM1029*FM1029))</f>
        <v>9.5647230718990924E-4</v>
      </c>
      <c r="FX1029" s="15">
        <v>40.368000000000002</v>
      </c>
      <c r="FY1029" s="15">
        <v>1.6</v>
      </c>
      <c r="FZ1029" s="15">
        <f>FY1029*SQRT(AR1029)</f>
        <v>2.7712812921102037</v>
      </c>
      <c r="GA1029" s="15">
        <v>64.206000000000003</v>
      </c>
      <c r="GB1029" s="15">
        <v>2</v>
      </c>
      <c r="GC1029" s="15">
        <f>GB1029*SQRT(AR1029)</f>
        <v>3.4641016151377544</v>
      </c>
      <c r="GD1029" s="15">
        <f t="shared" si="957"/>
        <v>1.5905172413793103</v>
      </c>
      <c r="GE1029" s="15">
        <f t="shared" si="958"/>
        <v>23.838000000000001</v>
      </c>
      <c r="GF1029" s="15">
        <f t="shared" si="959"/>
        <v>0.46405927237421718</v>
      </c>
      <c r="GG1029" s="15">
        <f>((GC1029*GC1029)/(AR1029*GA1029*GA1029)+(FZ1029*FZ1029)/(AR1029*FX1029*FX1029))</f>
        <v>2.5412674468398367E-3</v>
      </c>
      <c r="HE1029" s="15">
        <v>9100</v>
      </c>
      <c r="HF1029" s="15">
        <v>630</v>
      </c>
      <c r="HG1029" s="15">
        <f>HF1029*SQRT(AR1029)</f>
        <v>1091.1920087683927</v>
      </c>
      <c r="HH1029" s="15">
        <v>9800</v>
      </c>
      <c r="HI1029" s="15">
        <v>260</v>
      </c>
      <c r="HJ1029" s="15">
        <f>HI1029*SQRT(AR1029)</f>
        <v>450.33320996790809</v>
      </c>
      <c r="HK1029" s="15">
        <f t="shared" si="964"/>
        <v>1.0769230769230769</v>
      </c>
      <c r="HL1029" s="15">
        <f t="shared" si="965"/>
        <v>700</v>
      </c>
      <c r="HM1029" s="15">
        <f t="shared" si="966"/>
        <v>7.4107972153722557E-2</v>
      </c>
      <c r="HN1029" s="15">
        <f>((HJ1029*HJ1029)/(AR1029*HH1029*HH1029)+(HG1029*HG1029)/(AR1029*HE1029*HE1029))</f>
        <v>5.4967727943731528E-3</v>
      </c>
      <c r="HP1029" s="15" t="s">
        <v>766</v>
      </c>
      <c r="HV1029" s="15">
        <f t="shared" si="967"/>
        <v>16192.589881029719</v>
      </c>
      <c r="HW1029" s="15">
        <f t="shared" si="968"/>
        <v>7.4107972153722557E-2</v>
      </c>
      <c r="HX1029" s="25">
        <f t="shared" si="960"/>
        <v>120000</v>
      </c>
      <c r="HY1029" s="25">
        <f t="shared" si="961"/>
        <v>40000</v>
      </c>
      <c r="HZ1029" s="25">
        <f t="shared" si="962"/>
        <v>51.282051282051285</v>
      </c>
      <c r="IA1029" s="25">
        <f t="shared" si="963"/>
        <v>120000</v>
      </c>
    </row>
    <row r="1030" spans="1:235" s="15" customFormat="1" x14ac:dyDescent="0.25">
      <c r="A1030" s="31">
        <v>1028</v>
      </c>
      <c r="B1030" s="1">
        <v>170</v>
      </c>
      <c r="C1030" s="1">
        <v>196</v>
      </c>
      <c r="D1030" s="15" t="s">
        <v>2281</v>
      </c>
      <c r="E1030" s="31">
        <v>2</v>
      </c>
      <c r="F1030" s="15" t="s">
        <v>777</v>
      </c>
      <c r="G1030" s="15" t="s">
        <v>2287</v>
      </c>
      <c r="H1030" s="15" t="s">
        <v>812</v>
      </c>
      <c r="I1030" s="1">
        <v>2010</v>
      </c>
      <c r="J1030" s="15" t="s">
        <v>1034</v>
      </c>
      <c r="K1030" s="1">
        <v>2009</v>
      </c>
      <c r="L1030" s="15" t="s">
        <v>2278</v>
      </c>
      <c r="M1030" s="15" t="s">
        <v>480</v>
      </c>
      <c r="N1030" s="15" t="s">
        <v>23</v>
      </c>
      <c r="O1030" s="31">
        <v>2</v>
      </c>
      <c r="P1030" s="15">
        <v>119.68</v>
      </c>
      <c r="Q1030" s="15">
        <v>31.4</v>
      </c>
      <c r="S1030" s="15">
        <v>1177</v>
      </c>
      <c r="T1030" s="15">
        <v>15.7</v>
      </c>
      <c r="U1030" s="15" t="s">
        <v>549</v>
      </c>
      <c r="V1030" s="31">
        <v>1</v>
      </c>
      <c r="W1030" s="16" t="s">
        <v>1158</v>
      </c>
      <c r="X1030" s="15" t="s">
        <v>689</v>
      </c>
      <c r="Y1030" s="1">
        <v>1</v>
      </c>
      <c r="Z1030" s="15">
        <v>6.5</v>
      </c>
      <c r="AA1030" s="15" t="s">
        <v>573</v>
      </c>
      <c r="AB1030" s="15">
        <f t="shared" si="970"/>
        <v>6.5</v>
      </c>
      <c r="AC1030" s="1">
        <v>5</v>
      </c>
      <c r="AD1030" s="15">
        <f t="shared" si="969"/>
        <v>40.89</v>
      </c>
      <c r="AM1030" s="1">
        <v>1</v>
      </c>
      <c r="AN1030" s="15">
        <v>1.01</v>
      </c>
      <c r="AP1030" s="15" t="s">
        <v>1185</v>
      </c>
      <c r="AQ1030" s="1">
        <v>3</v>
      </c>
      <c r="AR1030" s="1">
        <v>3</v>
      </c>
      <c r="BP1030" s="16"/>
      <c r="BQ1030" s="16"/>
      <c r="BR1030" s="16"/>
      <c r="BU1030" s="16"/>
      <c r="CE1030" s="15">
        <v>10000</v>
      </c>
      <c r="CF1030" s="15">
        <v>10000</v>
      </c>
      <c r="CG1030" s="15" t="s">
        <v>766</v>
      </c>
      <c r="CH1030" s="15">
        <v>10.4</v>
      </c>
      <c r="CK1030" s="15">
        <v>467</v>
      </c>
      <c r="CL1030" s="15">
        <v>5.9</v>
      </c>
      <c r="CP1030" s="15">
        <v>10</v>
      </c>
      <c r="CQ1030" s="15">
        <v>6</v>
      </c>
      <c r="CR1030" s="15">
        <v>26</v>
      </c>
      <c r="CW1030" s="15">
        <v>20.8</v>
      </c>
      <c r="CY1030" s="25">
        <f t="shared" si="944"/>
        <v>10000</v>
      </c>
      <c r="CZ1030" s="25">
        <f t="shared" si="945"/>
        <v>12.820512820512821</v>
      </c>
      <c r="DA1030" s="25">
        <f t="shared" si="946"/>
        <v>30000</v>
      </c>
      <c r="EZ1030" s="15">
        <v>0.99</v>
      </c>
      <c r="FA1030" s="15">
        <v>0.05</v>
      </c>
      <c r="FB1030" s="15">
        <f>FA1030*SQRT(AR1030)</f>
        <v>8.6602540378443865E-2</v>
      </c>
      <c r="FC1030" s="15">
        <v>0.96</v>
      </c>
      <c r="FD1030" s="15">
        <v>0.02</v>
      </c>
      <c r="FE1030" s="15">
        <f>FD1030*SQRT(AR1030)</f>
        <v>3.4641016151377546E-2</v>
      </c>
      <c r="FF1030" s="15">
        <f t="shared" si="949"/>
        <v>0.96969696969696972</v>
      </c>
      <c r="FG1030" s="15">
        <f t="shared" si="950"/>
        <v>-3.0000000000000027E-2</v>
      </c>
      <c r="FH1030" s="15">
        <f t="shared" si="951"/>
        <v>-3.0771658666753715E-2</v>
      </c>
      <c r="FI1030" s="15">
        <f>((FE1030*FE1030)/(AR1030*FC1030*FC1030)+(FB1030*FB1030)/(AR1030*EZ1030*EZ1030))</f>
        <v>2.9847879042954805E-3</v>
      </c>
      <c r="FK1030" s="16">
        <f t="shared" si="952"/>
        <v>6.48</v>
      </c>
      <c r="FL1030" s="15">
        <f t="shared" si="953"/>
        <v>6.75</v>
      </c>
      <c r="FM1030" s="16">
        <v>6.48</v>
      </c>
      <c r="FN1030" s="16">
        <v>0.11</v>
      </c>
      <c r="FO1030" s="15">
        <f>FN1030*SQRT(AR1030)</f>
        <v>0.1905255888325765</v>
      </c>
      <c r="FP1030" s="15">
        <v>6.75</v>
      </c>
      <c r="FQ1030" s="15">
        <v>0.08</v>
      </c>
      <c r="FR1030" s="15">
        <f>FQ1030*SQRT(AR1030)</f>
        <v>0.13856406460551018</v>
      </c>
      <c r="FS1030" s="15">
        <f t="shared" si="954"/>
        <v>1.0416666666666665</v>
      </c>
      <c r="FT1030" s="15">
        <f t="shared" si="955"/>
        <v>0.26999999999999957</v>
      </c>
      <c r="FU1030" s="15">
        <f t="shared" si="956"/>
        <v>4.0821994520255256E-2</v>
      </c>
      <c r="FV1030" s="15">
        <f>((FR1030*FR1030)/(AR1030*FP1030*FP1030)+(FO1030*FO1030)/(AR1030*FM1030*FM1030))</f>
        <v>4.2862749580856575E-4</v>
      </c>
      <c r="FX1030" s="15">
        <v>40.89</v>
      </c>
      <c r="FY1030" s="15">
        <v>1.7</v>
      </c>
      <c r="FZ1030" s="15">
        <f>FY1030*SQRT(AR1030)</f>
        <v>2.9444863728670914</v>
      </c>
      <c r="GA1030" s="15">
        <v>47.154000000000003</v>
      </c>
      <c r="GB1030" s="15">
        <v>1.5</v>
      </c>
      <c r="GC1030" s="15">
        <f>GB1030*SQRT(AR1030)</f>
        <v>2.598076211353316</v>
      </c>
      <c r="GD1030" s="15">
        <f t="shared" si="957"/>
        <v>1.1531914893617021</v>
      </c>
      <c r="GE1030" s="15">
        <f t="shared" si="958"/>
        <v>6.2640000000000029</v>
      </c>
      <c r="GF1030" s="15">
        <f t="shared" si="959"/>
        <v>0.1425333067355421</v>
      </c>
      <c r="GG1030" s="15">
        <f>((GC1030*GC1030)/(AR1030*GA1030*GA1030)+(FZ1030*FZ1030)/(AR1030*FX1030*FX1030))</f>
        <v>2.7403953426831888E-3</v>
      </c>
      <c r="HE1030" s="15">
        <v>8600</v>
      </c>
      <c r="HF1030" s="15">
        <v>380</v>
      </c>
      <c r="HG1030" s="15">
        <f>HF1030*SQRT(AR1030)</f>
        <v>658.17930687617331</v>
      </c>
      <c r="HH1030" s="15">
        <v>9900</v>
      </c>
      <c r="HI1030" s="15">
        <v>220</v>
      </c>
      <c r="HJ1030" s="15">
        <f>HI1030*SQRT(AR1030)</f>
        <v>381.05117766515298</v>
      </c>
      <c r="HK1030" s="15">
        <f t="shared" si="964"/>
        <v>1.1511627906976745</v>
      </c>
      <c r="HL1030" s="15">
        <f t="shared" si="965"/>
        <v>1300</v>
      </c>
      <c r="HM1030" s="15">
        <f t="shared" si="966"/>
        <v>0.14077255388108156</v>
      </c>
      <c r="HN1030" s="15">
        <f>((HJ1030*HJ1030)/(AR1030*HH1030*HH1030)+(HG1030*HG1030)/(AR1030*HE1030*HE1030))</f>
        <v>2.4462338668215715E-3</v>
      </c>
      <c r="HP1030" s="15" t="s">
        <v>766</v>
      </c>
      <c r="HV1030" s="15">
        <f t="shared" si="967"/>
        <v>2131.097232585741</v>
      </c>
      <c r="HW1030" s="15">
        <f t="shared" si="968"/>
        <v>0.14077255388108156</v>
      </c>
      <c r="HX1030" s="25">
        <f t="shared" si="960"/>
        <v>30000</v>
      </c>
      <c r="HY1030" s="25">
        <f t="shared" si="961"/>
        <v>10000</v>
      </c>
      <c r="HZ1030" s="25">
        <f t="shared" si="962"/>
        <v>12.820512820512821</v>
      </c>
      <c r="IA1030" s="25">
        <f t="shared" si="963"/>
        <v>30000</v>
      </c>
    </row>
    <row r="1031" spans="1:235" s="15" customFormat="1" x14ac:dyDescent="0.25">
      <c r="A1031" s="31">
        <v>1029</v>
      </c>
      <c r="B1031" s="1">
        <v>170</v>
      </c>
      <c r="C1031" s="1">
        <v>196</v>
      </c>
      <c r="D1031" s="15" t="s">
        <v>2282</v>
      </c>
      <c r="E1031" s="31">
        <v>2</v>
      </c>
      <c r="F1031" s="15" t="s">
        <v>777</v>
      </c>
      <c r="G1031" s="15" t="s">
        <v>2287</v>
      </c>
      <c r="H1031" s="15" t="s">
        <v>812</v>
      </c>
      <c r="I1031" s="1">
        <v>2010</v>
      </c>
      <c r="J1031" s="15" t="s">
        <v>1034</v>
      </c>
      <c r="K1031" s="1">
        <v>2009</v>
      </c>
      <c r="L1031" s="15" t="s">
        <v>2278</v>
      </c>
      <c r="M1031" s="15" t="s">
        <v>480</v>
      </c>
      <c r="N1031" s="15" t="s">
        <v>23</v>
      </c>
      <c r="O1031" s="31">
        <v>2</v>
      </c>
      <c r="P1031" s="15">
        <v>119.68</v>
      </c>
      <c r="Q1031" s="15">
        <v>31.4</v>
      </c>
      <c r="S1031" s="15">
        <v>1177</v>
      </c>
      <c r="T1031" s="15">
        <v>15.7</v>
      </c>
      <c r="U1031" s="15" t="s">
        <v>549</v>
      </c>
      <c r="V1031" s="31">
        <v>1</v>
      </c>
      <c r="W1031" s="16" t="s">
        <v>1158</v>
      </c>
      <c r="X1031" s="15" t="s">
        <v>689</v>
      </c>
      <c r="Y1031" s="1">
        <v>1</v>
      </c>
      <c r="Z1031" s="15">
        <v>6.5</v>
      </c>
      <c r="AA1031" s="15" t="s">
        <v>573</v>
      </c>
      <c r="AB1031" s="15">
        <f t="shared" si="970"/>
        <v>6.5</v>
      </c>
      <c r="AC1031" s="1">
        <v>5</v>
      </c>
      <c r="AD1031" s="15">
        <f t="shared" si="969"/>
        <v>40.89</v>
      </c>
      <c r="AM1031" s="1">
        <v>1</v>
      </c>
      <c r="AN1031" s="15">
        <v>1.01</v>
      </c>
      <c r="AP1031" s="15" t="s">
        <v>1185</v>
      </c>
      <c r="AQ1031" s="1">
        <v>3</v>
      </c>
      <c r="AR1031" s="1">
        <v>3</v>
      </c>
      <c r="BP1031" s="16"/>
      <c r="BQ1031" s="16"/>
      <c r="BR1031" s="16"/>
      <c r="BU1031" s="16"/>
      <c r="CE1031" s="15">
        <v>40000</v>
      </c>
      <c r="CF1031" s="15">
        <v>40000</v>
      </c>
      <c r="CG1031" s="15" t="s">
        <v>766</v>
      </c>
      <c r="CH1031" s="15">
        <v>10.4</v>
      </c>
      <c r="CK1031" s="15">
        <v>467</v>
      </c>
      <c r="CL1031" s="15">
        <v>5.9</v>
      </c>
      <c r="CP1031" s="15">
        <v>10</v>
      </c>
      <c r="CQ1031" s="15">
        <v>6</v>
      </c>
      <c r="CR1031" s="15">
        <v>26</v>
      </c>
      <c r="CW1031" s="15">
        <v>20.8</v>
      </c>
      <c r="CY1031" s="25">
        <f t="shared" si="944"/>
        <v>40000</v>
      </c>
      <c r="CZ1031" s="25">
        <f t="shared" si="945"/>
        <v>51.282051282051285</v>
      </c>
      <c r="DA1031" s="25">
        <f t="shared" si="946"/>
        <v>120000</v>
      </c>
      <c r="EZ1031" s="15">
        <v>0.99</v>
      </c>
      <c r="FA1031" s="15">
        <v>0.05</v>
      </c>
      <c r="FB1031" s="15">
        <f>FA1031*SQRT(AR1031)</f>
        <v>8.6602540378443865E-2</v>
      </c>
      <c r="FC1031" s="15">
        <v>0.89</v>
      </c>
      <c r="FD1031" s="15">
        <v>0.02</v>
      </c>
      <c r="FE1031" s="15">
        <f>FD1031*SQRT(AR1031)</f>
        <v>3.4641016151377546E-2</v>
      </c>
      <c r="FF1031" s="15">
        <f t="shared" si="949"/>
        <v>0.89898989898989901</v>
      </c>
      <c r="FG1031" s="15">
        <f t="shared" si="950"/>
        <v>-9.9999999999999978E-2</v>
      </c>
      <c r="FH1031" s="15">
        <f t="shared" si="951"/>
        <v>-0.10648348040245006</v>
      </c>
      <c r="FI1031" s="15">
        <f>((FE1031*FE1031)/(AR1031*FC1031*FC1031)+(FB1031*FB1031)/(AR1031*EZ1031*EZ1031))</f>
        <v>3.0557468706156701E-3</v>
      </c>
      <c r="FK1031" s="16">
        <f t="shared" si="952"/>
        <v>6.53</v>
      </c>
      <c r="FL1031" s="15">
        <f t="shared" si="953"/>
        <v>6.77</v>
      </c>
      <c r="FM1031" s="16">
        <v>6.53</v>
      </c>
      <c r="FN1031" s="16">
        <v>0.11</v>
      </c>
      <c r="FO1031" s="15">
        <f>FN1031*SQRT(AR1031)</f>
        <v>0.1905255888325765</v>
      </c>
      <c r="FP1031" s="15">
        <v>6.77</v>
      </c>
      <c r="FQ1031" s="15">
        <v>0.12</v>
      </c>
      <c r="FR1031" s="15">
        <f>FQ1031*SQRT(AR1031)</f>
        <v>0.20784609690826525</v>
      </c>
      <c r="FS1031" s="15">
        <f t="shared" si="954"/>
        <v>1.0367534456355283</v>
      </c>
      <c r="FT1031" s="15">
        <f t="shared" si="955"/>
        <v>0.23999999999999932</v>
      </c>
      <c r="FU1031" s="15">
        <f t="shared" si="956"/>
        <v>3.6094143635843956E-2</v>
      </c>
      <c r="FV1031" s="15">
        <f>((FR1031*FR1031)/(AR1031*FP1031*FP1031)+(FO1031*FO1031)/(AR1031*FM1031*FM1031))</f>
        <v>5.979499061841908E-4</v>
      </c>
      <c r="FX1031" s="15">
        <v>40.368000000000002</v>
      </c>
      <c r="FY1031" s="15">
        <v>1.6</v>
      </c>
      <c r="FZ1031" s="15">
        <f>FY1031*SQRT(AR1031)</f>
        <v>2.7712812921102037</v>
      </c>
      <c r="GA1031" s="15">
        <v>62.64</v>
      </c>
      <c r="GB1031" s="15">
        <v>1.7</v>
      </c>
      <c r="GC1031" s="15">
        <f>GB1031*SQRT(AR1031)</f>
        <v>2.9444863728670914</v>
      </c>
      <c r="GD1031" s="15">
        <f t="shared" si="957"/>
        <v>1.5517241379310345</v>
      </c>
      <c r="GE1031" s="15">
        <f t="shared" si="958"/>
        <v>22.271999999999998</v>
      </c>
      <c r="GF1031" s="15">
        <f t="shared" si="959"/>
        <v>0.43936665978384593</v>
      </c>
      <c r="GG1031" s="15">
        <f>((GC1031*GC1031)/(AR1031*GA1031*GA1031)+(FZ1031*FZ1031)/(AR1031*FX1031*FX1031))</f>
        <v>2.3074979653771714E-3</v>
      </c>
      <c r="HE1031" s="15">
        <v>9100</v>
      </c>
      <c r="HF1031" s="15">
        <v>630</v>
      </c>
      <c r="HG1031" s="15">
        <f>HF1031*SQRT(AR1031)</f>
        <v>1091.1920087683927</v>
      </c>
      <c r="HH1031" s="15">
        <v>10200</v>
      </c>
      <c r="HI1031" s="15">
        <v>360</v>
      </c>
      <c r="HJ1031" s="15">
        <f>HI1031*SQRT(AR1031)</f>
        <v>623.53829072479584</v>
      </c>
      <c r="HK1031" s="15">
        <f t="shared" si="964"/>
        <v>1.1208791208791209</v>
      </c>
      <c r="HL1031" s="15">
        <f t="shared" si="965"/>
        <v>1100</v>
      </c>
      <c r="HM1031" s="15">
        <f t="shared" si="966"/>
        <v>0.11411330676742004</v>
      </c>
      <c r="HN1031" s="15">
        <f>((HJ1031*HJ1031)/(AR1031*HH1031*HH1031)+(HG1031*HG1031)/(AR1031*HE1031*HE1031))</f>
        <v>6.0385741487684521E-3</v>
      </c>
      <c r="HP1031" s="15" t="s">
        <v>766</v>
      </c>
      <c r="HV1031" s="15">
        <f t="shared" si="967"/>
        <v>10515.863872438462</v>
      </c>
      <c r="HW1031" s="15">
        <f t="shared" si="968"/>
        <v>0.11411330676742004</v>
      </c>
      <c r="HX1031" s="25">
        <f t="shared" si="960"/>
        <v>120000</v>
      </c>
      <c r="HY1031" s="25">
        <f t="shared" si="961"/>
        <v>40000</v>
      </c>
      <c r="HZ1031" s="25">
        <f t="shared" si="962"/>
        <v>51.282051282051285</v>
      </c>
      <c r="IA1031" s="25">
        <f t="shared" si="963"/>
        <v>120000</v>
      </c>
    </row>
    <row r="1032" spans="1:235" s="15" customFormat="1" x14ac:dyDescent="0.25">
      <c r="A1032" s="31">
        <v>1030</v>
      </c>
      <c r="B1032" s="1">
        <v>171</v>
      </c>
      <c r="C1032" s="1">
        <v>197</v>
      </c>
      <c r="D1032" s="15" t="s">
        <v>2283</v>
      </c>
      <c r="E1032" s="31">
        <v>2</v>
      </c>
      <c r="F1032" s="15" t="s">
        <v>777</v>
      </c>
      <c r="G1032" s="15" t="s">
        <v>2456</v>
      </c>
      <c r="H1032" s="15" t="s">
        <v>812</v>
      </c>
      <c r="I1032" s="1">
        <v>2012</v>
      </c>
      <c r="J1032" s="15" t="s">
        <v>2457</v>
      </c>
      <c r="K1032" s="1">
        <v>2010</v>
      </c>
      <c r="L1032" s="15" t="s">
        <v>2458</v>
      </c>
      <c r="M1032" s="15" t="s">
        <v>480</v>
      </c>
      <c r="N1032" s="15" t="s">
        <v>23</v>
      </c>
      <c r="O1032" s="31">
        <v>2</v>
      </c>
      <c r="P1032" s="15">
        <v>115.05</v>
      </c>
      <c r="Q1032" s="15">
        <v>34.53</v>
      </c>
      <c r="S1032" s="15">
        <v>780</v>
      </c>
      <c r="T1032" s="15">
        <v>13.9</v>
      </c>
      <c r="U1032" s="15" t="s">
        <v>549</v>
      </c>
      <c r="V1032" s="31">
        <v>1</v>
      </c>
      <c r="W1032" s="16" t="s">
        <v>1158</v>
      </c>
      <c r="X1032" s="15" t="s">
        <v>689</v>
      </c>
      <c r="Y1032" s="1">
        <v>1</v>
      </c>
      <c r="Z1032" s="15">
        <v>8.3800000000000008</v>
      </c>
      <c r="AA1032" s="15" t="s">
        <v>573</v>
      </c>
      <c r="AB1032" s="15">
        <f t="shared" si="970"/>
        <v>8.3800000000000008</v>
      </c>
      <c r="AC1032" s="1">
        <v>6</v>
      </c>
      <c r="AD1032" s="15">
        <f>9.87*1.74</f>
        <v>17.1738</v>
      </c>
      <c r="AM1032" s="1">
        <v>2</v>
      </c>
      <c r="AN1032" s="15">
        <v>1.37</v>
      </c>
      <c r="AP1032" s="15" t="s">
        <v>1943</v>
      </c>
      <c r="AQ1032" s="1">
        <v>5</v>
      </c>
      <c r="AR1032" s="1">
        <v>3</v>
      </c>
      <c r="BP1032" s="16"/>
      <c r="BQ1032" s="16"/>
      <c r="BR1032" s="16"/>
      <c r="BU1032" s="16"/>
      <c r="CE1032" s="15">
        <v>20000</v>
      </c>
      <c r="CF1032" s="15">
        <v>20000</v>
      </c>
      <c r="CG1032" s="15" t="s">
        <v>766</v>
      </c>
      <c r="CH1032" s="15">
        <v>10.4</v>
      </c>
      <c r="CK1032" s="15">
        <v>467</v>
      </c>
      <c r="CL1032" s="15">
        <v>5.9</v>
      </c>
      <c r="CP1032" s="15">
        <v>10</v>
      </c>
      <c r="CQ1032" s="15">
        <v>6</v>
      </c>
      <c r="CR1032" s="15">
        <v>26</v>
      </c>
      <c r="CW1032" s="15">
        <v>20.8</v>
      </c>
      <c r="CY1032" s="25">
        <f t="shared" si="944"/>
        <v>20000</v>
      </c>
      <c r="CZ1032" s="25">
        <f t="shared" si="945"/>
        <v>25.641025641025642</v>
      </c>
      <c r="DA1032" s="25">
        <f t="shared" si="946"/>
        <v>60000</v>
      </c>
      <c r="EZ1032" s="15">
        <v>1.37</v>
      </c>
      <c r="FA1032" s="15">
        <v>0.1</v>
      </c>
      <c r="FB1032" s="15">
        <f>FA1032*SQRT(AR1032)</f>
        <v>0.17320508075688773</v>
      </c>
      <c r="FC1032" s="15">
        <v>1.23</v>
      </c>
      <c r="FD1032" s="15">
        <v>0.03</v>
      </c>
      <c r="FE1032" s="15">
        <f>FD1032*SQRT(AR1032)</f>
        <v>5.1961524227066312E-2</v>
      </c>
      <c r="FF1032" s="15">
        <f t="shared" si="949"/>
        <v>0.89781021897810209</v>
      </c>
      <c r="FG1032" s="15">
        <f t="shared" si="950"/>
        <v>-0.14000000000000012</v>
      </c>
      <c r="FH1032" s="15">
        <f t="shared" si="951"/>
        <v>-0.10779657045570748</v>
      </c>
      <c r="FI1032" s="15">
        <f>((FE1032*FE1032)/(AR1032*FC1032*FC1032)+(FB1032*FB1032)/(AR1032*EZ1032*EZ1032))</f>
        <v>5.9228183574691496E-3</v>
      </c>
      <c r="FK1032" s="16">
        <f t="shared" si="952"/>
        <v>8.15</v>
      </c>
      <c r="FL1032" s="15">
        <f t="shared" si="953"/>
        <v>8.24</v>
      </c>
      <c r="FM1032" s="16">
        <v>8.15</v>
      </c>
      <c r="FN1032" s="16">
        <v>0.21</v>
      </c>
      <c r="FO1032" s="15">
        <f>FN1032*SQRT(AR1032)</f>
        <v>0.36373066958946421</v>
      </c>
      <c r="FP1032" s="15">
        <v>8.24</v>
      </c>
      <c r="FQ1032" s="15">
        <v>0.04</v>
      </c>
      <c r="FR1032" s="15">
        <f>FQ1032*SQRT(AR1032)</f>
        <v>6.9282032302755092E-2</v>
      </c>
      <c r="FS1032" s="15">
        <f t="shared" si="954"/>
        <v>1.011042944785276</v>
      </c>
      <c r="FT1032" s="15">
        <f t="shared" si="955"/>
        <v>8.9999999999999858E-2</v>
      </c>
      <c r="FU1032" s="15">
        <f t="shared" si="956"/>
        <v>1.0982416668608774E-2</v>
      </c>
      <c r="FV1032" s="15">
        <f>((FR1032*FR1032)/(AR1032*FP1032*FP1032)+(FO1032*FO1032)/(AR1032*FM1032*FM1032))</f>
        <v>6.874965473952486E-4</v>
      </c>
      <c r="FX1032" s="15">
        <v>18.966000000000001</v>
      </c>
      <c r="FY1032" s="15">
        <v>1</v>
      </c>
      <c r="FZ1032" s="15">
        <f>FY1032*SQRT(AR1032)</f>
        <v>1.7320508075688772</v>
      </c>
      <c r="GA1032" s="15">
        <v>27.317999999999998</v>
      </c>
      <c r="GB1032" s="15">
        <v>0.5</v>
      </c>
      <c r="GC1032" s="15">
        <f>GB1032*SQRT(AR1032)</f>
        <v>0.8660254037844386</v>
      </c>
      <c r="GD1032" s="15">
        <f t="shared" si="957"/>
        <v>1.440366972477064</v>
      </c>
      <c r="GE1032" s="15">
        <f t="shared" si="958"/>
        <v>8.3519999999999968</v>
      </c>
      <c r="GF1032" s="15">
        <f t="shared" si="959"/>
        <v>0.36489792311916425</v>
      </c>
      <c r="GG1032" s="15">
        <f>((GC1032*GC1032)/(AR1032*GA1032*GA1032)+(FZ1032*FZ1032)/(AR1032*FX1032*FX1032))</f>
        <v>3.1150217536210557E-3</v>
      </c>
      <c r="HE1032" s="15">
        <v>6280</v>
      </c>
      <c r="HF1032" s="15">
        <v>260</v>
      </c>
      <c r="HG1032" s="15">
        <f>HF1032*SQRT(AR1032)</f>
        <v>450.33320996790809</v>
      </c>
      <c r="HH1032" s="15">
        <v>7270</v>
      </c>
      <c r="HI1032" s="15">
        <v>300</v>
      </c>
      <c r="HJ1032" s="15">
        <f>HI1032*SQRT(AR1032)</f>
        <v>519.6152422706632</v>
      </c>
      <c r="HK1032" s="15">
        <f t="shared" si="964"/>
        <v>1.1576433121019107</v>
      </c>
      <c r="HL1032" s="15">
        <f t="shared" si="965"/>
        <v>990</v>
      </c>
      <c r="HM1032" s="15">
        <f t="shared" si="966"/>
        <v>0.14638631106532074</v>
      </c>
      <c r="HN1032" s="15">
        <f>((HJ1032*HJ1032)/(AR1032*HH1032*HH1032)+(HG1032*HG1032)/(AR1032*HE1032*HE1032))</f>
        <v>3.4169048694105619E-3</v>
      </c>
      <c r="HP1032" s="15" t="s">
        <v>766</v>
      </c>
      <c r="HV1032" s="15">
        <f t="shared" si="967"/>
        <v>4098.7439032620132</v>
      </c>
      <c r="HW1032" s="15">
        <f t="shared" si="968"/>
        <v>0.14638631106532074</v>
      </c>
      <c r="HX1032" s="25">
        <f t="shared" si="960"/>
        <v>60000</v>
      </c>
      <c r="HY1032" s="25">
        <f t="shared" si="961"/>
        <v>20000</v>
      </c>
      <c r="HZ1032" s="25">
        <f t="shared" si="962"/>
        <v>25.641025641025642</v>
      </c>
      <c r="IA1032" s="25">
        <f t="shared" si="963"/>
        <v>60000</v>
      </c>
    </row>
    <row r="1033" spans="1:235" s="15" customFormat="1" x14ac:dyDescent="0.25">
      <c r="A1033" s="31">
        <v>1031</v>
      </c>
      <c r="B1033" s="1">
        <v>171</v>
      </c>
      <c r="C1033" s="1">
        <v>197</v>
      </c>
      <c r="D1033" s="15" t="s">
        <v>2284</v>
      </c>
      <c r="E1033" s="31">
        <v>2</v>
      </c>
      <c r="F1033" s="15" t="s">
        <v>777</v>
      </c>
      <c r="G1033" s="15" t="s">
        <v>2456</v>
      </c>
      <c r="H1033" s="15" t="s">
        <v>812</v>
      </c>
      <c r="I1033" s="1">
        <v>2012</v>
      </c>
      <c r="J1033" s="15" t="s">
        <v>2457</v>
      </c>
      <c r="K1033" s="1">
        <v>2010</v>
      </c>
      <c r="L1033" s="15" t="s">
        <v>2458</v>
      </c>
      <c r="M1033" s="15" t="s">
        <v>480</v>
      </c>
      <c r="N1033" s="15" t="s">
        <v>23</v>
      </c>
      <c r="O1033" s="31">
        <v>2</v>
      </c>
      <c r="P1033" s="15">
        <v>115.05</v>
      </c>
      <c r="Q1033" s="15">
        <v>34.53</v>
      </c>
      <c r="S1033" s="15">
        <v>780</v>
      </c>
      <c r="T1033" s="15">
        <v>13.9</v>
      </c>
      <c r="U1033" s="15" t="s">
        <v>549</v>
      </c>
      <c r="V1033" s="31">
        <v>1</v>
      </c>
      <c r="W1033" s="16" t="s">
        <v>1158</v>
      </c>
      <c r="X1033" s="15" t="s">
        <v>689</v>
      </c>
      <c r="Y1033" s="1">
        <v>1</v>
      </c>
      <c r="Z1033" s="15">
        <v>8.3800000000000008</v>
      </c>
      <c r="AA1033" s="15" t="s">
        <v>573</v>
      </c>
      <c r="AB1033" s="15">
        <f t="shared" si="970"/>
        <v>8.3800000000000008</v>
      </c>
      <c r="AC1033" s="1">
        <v>6</v>
      </c>
      <c r="AD1033" s="15">
        <f>9.87*1.74</f>
        <v>17.1738</v>
      </c>
      <c r="AM1033" s="1">
        <v>2</v>
      </c>
      <c r="AN1033" s="15">
        <v>1.37</v>
      </c>
      <c r="AP1033" s="15" t="s">
        <v>1943</v>
      </c>
      <c r="AQ1033" s="1">
        <v>5</v>
      </c>
      <c r="AR1033" s="1">
        <v>3</v>
      </c>
      <c r="BP1033" s="16"/>
      <c r="BQ1033" s="16"/>
      <c r="BR1033" s="16"/>
      <c r="BU1033" s="16"/>
      <c r="CE1033" s="15">
        <v>40000</v>
      </c>
      <c r="CF1033" s="15">
        <v>40000</v>
      </c>
      <c r="CG1033" s="15" t="s">
        <v>766</v>
      </c>
      <c r="CH1033" s="15">
        <v>10.4</v>
      </c>
      <c r="CK1033" s="15">
        <v>467</v>
      </c>
      <c r="CL1033" s="15">
        <v>5.9</v>
      </c>
      <c r="CP1033" s="15">
        <v>10</v>
      </c>
      <c r="CQ1033" s="15">
        <v>6</v>
      </c>
      <c r="CR1033" s="15">
        <v>26</v>
      </c>
      <c r="CW1033" s="15">
        <v>20.8</v>
      </c>
      <c r="CY1033" s="25">
        <f t="shared" si="944"/>
        <v>40000</v>
      </c>
      <c r="CZ1033" s="25">
        <f t="shared" si="945"/>
        <v>51.282051282051285</v>
      </c>
      <c r="DA1033" s="25">
        <f t="shared" si="946"/>
        <v>120000</v>
      </c>
      <c r="EZ1033" s="15">
        <v>1.37</v>
      </c>
      <c r="FA1033" s="15">
        <v>0.1</v>
      </c>
      <c r="FB1033" s="15">
        <f>FA1033*SQRT(AR1033)</f>
        <v>0.17320508075688773</v>
      </c>
      <c r="FC1033" s="15">
        <v>1.0900000000000001</v>
      </c>
      <c r="FD1033" s="15">
        <v>1E-3</v>
      </c>
      <c r="FE1033" s="15">
        <f>FD1033*SQRT(AR1033)</f>
        <v>1.7320508075688772E-3</v>
      </c>
      <c r="FF1033" s="15">
        <f t="shared" si="949"/>
        <v>0.79562043795620441</v>
      </c>
      <c r="FG1033" s="15">
        <f t="shared" si="950"/>
        <v>-0.28000000000000003</v>
      </c>
      <c r="FH1033" s="15">
        <f t="shared" si="951"/>
        <v>-0.22863304359898118</v>
      </c>
      <c r="FI1033" s="15">
        <f>((FE1033*FE1033)/(AR1033*FC1033*FC1033)+(FB1033*FB1033)/(AR1033*EZ1033*EZ1033))</f>
        <v>5.3287760398419521E-3</v>
      </c>
      <c r="FK1033" s="16">
        <f t="shared" si="952"/>
        <v>8.15</v>
      </c>
      <c r="FL1033" s="15">
        <f t="shared" si="953"/>
        <v>8.3800000000000008</v>
      </c>
      <c r="FM1033" s="16">
        <v>8.15</v>
      </c>
      <c r="FN1033" s="16">
        <v>0.21</v>
      </c>
      <c r="FO1033" s="15">
        <f>FN1033*SQRT(AR1033)</f>
        <v>0.36373066958946421</v>
      </c>
      <c r="FP1033" s="15">
        <v>8.3800000000000008</v>
      </c>
      <c r="FQ1033" s="15">
        <v>0.06</v>
      </c>
      <c r="FR1033" s="15">
        <f>FQ1033*SQRT(AR1033)</f>
        <v>0.10392304845413262</v>
      </c>
      <c r="FS1033" s="15">
        <f t="shared" si="954"/>
        <v>1.0282208588957056</v>
      </c>
      <c r="FT1033" s="15">
        <f t="shared" si="955"/>
        <v>0.23000000000000043</v>
      </c>
      <c r="FU1033" s="15">
        <f t="shared" si="956"/>
        <v>2.7829987241220433E-2</v>
      </c>
      <c r="FV1033" s="15">
        <f>((FR1033*FR1033)/(AR1033*FP1033*FP1033)+(FO1033*FO1033)/(AR1033*FM1033*FM1033))</f>
        <v>7.1519588261157927E-4</v>
      </c>
      <c r="FX1033" s="15">
        <v>18.966000000000001</v>
      </c>
      <c r="FY1033" s="15">
        <v>1</v>
      </c>
      <c r="FZ1033" s="15">
        <f>FY1033*SQRT(AR1033)</f>
        <v>1.7320508075688772</v>
      </c>
      <c r="GA1033" s="15">
        <v>29.927999999999997</v>
      </c>
      <c r="GB1033" s="15">
        <v>1.6</v>
      </c>
      <c r="GC1033" s="15">
        <f>GB1033*SQRT(AR1033)</f>
        <v>2.7712812921102037</v>
      </c>
      <c r="GD1033" s="15">
        <f t="shared" si="957"/>
        <v>1.5779816513761467</v>
      </c>
      <c r="GE1033" s="15">
        <f t="shared" si="958"/>
        <v>10.961999999999996</v>
      </c>
      <c r="GF1033" s="15">
        <f t="shared" si="959"/>
        <v>0.45614659458430928</v>
      </c>
      <c r="GG1033" s="15">
        <f>((GC1033*GC1033)/(AR1033*GA1033*GA1033)+(FZ1033*FZ1033)/(AR1033*FX1033*FX1033))</f>
        <v>5.6381708465100509E-3</v>
      </c>
      <c r="HE1033" s="15">
        <v>6280</v>
      </c>
      <c r="HF1033" s="15">
        <v>260</v>
      </c>
      <c r="HG1033" s="15">
        <f>HF1033*SQRT(AR1033)</f>
        <v>450.33320996790809</v>
      </c>
      <c r="HH1033" s="15">
        <v>6740</v>
      </c>
      <c r="HI1033" s="15">
        <v>180</v>
      </c>
      <c r="HJ1033" s="15">
        <f>HI1033*SQRT(AR1033)</f>
        <v>311.76914536239792</v>
      </c>
      <c r="HK1033" s="15">
        <f t="shared" si="964"/>
        <v>1.0732484076433122</v>
      </c>
      <c r="HL1033" s="15">
        <f t="shared" si="965"/>
        <v>460</v>
      </c>
      <c r="HM1033" s="15">
        <f t="shared" si="966"/>
        <v>7.0689944444108477E-2</v>
      </c>
      <c r="HN1033" s="15">
        <f>((HJ1033*HJ1033)/(AR1033*HH1033*HH1033)+(HG1033*HG1033)/(AR1033*HE1033*HE1033))</f>
        <v>2.4272882778047264E-3</v>
      </c>
      <c r="HP1033" s="15" t="s">
        <v>766</v>
      </c>
      <c r="HV1033" s="15">
        <f t="shared" si="967"/>
        <v>16975.540289875156</v>
      </c>
      <c r="HW1033" s="15">
        <f t="shared" si="968"/>
        <v>7.0689944444108477E-2</v>
      </c>
      <c r="HX1033" s="25">
        <f t="shared" si="960"/>
        <v>120000</v>
      </c>
      <c r="HY1033" s="25">
        <f t="shared" si="961"/>
        <v>40000</v>
      </c>
      <c r="HZ1033" s="25">
        <f t="shared" si="962"/>
        <v>51.282051282051285</v>
      </c>
      <c r="IA1033" s="25">
        <f t="shared" si="963"/>
        <v>120000</v>
      </c>
    </row>
    <row r="1034" spans="1:235" s="15" customFormat="1" x14ac:dyDescent="0.25">
      <c r="A1034" s="31">
        <v>1032</v>
      </c>
      <c r="B1034" s="1">
        <v>171</v>
      </c>
      <c r="C1034" s="1">
        <v>197</v>
      </c>
      <c r="D1034" s="15" t="s">
        <v>2285</v>
      </c>
      <c r="E1034" s="31">
        <v>2</v>
      </c>
      <c r="F1034" s="15" t="s">
        <v>777</v>
      </c>
      <c r="G1034" s="15" t="s">
        <v>2456</v>
      </c>
      <c r="H1034" s="15" t="s">
        <v>812</v>
      </c>
      <c r="I1034" s="1">
        <v>2012</v>
      </c>
      <c r="J1034" s="15" t="s">
        <v>2457</v>
      </c>
      <c r="K1034" s="1">
        <v>2010</v>
      </c>
      <c r="L1034" s="15" t="s">
        <v>2458</v>
      </c>
      <c r="M1034" s="15" t="s">
        <v>480</v>
      </c>
      <c r="N1034" s="15" t="s">
        <v>23</v>
      </c>
      <c r="O1034" s="31">
        <v>2</v>
      </c>
      <c r="P1034" s="15">
        <v>115.05</v>
      </c>
      <c r="Q1034" s="15">
        <v>34.53</v>
      </c>
      <c r="S1034" s="15">
        <v>780</v>
      </c>
      <c r="T1034" s="15">
        <v>13.9</v>
      </c>
      <c r="U1034" s="15" t="s">
        <v>549</v>
      </c>
      <c r="V1034" s="31">
        <v>1</v>
      </c>
      <c r="W1034" s="16" t="s">
        <v>1158</v>
      </c>
      <c r="X1034" s="15" t="s">
        <v>689</v>
      </c>
      <c r="Y1034" s="1">
        <v>1</v>
      </c>
      <c r="Z1034" s="15">
        <v>8.3800000000000008</v>
      </c>
      <c r="AA1034" s="15" t="s">
        <v>573</v>
      </c>
      <c r="AB1034" s="15">
        <f t="shared" si="970"/>
        <v>8.3800000000000008</v>
      </c>
      <c r="AC1034" s="1">
        <v>6</v>
      </c>
      <c r="AD1034" s="15">
        <f>9.87*1.74</f>
        <v>17.1738</v>
      </c>
      <c r="AM1034" s="1">
        <v>2</v>
      </c>
      <c r="AN1034" s="15">
        <v>1.37</v>
      </c>
      <c r="AP1034" s="15" t="s">
        <v>1943</v>
      </c>
      <c r="AQ1034" s="1">
        <v>5</v>
      </c>
      <c r="AR1034" s="1">
        <v>3</v>
      </c>
      <c r="BP1034" s="16"/>
      <c r="BQ1034" s="16"/>
      <c r="BR1034" s="16"/>
      <c r="BU1034" s="16"/>
      <c r="CE1034" s="15">
        <v>20000</v>
      </c>
      <c r="CF1034" s="15">
        <v>20000</v>
      </c>
      <c r="CG1034" s="15" t="s">
        <v>766</v>
      </c>
      <c r="CH1034" s="15">
        <v>10.4</v>
      </c>
      <c r="CK1034" s="15">
        <v>467</v>
      </c>
      <c r="CL1034" s="15">
        <v>5.9</v>
      </c>
      <c r="CP1034" s="15">
        <v>10</v>
      </c>
      <c r="CQ1034" s="15">
        <v>6</v>
      </c>
      <c r="CR1034" s="15">
        <v>26</v>
      </c>
      <c r="CW1034" s="15">
        <v>20.8</v>
      </c>
      <c r="CY1034" s="25">
        <f t="shared" si="944"/>
        <v>20000</v>
      </c>
      <c r="CZ1034" s="25">
        <f t="shared" si="945"/>
        <v>25.641025641025642</v>
      </c>
      <c r="DA1034" s="25">
        <f t="shared" si="946"/>
        <v>60000</v>
      </c>
      <c r="EZ1034" s="15">
        <v>1.36</v>
      </c>
      <c r="FA1034" s="15">
        <v>0.02</v>
      </c>
      <c r="FB1034" s="15">
        <f>FA1034*SQRT(AR1034)</f>
        <v>3.4641016151377546E-2</v>
      </c>
      <c r="FC1034" s="15">
        <v>1.23</v>
      </c>
      <c r="FD1034" s="15">
        <v>0.11</v>
      </c>
      <c r="FE1034" s="15">
        <f>FD1034*SQRT(AR1034)</f>
        <v>0.1905255888325765</v>
      </c>
      <c r="FF1034" s="15">
        <f t="shared" si="949"/>
        <v>0.90441176470588225</v>
      </c>
      <c r="FG1034" s="15">
        <f t="shared" si="950"/>
        <v>-0.13000000000000012</v>
      </c>
      <c r="FH1034" s="15">
        <f t="shared" si="951"/>
        <v>-0.1004705303636346</v>
      </c>
      <c r="FI1034" s="15">
        <f>((FE1034*FE1034)/(AR1034*FC1034*FC1034)+(FB1034*FB1034)/(AR1034*EZ1034*EZ1034))</f>
        <v>8.2141478326758968E-3</v>
      </c>
      <c r="FK1034" s="16">
        <f t="shared" si="952"/>
        <v>8.2799999999999994</v>
      </c>
      <c r="FL1034" s="16">
        <f t="shared" si="953"/>
        <v>8.3800000000000008</v>
      </c>
      <c r="FM1034" s="16">
        <v>8.2799999999999994</v>
      </c>
      <c r="FN1034" s="16">
        <v>0.03</v>
      </c>
      <c r="FO1034" s="15">
        <f>FN1034*SQRT(AR1034)</f>
        <v>5.1961524227066312E-2</v>
      </c>
      <c r="FP1034" s="15">
        <v>8.3800000000000008</v>
      </c>
      <c r="FQ1034" s="15">
        <v>0.02</v>
      </c>
      <c r="FR1034" s="15">
        <f>FQ1034*SQRT(AR1034)</f>
        <v>3.4641016151377546E-2</v>
      </c>
      <c r="FS1034" s="15">
        <f t="shared" si="954"/>
        <v>1.0120772946859906</v>
      </c>
      <c r="FT1034" s="15">
        <f t="shared" si="955"/>
        <v>0.10000000000000142</v>
      </c>
      <c r="FU1034" s="15">
        <f t="shared" si="956"/>
        <v>1.2004946096823677E-2</v>
      </c>
      <c r="FV1034" s="15">
        <f>((FR1034*FR1034)/(AR1034*FP1034*FP1034)+(FO1034*FO1034)/(AR1034*FM1034*FM1034))</f>
        <v>1.8823520106644153E-5</v>
      </c>
      <c r="FX1034" s="15">
        <v>20.184000000000001</v>
      </c>
      <c r="FY1034" s="15">
        <v>0.7</v>
      </c>
      <c r="FZ1034" s="15">
        <f>FY1034*SQRT(AR1034)</f>
        <v>1.2124355652982139</v>
      </c>
      <c r="GA1034" s="15">
        <v>25.23</v>
      </c>
      <c r="GB1034" s="15">
        <v>0.2</v>
      </c>
      <c r="GC1034" s="15">
        <f>GB1034*SQRT(AR1034)</f>
        <v>0.34641016151377546</v>
      </c>
      <c r="GD1034" s="15">
        <f t="shared" si="957"/>
        <v>1.25</v>
      </c>
      <c r="GE1034" s="15">
        <f t="shared" si="958"/>
        <v>5.0459999999999994</v>
      </c>
      <c r="GF1034" s="15">
        <f t="shared" si="959"/>
        <v>0.22314355131420971</v>
      </c>
      <c r="GG1034" s="15">
        <f>((GC1034*GC1034)/(AR1034*GA1034*GA1034)+(FZ1034*FZ1034)/(AR1034*FX1034*FX1034))</f>
        <v>1.2656057336318783E-3</v>
      </c>
      <c r="HE1034" s="15">
        <v>6650</v>
      </c>
      <c r="HF1034" s="15">
        <v>6</v>
      </c>
      <c r="HG1034" s="15">
        <f>HF1034*SQRT(AR1034)</f>
        <v>10.392304845413264</v>
      </c>
      <c r="HH1034" s="15">
        <v>7860</v>
      </c>
      <c r="HI1034" s="15">
        <v>50</v>
      </c>
      <c r="HJ1034" s="15">
        <f>HI1034*SQRT(AR1034)</f>
        <v>86.602540378443862</v>
      </c>
      <c r="HK1034" s="15">
        <f t="shared" si="964"/>
        <v>1.1819548872180452</v>
      </c>
      <c r="HL1034" s="15">
        <f t="shared" si="965"/>
        <v>1210</v>
      </c>
      <c r="HM1034" s="15">
        <f t="shared" si="966"/>
        <v>0.16716975177335236</v>
      </c>
      <c r="HN1034" s="15">
        <f>((HJ1034*HJ1034)/(AR1034*HH1034*HH1034)+(HG1034*HG1034)/(AR1034*HE1034*HE1034))</f>
        <v>4.1280497523374547E-5</v>
      </c>
      <c r="HP1034" s="15" t="s">
        <v>766</v>
      </c>
      <c r="HV1034" s="15">
        <f t="shared" si="967"/>
        <v>3589.1660640465388</v>
      </c>
      <c r="HW1034" s="15">
        <f t="shared" si="968"/>
        <v>0.16716975177335236</v>
      </c>
      <c r="HX1034" s="25">
        <f t="shared" si="960"/>
        <v>60000</v>
      </c>
      <c r="HY1034" s="25">
        <f t="shared" si="961"/>
        <v>20000</v>
      </c>
      <c r="HZ1034" s="25">
        <f t="shared" si="962"/>
        <v>25.641025641025642</v>
      </c>
      <c r="IA1034" s="25">
        <f t="shared" si="963"/>
        <v>60000</v>
      </c>
    </row>
    <row r="1035" spans="1:235" s="15" customFormat="1" x14ac:dyDescent="0.25">
      <c r="A1035" s="31">
        <v>1033</v>
      </c>
      <c r="B1035" s="1">
        <v>171</v>
      </c>
      <c r="C1035" s="1">
        <v>197</v>
      </c>
      <c r="D1035" s="15" t="s">
        <v>2286</v>
      </c>
      <c r="E1035" s="31">
        <v>2</v>
      </c>
      <c r="F1035" s="15" t="s">
        <v>777</v>
      </c>
      <c r="G1035" s="15" t="s">
        <v>2456</v>
      </c>
      <c r="H1035" s="15" t="s">
        <v>812</v>
      </c>
      <c r="I1035" s="1">
        <v>2012</v>
      </c>
      <c r="J1035" s="15" t="s">
        <v>2457</v>
      </c>
      <c r="K1035" s="1">
        <v>2010</v>
      </c>
      <c r="L1035" s="15" t="s">
        <v>2458</v>
      </c>
      <c r="M1035" s="15" t="s">
        <v>480</v>
      </c>
      <c r="N1035" s="15" t="s">
        <v>23</v>
      </c>
      <c r="O1035" s="31">
        <v>2</v>
      </c>
      <c r="P1035" s="15">
        <v>115.05</v>
      </c>
      <c r="Q1035" s="15">
        <v>34.53</v>
      </c>
      <c r="S1035" s="15">
        <v>780</v>
      </c>
      <c r="T1035" s="15">
        <v>13.9</v>
      </c>
      <c r="U1035" s="15" t="s">
        <v>549</v>
      </c>
      <c r="V1035" s="31">
        <v>1</v>
      </c>
      <c r="W1035" s="16" t="s">
        <v>1158</v>
      </c>
      <c r="X1035" s="15" t="s">
        <v>689</v>
      </c>
      <c r="Y1035" s="1">
        <v>1</v>
      </c>
      <c r="Z1035" s="15">
        <v>8.3800000000000008</v>
      </c>
      <c r="AA1035" s="15" t="s">
        <v>573</v>
      </c>
      <c r="AB1035" s="15">
        <f t="shared" si="970"/>
        <v>8.3800000000000008</v>
      </c>
      <c r="AC1035" s="1">
        <v>6</v>
      </c>
      <c r="AD1035" s="15">
        <f>9.87*1.74</f>
        <v>17.1738</v>
      </c>
      <c r="AM1035" s="1">
        <v>2</v>
      </c>
      <c r="AN1035" s="15">
        <v>1.37</v>
      </c>
      <c r="AP1035" s="15" t="s">
        <v>1943</v>
      </c>
      <c r="AQ1035" s="1">
        <v>5</v>
      </c>
      <c r="AR1035" s="1">
        <v>3</v>
      </c>
      <c r="BP1035" s="16"/>
      <c r="BQ1035" s="16"/>
      <c r="BR1035" s="16"/>
      <c r="BU1035" s="16"/>
      <c r="CE1035" s="15">
        <v>40000</v>
      </c>
      <c r="CF1035" s="15">
        <v>40000</v>
      </c>
      <c r="CG1035" s="15" t="s">
        <v>766</v>
      </c>
      <c r="CH1035" s="15">
        <v>10.4</v>
      </c>
      <c r="CK1035" s="15">
        <v>467</v>
      </c>
      <c r="CL1035" s="15">
        <v>5.9</v>
      </c>
      <c r="CP1035" s="15">
        <v>10</v>
      </c>
      <c r="CQ1035" s="15">
        <v>6</v>
      </c>
      <c r="CR1035" s="15">
        <v>26</v>
      </c>
      <c r="CW1035" s="15">
        <v>20.8</v>
      </c>
      <c r="CY1035" s="25">
        <f t="shared" si="944"/>
        <v>40000</v>
      </c>
      <c r="CZ1035" s="25">
        <f t="shared" si="945"/>
        <v>51.282051282051285</v>
      </c>
      <c r="DA1035" s="25">
        <f t="shared" si="946"/>
        <v>120000</v>
      </c>
      <c r="EZ1035" s="15">
        <v>1.36</v>
      </c>
      <c r="FA1035" s="15">
        <v>0.02</v>
      </c>
      <c r="FB1035" s="15">
        <f>FA1035*SQRT(AR1035)</f>
        <v>3.4641016151377546E-2</v>
      </c>
      <c r="FC1035" s="15">
        <v>1.19</v>
      </c>
      <c r="FD1035" s="15">
        <v>5.0000000000000001E-3</v>
      </c>
      <c r="FE1035" s="15">
        <f>FD1035*SQRT(AR1035)</f>
        <v>8.6602540378443865E-3</v>
      </c>
      <c r="FF1035" s="15">
        <f t="shared" si="949"/>
        <v>0.87499999999999989</v>
      </c>
      <c r="FG1035" s="15">
        <f t="shared" si="950"/>
        <v>-0.17000000000000015</v>
      </c>
      <c r="FH1035" s="15">
        <f t="shared" si="951"/>
        <v>-0.13353139262452274</v>
      </c>
      <c r="FI1035" s="15">
        <f>((FE1035*FE1035)/(AR1035*FC1035*FC1035)+(FB1035*FB1035)/(AR1035*EZ1035*EZ1035))</f>
        <v>2.339170962502648E-4</v>
      </c>
      <c r="FK1035" s="16">
        <f t="shared" si="952"/>
        <v>8.2799999999999994</v>
      </c>
      <c r="FL1035" s="16">
        <f t="shared" si="953"/>
        <v>8.23</v>
      </c>
      <c r="FM1035" s="16">
        <v>8.2799999999999994</v>
      </c>
      <c r="FN1035" s="16">
        <v>0.03</v>
      </c>
      <c r="FO1035" s="15">
        <f>FN1035*SQRT(AR1035)</f>
        <v>5.1961524227066312E-2</v>
      </c>
      <c r="FP1035" s="15">
        <v>8.23</v>
      </c>
      <c r="FQ1035" s="15">
        <v>0.05</v>
      </c>
      <c r="FR1035" s="15">
        <f>FQ1035*SQRT(AR1035)</f>
        <v>8.6602540378443865E-2</v>
      </c>
      <c r="FS1035" s="15">
        <f t="shared" si="954"/>
        <v>0.99396135265700492</v>
      </c>
      <c r="FT1035" s="15">
        <f t="shared" si="955"/>
        <v>-4.9999999999998934E-2</v>
      </c>
      <c r="FU1035" s="15">
        <f t="shared" si="956"/>
        <v>-6.0569537081898162E-3</v>
      </c>
      <c r="FV1035" s="15">
        <f>((FR1035*FR1035)/(AR1035*FP1035*FP1035)+(FO1035*FO1035)/(AR1035*FM1035*FM1035))</f>
        <v>5.0037179177595648E-5</v>
      </c>
      <c r="FX1035" s="15">
        <v>20.184000000000001</v>
      </c>
      <c r="FY1035" s="15">
        <v>0.7</v>
      </c>
      <c r="FZ1035" s="15">
        <f>FY1035*SQRT(AR1035)</f>
        <v>1.2124355652982139</v>
      </c>
      <c r="GA1035" s="15">
        <v>28.71</v>
      </c>
      <c r="GB1035" s="15">
        <v>0.5</v>
      </c>
      <c r="GC1035" s="15">
        <f>GB1035*SQRT(AR1035)</f>
        <v>0.8660254037844386</v>
      </c>
      <c r="GD1035" s="15">
        <f t="shared" si="957"/>
        <v>1.4224137931034482</v>
      </c>
      <c r="GE1035" s="15">
        <f t="shared" si="958"/>
        <v>8.5259999999999998</v>
      </c>
      <c r="GF1035" s="15">
        <f t="shared" si="959"/>
        <v>0.3523552827942158</v>
      </c>
      <c r="GG1035" s="15">
        <f>((GC1035*GC1035)/(AR1035*GA1035*GA1035)+(FZ1035*FZ1035)/(AR1035*FX1035*FX1035))</f>
        <v>1.5060681272147602E-3</v>
      </c>
      <c r="HE1035" s="15">
        <v>6650</v>
      </c>
      <c r="HF1035" s="15">
        <v>6</v>
      </c>
      <c r="HG1035" s="15">
        <f>HF1035*SQRT(AR1035)</f>
        <v>10.392304845413264</v>
      </c>
      <c r="HH1035" s="15">
        <v>7420</v>
      </c>
      <c r="HI1035" s="15">
        <v>70</v>
      </c>
      <c r="HJ1035" s="15">
        <f>HI1035*SQRT(AR1035)</f>
        <v>121.2435565298214</v>
      </c>
      <c r="HK1035" s="15">
        <f t="shared" si="964"/>
        <v>1.1157894736842104</v>
      </c>
      <c r="HL1035" s="15">
        <f t="shared" si="965"/>
        <v>770</v>
      </c>
      <c r="HM1035" s="15">
        <f t="shared" si="966"/>
        <v>0.10956220251152615</v>
      </c>
      <c r="HN1035" s="15">
        <f>((HJ1035*HJ1035)/(AR1035*HH1035*HH1035)+(HG1035*HG1035)/(AR1035*HE1035*HE1035))</f>
        <v>8.9813709239707669E-5</v>
      </c>
      <c r="HP1035" s="15" t="s">
        <v>766</v>
      </c>
      <c r="HV1035" s="15">
        <f t="shared" si="967"/>
        <v>10952.682334710802</v>
      </c>
      <c r="HW1035" s="15">
        <f t="shared" si="968"/>
        <v>0.10956220251152615</v>
      </c>
      <c r="HX1035" s="25">
        <f t="shared" si="960"/>
        <v>120000</v>
      </c>
      <c r="HY1035" s="25">
        <f t="shared" si="961"/>
        <v>40000</v>
      </c>
      <c r="HZ1035" s="25">
        <f t="shared" si="962"/>
        <v>51.282051282051285</v>
      </c>
      <c r="IA1035" s="25">
        <f t="shared" si="963"/>
        <v>120000</v>
      </c>
    </row>
    <row r="1036" spans="1:235" x14ac:dyDescent="0.25">
      <c r="ER1036" s="29"/>
      <c r="ES1036" s="29"/>
      <c r="ET1036" s="29"/>
      <c r="EU1036" s="29"/>
      <c r="EV1036" s="29"/>
      <c r="EW1036" s="48"/>
      <c r="EX1036" s="48"/>
      <c r="EY1036" s="48"/>
      <c r="EZ1036" s="29"/>
      <c r="FA1036" s="29"/>
      <c r="FB1036" s="29"/>
      <c r="FC1036" s="29"/>
      <c r="FD1036" s="29"/>
      <c r="FE1036" s="29"/>
      <c r="FF1036" s="29"/>
      <c r="FG1036" s="29"/>
      <c r="FH1036" s="29"/>
      <c r="FI1036" s="29"/>
      <c r="FJ1036" s="29"/>
      <c r="FX1036" s="44"/>
      <c r="GA1036" s="44"/>
    </row>
    <row r="1037" spans="1:235" x14ac:dyDescent="0.25">
      <c r="ER1037" s="29"/>
      <c r="ES1037" s="29"/>
      <c r="ET1037" s="29"/>
      <c r="EU1037" s="29"/>
      <c r="EV1037" s="29"/>
      <c r="EW1037" s="48"/>
      <c r="EX1037" s="48"/>
      <c r="EY1037" s="48"/>
      <c r="EZ1037" s="29"/>
      <c r="FA1037" s="29"/>
      <c r="FB1037" s="29"/>
      <c r="FC1037" s="29"/>
      <c r="FD1037" s="29"/>
      <c r="FE1037" s="29"/>
      <c r="FF1037" s="29"/>
      <c r="FG1037" s="29"/>
      <c r="FH1037" s="29"/>
      <c r="FI1037" s="29"/>
      <c r="FJ1037" s="29"/>
      <c r="FX1037" s="44"/>
      <c r="GA1037" s="44"/>
    </row>
    <row r="1038" spans="1:235" x14ac:dyDescent="0.25">
      <c r="ER1038" s="29"/>
      <c r="ES1038" s="29"/>
      <c r="ET1038" s="29"/>
      <c r="EU1038" s="29"/>
      <c r="EV1038" s="29"/>
      <c r="EW1038" s="48"/>
      <c r="EX1038" s="48"/>
      <c r="EY1038" s="48"/>
      <c r="EZ1038" s="29"/>
      <c r="FA1038" s="29"/>
      <c r="FB1038" s="29"/>
      <c r="FC1038" s="29"/>
      <c r="FD1038" s="29"/>
      <c r="FE1038" s="29"/>
      <c r="FF1038" s="29"/>
      <c r="FG1038" s="29"/>
      <c r="FH1038" s="29"/>
      <c r="FI1038" s="29"/>
      <c r="FJ1038" s="29"/>
      <c r="FX1038" s="44"/>
      <c r="GA1038" s="44"/>
    </row>
    <row r="1039" spans="1:235" x14ac:dyDescent="0.25">
      <c r="FX1039" s="44"/>
      <c r="GA1039" s="44"/>
    </row>
    <row r="1040" spans="1:235" x14ac:dyDescent="0.25">
      <c r="FX1040" s="44"/>
      <c r="GA1040" s="44"/>
    </row>
  </sheetData>
  <mergeCells count="1">
    <mergeCell ref="AJ1:AL1"/>
  </mergeCells>
  <phoneticPr fontId="3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C6AD-BD89-4AD1-BB05-88D572F4AE28}">
  <dimension ref="A1:G875"/>
  <sheetViews>
    <sheetView tabSelected="1" workbookViewId="0">
      <selection activeCell="N26" sqref="N26"/>
    </sheetView>
  </sheetViews>
  <sheetFormatPr defaultRowHeight="13.8" x14ac:dyDescent="0.25"/>
  <cols>
    <col min="1" max="1" width="16.5546875" style="76" customWidth="1"/>
    <col min="2" max="2" width="12.77734375" style="76" customWidth="1"/>
    <col min="3" max="3" width="16.77734375" style="76" customWidth="1"/>
    <col min="4" max="5" width="15.6640625" style="76" customWidth="1"/>
    <col min="6" max="6" width="14.44140625" style="76" customWidth="1"/>
    <col min="7" max="7" width="8.88671875" style="15"/>
  </cols>
  <sheetData>
    <row r="1" spans="1:6" x14ac:dyDescent="0.25">
      <c r="A1" s="76" t="s">
        <v>2477</v>
      </c>
      <c r="B1" s="76" t="s">
        <v>2472</v>
      </c>
      <c r="C1" s="76" t="s">
        <v>2473</v>
      </c>
      <c r="D1" s="76" t="s">
        <v>2474</v>
      </c>
      <c r="E1" s="76" t="s">
        <v>2475</v>
      </c>
      <c r="F1" s="76" t="s">
        <v>2476</v>
      </c>
    </row>
    <row r="2" spans="1:6" x14ac:dyDescent="0.25">
      <c r="B2" s="76">
        <v>0.1658146199531727</v>
      </c>
      <c r="D2" s="76">
        <v>1.6967728616640552</v>
      </c>
    </row>
    <row r="3" spans="1:6" x14ac:dyDescent="0.25">
      <c r="B3" s="76">
        <v>0.77344422581477335</v>
      </c>
      <c r="D3" s="76">
        <v>1.6967728616640552</v>
      </c>
    </row>
    <row r="4" spans="1:6" x14ac:dyDescent="0.25">
      <c r="B4" s="76">
        <v>0.10391018908017968</v>
      </c>
      <c r="D4" s="76">
        <v>1.6730050881820395</v>
      </c>
    </row>
    <row r="5" spans="1:6" x14ac:dyDescent="0.25">
      <c r="B5" s="76">
        <v>0.74111817879762376</v>
      </c>
      <c r="D5" s="76">
        <v>1.6730050881820395</v>
      </c>
    </row>
    <row r="6" spans="1:6" x14ac:dyDescent="0.25">
      <c r="B6" s="76">
        <v>9.8087756328746334E-2</v>
      </c>
      <c r="D6" s="76">
        <v>1.6370153015633651</v>
      </c>
    </row>
    <row r="7" spans="1:6" x14ac:dyDescent="0.25">
      <c r="B7" s="76">
        <v>0.66432139521771227</v>
      </c>
      <c r="D7" s="76">
        <v>1.6370153015633651</v>
      </c>
    </row>
    <row r="8" spans="1:6" x14ac:dyDescent="0.25">
      <c r="B8" s="76">
        <v>9.2231224216033469E-2</v>
      </c>
      <c r="D8" s="76">
        <v>1.5285858158050056</v>
      </c>
    </row>
    <row r="9" spans="1:6" x14ac:dyDescent="0.25">
      <c r="B9" s="76">
        <v>0.61431097464305062</v>
      </c>
      <c r="D9" s="76">
        <v>1.5285858158050056</v>
      </c>
    </row>
    <row r="10" spans="1:6" x14ac:dyDescent="0.25">
      <c r="A10" s="76">
        <v>5.3796878636475807</v>
      </c>
      <c r="B10" s="76">
        <v>0.20233355180041634</v>
      </c>
      <c r="D10" s="76">
        <v>1.5173226235262949</v>
      </c>
    </row>
    <row r="11" spans="1:6" x14ac:dyDescent="0.25">
      <c r="B11" s="76">
        <v>8.7816206006916753E-2</v>
      </c>
      <c r="D11" s="76">
        <v>1.4895166701121647</v>
      </c>
    </row>
    <row r="12" spans="1:6" x14ac:dyDescent="0.25">
      <c r="B12" s="76">
        <v>0.27927866165540149</v>
      </c>
      <c r="D12" s="76">
        <v>1.4895166701121647</v>
      </c>
    </row>
    <row r="13" spans="1:6" x14ac:dyDescent="0.25">
      <c r="B13" s="76">
        <v>8.6340190978796194E-2</v>
      </c>
      <c r="D13" s="76">
        <v>1.3651996372904758</v>
      </c>
    </row>
    <row r="14" spans="1:6" x14ac:dyDescent="0.25">
      <c r="B14" s="76">
        <v>0.24469188752041271</v>
      </c>
      <c r="D14" s="76">
        <v>1.3651996372904758</v>
      </c>
    </row>
    <row r="15" spans="1:6" x14ac:dyDescent="0.25">
      <c r="B15" s="76">
        <v>7.2957091603166768E-2</v>
      </c>
      <c r="D15" s="76">
        <v>1.3091197049366829</v>
      </c>
    </row>
    <row r="16" spans="1:6" x14ac:dyDescent="0.25">
      <c r="B16" s="76">
        <v>0.22898420204375158</v>
      </c>
      <c r="D16" s="76">
        <v>1.3091197049366829</v>
      </c>
    </row>
    <row r="17" spans="1:6" x14ac:dyDescent="0.25">
      <c r="A17" s="76">
        <v>0.86702405748322686</v>
      </c>
      <c r="B17" s="76">
        <v>5.3050522296933522E-3</v>
      </c>
      <c r="D17" s="76">
        <v>1.1873507033091997</v>
      </c>
    </row>
    <row r="18" spans="1:6" x14ac:dyDescent="0.25">
      <c r="B18" s="76">
        <v>7.1458963982144796E-2</v>
      </c>
      <c r="D18" s="76">
        <v>0.99791545859322572</v>
      </c>
    </row>
    <row r="19" spans="1:6" x14ac:dyDescent="0.25">
      <c r="B19" s="76">
        <v>0.20105259350001781</v>
      </c>
      <c r="D19" s="76">
        <v>0.99791545859322572</v>
      </c>
    </row>
    <row r="20" spans="1:6" x14ac:dyDescent="0.25">
      <c r="A20" s="76">
        <v>4.0651341841222992</v>
      </c>
      <c r="B20" s="76">
        <v>0.11038221075755694</v>
      </c>
      <c r="D20" s="76">
        <v>0.97481118068616301</v>
      </c>
    </row>
    <row r="21" spans="1:6" x14ac:dyDescent="0.25">
      <c r="A21" s="76">
        <v>2.0794415416798357</v>
      </c>
      <c r="B21" s="76">
        <v>8.9231133727942558E-2</v>
      </c>
      <c r="D21" s="76">
        <v>0.94319818479407935</v>
      </c>
    </row>
    <row r="22" spans="1:6" x14ac:dyDescent="0.25">
      <c r="B22" s="76">
        <v>3.325722175648238E-2</v>
      </c>
      <c r="D22" s="76">
        <v>0.90339237052571808</v>
      </c>
    </row>
    <row r="23" spans="1:6" x14ac:dyDescent="0.25">
      <c r="B23" s="76">
        <v>0.1968597152399818</v>
      </c>
      <c r="D23" s="76">
        <v>0.90339237052571808</v>
      </c>
    </row>
    <row r="24" spans="1:6" x14ac:dyDescent="0.25">
      <c r="A24" s="76">
        <v>9.7897794456237364E-2</v>
      </c>
      <c r="B24" s="76">
        <v>0.1786554970305847</v>
      </c>
      <c r="D24" s="76">
        <v>0.84808248184762158</v>
      </c>
    </row>
    <row r="25" spans="1:6" x14ac:dyDescent="0.25">
      <c r="A25" s="76">
        <v>0.35915530899706383</v>
      </c>
      <c r="B25" s="76">
        <v>0.1786554970305847</v>
      </c>
      <c r="D25" s="76">
        <v>0.84808248184762158</v>
      </c>
    </row>
    <row r="26" spans="1:6" x14ac:dyDescent="0.25">
      <c r="A26" s="76">
        <v>2.4692612590371477E-2</v>
      </c>
      <c r="B26" s="76">
        <v>0.16104415834666974</v>
      </c>
      <c r="C26" s="76">
        <v>0.16747898375602577</v>
      </c>
      <c r="D26" s="76">
        <v>0.76459028298178833</v>
      </c>
    </row>
    <row r="27" spans="1:6" x14ac:dyDescent="0.25">
      <c r="A27" s="76">
        <v>-0.11365931847252142</v>
      </c>
      <c r="B27" s="76">
        <v>3.7401517205423396E-2</v>
      </c>
      <c r="C27" s="76">
        <v>-0.28174622447540099</v>
      </c>
      <c r="D27" s="76">
        <v>0.75331570202639808</v>
      </c>
      <c r="E27" s="76">
        <v>4.0890158522871367E-2</v>
      </c>
    </row>
    <row r="28" spans="1:6" x14ac:dyDescent="0.25">
      <c r="A28" s="76">
        <v>0.12034068731259318</v>
      </c>
      <c r="B28" s="76">
        <v>0.1719553044607649</v>
      </c>
      <c r="D28" s="76">
        <v>0.72180243632032148</v>
      </c>
    </row>
    <row r="29" spans="1:6" x14ac:dyDescent="0.25">
      <c r="A29" s="76">
        <v>0.38820890479490089</v>
      </c>
      <c r="B29" s="76">
        <v>0.1719553044607649</v>
      </c>
      <c r="D29" s="76">
        <v>0.72180243632032148</v>
      </c>
    </row>
    <row r="30" spans="1:6" x14ac:dyDescent="0.25">
      <c r="A30" s="76">
        <v>2.7447035187502458</v>
      </c>
      <c r="B30" s="76">
        <v>0.14691962974303863</v>
      </c>
      <c r="D30" s="76">
        <v>0.69979172327861416</v>
      </c>
      <c r="F30" s="76">
        <v>-0.21786649421336596</v>
      </c>
    </row>
    <row r="31" spans="1:6" x14ac:dyDescent="0.25">
      <c r="A31" s="76">
        <v>1.3862943611198899</v>
      </c>
      <c r="B31" s="76">
        <v>0.14691962974303863</v>
      </c>
      <c r="D31" s="76">
        <v>0.69979172327861416</v>
      </c>
      <c r="F31" s="76">
        <v>-0.27501221971072926</v>
      </c>
    </row>
    <row r="32" spans="1:6" x14ac:dyDescent="0.25">
      <c r="A32" s="76">
        <v>9.531017980432499E-2</v>
      </c>
      <c r="B32" s="76">
        <v>0.14296048291337438</v>
      </c>
      <c r="C32" s="76">
        <v>0.17678137641833924</v>
      </c>
      <c r="D32" s="76">
        <v>0.64267667256055905</v>
      </c>
    </row>
    <row r="33" spans="1:6" x14ac:dyDescent="0.25">
      <c r="A33" s="76">
        <v>1.2427126326418665</v>
      </c>
      <c r="B33" s="76">
        <v>0.43927308815469535</v>
      </c>
      <c r="C33" s="76">
        <v>0.18293524199271749</v>
      </c>
      <c r="D33" s="76">
        <v>0.64267667256055905</v>
      </c>
    </row>
    <row r="34" spans="1:6" x14ac:dyDescent="0.25">
      <c r="A34" s="76">
        <v>0.29180578963564274</v>
      </c>
      <c r="B34" s="76">
        <v>0.11506932978478734</v>
      </c>
      <c r="C34" s="76">
        <v>0.48550781578170077</v>
      </c>
      <c r="D34" s="76">
        <v>0.64144580618305458</v>
      </c>
      <c r="E34" s="76">
        <v>4.9585855940715184E-2</v>
      </c>
    </row>
    <row r="35" spans="1:6" x14ac:dyDescent="0.25">
      <c r="A35" s="76">
        <v>0.11686434013931102</v>
      </c>
      <c r="B35" s="76">
        <v>0.18333730091379041</v>
      </c>
      <c r="C35" s="76">
        <v>8.0866698873094833E-2</v>
      </c>
      <c r="D35" s="76">
        <v>0.6332490389788763</v>
      </c>
      <c r="E35" s="76">
        <v>0.132850766865098</v>
      </c>
    </row>
    <row r="36" spans="1:6" x14ac:dyDescent="0.25">
      <c r="A36" s="76">
        <v>0.65526330847292691</v>
      </c>
      <c r="B36" s="76">
        <v>0.1193690788120183</v>
      </c>
      <c r="C36" s="76">
        <v>1.054160526097276</v>
      </c>
      <c r="D36" s="76">
        <v>0.62625294572991486</v>
      </c>
    </row>
    <row r="37" spans="1:6" x14ac:dyDescent="0.25">
      <c r="A37" s="76">
        <v>0.67747287846650228</v>
      </c>
      <c r="B37" s="76">
        <v>0.24580615196009092</v>
      </c>
      <c r="C37" s="76">
        <v>4.0050687116031103E-2</v>
      </c>
      <c r="D37" s="76">
        <v>0.60962238378207001</v>
      </c>
    </row>
    <row r="38" spans="1:6" x14ac:dyDescent="0.25">
      <c r="A38" s="76">
        <v>0.34179021946230681</v>
      </c>
      <c r="B38" s="76">
        <v>5.0394013751406508E-2</v>
      </c>
      <c r="C38" s="76">
        <v>5.6944221451527E-2</v>
      </c>
      <c r="D38" s="76">
        <v>0.60063221235333675</v>
      </c>
    </row>
    <row r="39" spans="1:6" x14ac:dyDescent="0.25">
      <c r="A39" s="76">
        <v>7.9204936096800349E-2</v>
      </c>
      <c r="B39" s="76">
        <v>5.2528486280039255E-2</v>
      </c>
      <c r="C39" s="76">
        <v>3.261570862851304E-2</v>
      </c>
      <c r="D39" s="76">
        <v>0.58516094971848043</v>
      </c>
    </row>
    <row r="40" spans="1:6" x14ac:dyDescent="0.25">
      <c r="A40" s="76">
        <v>0.21484474849951463</v>
      </c>
      <c r="B40" s="76">
        <v>0.18333730091379041</v>
      </c>
      <c r="C40" s="76">
        <v>0.38441169891033211</v>
      </c>
      <c r="D40" s="76">
        <v>0.57390959919256712</v>
      </c>
      <c r="E40" s="76">
        <v>0.16116455345007452</v>
      </c>
    </row>
    <row r="41" spans="1:6" x14ac:dyDescent="0.25">
      <c r="A41" s="76">
        <v>0.25457707391572271</v>
      </c>
      <c r="B41" s="76">
        <v>4.6940024881270581E-2</v>
      </c>
      <c r="C41" s="76">
        <v>0.22314355131420971</v>
      </c>
      <c r="D41" s="76">
        <v>0.55094039151615259</v>
      </c>
      <c r="E41" s="76">
        <v>7.4107972153722557E-2</v>
      </c>
      <c r="F41" s="76">
        <v>-8.4388686458646556E-3</v>
      </c>
    </row>
    <row r="42" spans="1:6" x14ac:dyDescent="0.25">
      <c r="A42" s="76">
        <v>0.58686124121543415</v>
      </c>
      <c r="B42" s="76">
        <v>8.552217343816193E-2</v>
      </c>
      <c r="C42" s="76">
        <v>-1.0101095986503772E-2</v>
      </c>
      <c r="D42" s="76">
        <v>0.53062825106217026</v>
      </c>
    </row>
    <row r="43" spans="1:6" x14ac:dyDescent="0.25">
      <c r="A43" s="76">
        <v>1.4888612493750619E-2</v>
      </c>
      <c r="B43" s="76">
        <v>0.30748469974796055</v>
      </c>
      <c r="C43" s="76">
        <v>0.20294084399669043</v>
      </c>
      <c r="D43" s="76">
        <v>0.52362287336746149</v>
      </c>
      <c r="E43" s="76">
        <v>0.29824586616008908</v>
      </c>
    </row>
    <row r="44" spans="1:6" x14ac:dyDescent="0.25">
      <c r="A44" s="76">
        <v>0.48267071241806114</v>
      </c>
      <c r="B44" s="76">
        <v>6.0519761542653372E-2</v>
      </c>
      <c r="C44" s="76">
        <v>-3.4367643504207734E-2</v>
      </c>
      <c r="D44" s="76">
        <v>0.51194858851061431</v>
      </c>
    </row>
    <row r="45" spans="1:6" x14ac:dyDescent="0.25">
      <c r="A45" s="76">
        <v>0.12738043876265337</v>
      </c>
      <c r="B45" s="76">
        <v>0.14165051706302689</v>
      </c>
      <c r="D45" s="76">
        <v>0.50209194379723598</v>
      </c>
    </row>
    <row r="46" spans="1:6" x14ac:dyDescent="0.25">
      <c r="A46" s="76">
        <v>3.4310503448118368</v>
      </c>
      <c r="B46" s="76">
        <v>6.4252439030055841E-2</v>
      </c>
      <c r="D46" s="76">
        <v>0.49956243148727997</v>
      </c>
    </row>
    <row r="47" spans="1:6" x14ac:dyDescent="0.25">
      <c r="A47" s="76">
        <v>0.41369560724468002</v>
      </c>
      <c r="B47" s="76">
        <v>0.17824823140631874</v>
      </c>
      <c r="C47" s="76">
        <v>0.27193371548364165</v>
      </c>
      <c r="D47" s="76">
        <v>0.49677387031033993</v>
      </c>
      <c r="E47" s="76">
        <v>0.17664162442269227</v>
      </c>
    </row>
    <row r="48" spans="1:6" x14ac:dyDescent="0.25">
      <c r="A48" s="76">
        <v>0.6931471805599454</v>
      </c>
      <c r="B48" s="76">
        <v>0.12317135840407345</v>
      </c>
      <c r="D48" s="76">
        <v>0.49294519848814167</v>
      </c>
      <c r="F48" s="76">
        <v>-0.14953173397096375</v>
      </c>
    </row>
    <row r="49" spans="1:6" x14ac:dyDescent="0.25">
      <c r="A49" s="76">
        <v>0.32948925486746816</v>
      </c>
      <c r="B49" s="76">
        <v>0.10494289193072937</v>
      </c>
      <c r="D49" s="76">
        <v>0.49294519848814167</v>
      </c>
      <c r="F49" s="76">
        <v>-0.12648414710911959</v>
      </c>
    </row>
    <row r="50" spans="1:6" x14ac:dyDescent="0.25">
      <c r="A50" s="76">
        <v>0.14791681442125793</v>
      </c>
      <c r="D50" s="76">
        <v>0.48022518331727371</v>
      </c>
      <c r="F50" s="76">
        <v>-7.4767907504010855E-2</v>
      </c>
    </row>
    <row r="51" spans="1:6" x14ac:dyDescent="0.25">
      <c r="A51" s="76">
        <v>0.10925738232969628</v>
      </c>
      <c r="D51" s="76">
        <v>0.48022518331727371</v>
      </c>
      <c r="F51" s="76">
        <v>-7.4767907504010855E-2</v>
      </c>
    </row>
    <row r="52" spans="1:6" x14ac:dyDescent="0.25">
      <c r="A52" s="76">
        <v>9.592076197521493E-2</v>
      </c>
      <c r="D52" s="76">
        <v>0.48022518331727371</v>
      </c>
      <c r="F52" s="76">
        <v>-7.4767907504010855E-2</v>
      </c>
    </row>
    <row r="53" spans="1:6" x14ac:dyDescent="0.25">
      <c r="A53" s="76">
        <v>9.458039075130209E-2</v>
      </c>
      <c r="D53" s="76">
        <v>0.48022518331727371</v>
      </c>
      <c r="F53" s="76">
        <v>-7.4767907504010855E-2</v>
      </c>
    </row>
    <row r="54" spans="1:6" x14ac:dyDescent="0.25">
      <c r="A54" s="76">
        <v>7.9990260448543182E-2</v>
      </c>
      <c r="D54" s="76">
        <v>0.48022518331727371</v>
      </c>
      <c r="F54" s="76">
        <v>-7.4767907504010855E-2</v>
      </c>
    </row>
    <row r="55" spans="1:6" x14ac:dyDescent="0.25">
      <c r="A55" s="76">
        <v>6.8714850666308891E-2</v>
      </c>
      <c r="D55" s="76">
        <v>0.48022518331727371</v>
      </c>
      <c r="F55" s="76">
        <v>-7.4767907504010855E-2</v>
      </c>
    </row>
    <row r="56" spans="1:6" x14ac:dyDescent="0.25">
      <c r="A56" s="76">
        <v>6.2244136067084455E-2</v>
      </c>
      <c r="D56" s="76">
        <v>0.48022518331727371</v>
      </c>
      <c r="F56" s="76">
        <v>-7.4767907504010855E-2</v>
      </c>
    </row>
    <row r="57" spans="1:6" x14ac:dyDescent="0.25">
      <c r="A57" s="76">
        <v>5.1501249274322092E-2</v>
      </c>
      <c r="D57" s="76">
        <v>0.48022518331727371</v>
      </c>
      <c r="F57" s="76">
        <v>-7.4767907504010855E-2</v>
      </c>
    </row>
    <row r="58" spans="1:6" x14ac:dyDescent="0.25">
      <c r="A58" s="76">
        <v>4.073529125424713E-2</v>
      </c>
      <c r="D58" s="76">
        <v>0.48022518331727371</v>
      </c>
      <c r="F58" s="76">
        <v>-7.4767907504010855E-2</v>
      </c>
    </row>
    <row r="59" spans="1:6" x14ac:dyDescent="0.25">
      <c r="A59" s="76">
        <v>2.7089692646663721E-2</v>
      </c>
      <c r="D59" s="76">
        <v>0.48022518331727371</v>
      </c>
      <c r="F59" s="76">
        <v>-7.4767907504010855E-2</v>
      </c>
    </row>
    <row r="60" spans="1:6" x14ac:dyDescent="0.25">
      <c r="A60" s="76">
        <v>2.4235713894881883E-2</v>
      </c>
      <c r="D60" s="76">
        <v>0.48022518331727371</v>
      </c>
      <c r="F60" s="76">
        <v>-7.4767907504010855E-2</v>
      </c>
    </row>
    <row r="61" spans="1:6" x14ac:dyDescent="0.25">
      <c r="A61" s="76">
        <v>8.0485381754424878E-3</v>
      </c>
      <c r="D61" s="76">
        <v>0.48022518331727371</v>
      </c>
      <c r="F61" s="76">
        <v>-7.4767907504010855E-2</v>
      </c>
    </row>
    <row r="62" spans="1:6" x14ac:dyDescent="0.25">
      <c r="A62" s="76">
        <v>7.0796755880611073E-3</v>
      </c>
      <c r="D62" s="76">
        <v>0.48022518331727371</v>
      </c>
      <c r="F62" s="76">
        <v>-7.4767907504010855E-2</v>
      </c>
    </row>
    <row r="63" spans="1:6" x14ac:dyDescent="0.25">
      <c r="A63" s="76">
        <v>-2.6671115283985358E-2</v>
      </c>
      <c r="D63" s="76">
        <v>0.48022518331727371</v>
      </c>
      <c r="F63" s="76">
        <v>-7.4767907504010855E-2</v>
      </c>
    </row>
    <row r="64" spans="1:6" x14ac:dyDescent="0.25">
      <c r="A64" s="76">
        <v>4.8567966634910587E-2</v>
      </c>
      <c r="B64" s="76">
        <v>0.1729141496920592</v>
      </c>
      <c r="C64" s="76">
        <v>2.5125036899355635E-2</v>
      </c>
      <c r="D64" s="76">
        <v>0.46546535562422964</v>
      </c>
    </row>
    <row r="65" spans="1:6" x14ac:dyDescent="0.25">
      <c r="A65" s="76">
        <v>7.4107972153722557E-2</v>
      </c>
      <c r="B65" s="76">
        <v>6.0894831230373425E-2</v>
      </c>
      <c r="D65" s="76">
        <v>0.46405927237421718</v>
      </c>
      <c r="F65" s="76">
        <v>-0.15565330971179342</v>
      </c>
    </row>
    <row r="66" spans="1:6" x14ac:dyDescent="0.25">
      <c r="A66" s="76">
        <v>0.44950282516760964</v>
      </c>
      <c r="B66" s="76">
        <v>4.0250402621297532E-2</v>
      </c>
      <c r="C66" s="76">
        <v>1.7227665977411035</v>
      </c>
      <c r="D66" s="76">
        <v>0.46262352194811296</v>
      </c>
    </row>
    <row r="67" spans="1:6" x14ac:dyDescent="0.25">
      <c r="A67" s="76">
        <v>0.32233422212368801</v>
      </c>
      <c r="B67" s="76">
        <v>3.5209001482485736E-2</v>
      </c>
      <c r="D67" s="76">
        <v>0.45092748218492185</v>
      </c>
    </row>
    <row r="68" spans="1:6" x14ac:dyDescent="0.25">
      <c r="A68" s="76">
        <v>0.11411330676742004</v>
      </c>
      <c r="B68" s="76">
        <v>3.6094143635843956E-2</v>
      </c>
      <c r="D68" s="76">
        <v>0.43936665978384593</v>
      </c>
      <c r="F68" s="76">
        <v>-0.13752979859121794</v>
      </c>
    </row>
    <row r="69" spans="1:6" x14ac:dyDescent="0.25">
      <c r="A69" s="76">
        <v>0.11191791620398561</v>
      </c>
      <c r="B69" s="76">
        <v>3.6094143635843956E-2</v>
      </c>
      <c r="D69" s="76">
        <v>0.43936665978384593</v>
      </c>
      <c r="F69" s="76">
        <v>-0.14242034004176857</v>
      </c>
    </row>
    <row r="70" spans="1:6" x14ac:dyDescent="0.25">
      <c r="A70" s="76">
        <v>0.39533865472745511</v>
      </c>
      <c r="B70" s="76">
        <v>4.7006042375930424E-2</v>
      </c>
      <c r="C70" s="76">
        <v>1.5723966407537511</v>
      </c>
      <c r="D70" s="76">
        <v>0.43498754737448619</v>
      </c>
    </row>
    <row r="71" spans="1:6" x14ac:dyDescent="0.25">
      <c r="A71" s="76">
        <v>0.18255495625819584</v>
      </c>
      <c r="B71" s="76">
        <v>4.3406452299959541E-2</v>
      </c>
      <c r="C71" s="76">
        <v>0.26826398659467943</v>
      </c>
      <c r="D71" s="76">
        <v>0.43449694078882573</v>
      </c>
      <c r="E71" s="76">
        <v>6.385147198653307E-2</v>
      </c>
      <c r="F71" s="76">
        <v>-2.9199154692262141E-2</v>
      </c>
    </row>
    <row r="72" spans="1:6" x14ac:dyDescent="0.25">
      <c r="A72" s="76">
        <v>0.20186615286692522</v>
      </c>
      <c r="B72" s="76">
        <v>5.3664141737227444E-2</v>
      </c>
      <c r="D72" s="76">
        <v>0.42929244418872203</v>
      </c>
      <c r="F72" s="76">
        <v>-9.97894706083709E-2</v>
      </c>
    </row>
    <row r="73" spans="1:6" x14ac:dyDescent="0.25">
      <c r="A73" s="76">
        <v>0.68878987519098978</v>
      </c>
      <c r="B73" s="76">
        <v>3.6813973122716392E-2</v>
      </c>
      <c r="D73" s="76">
        <v>0.40964047951864568</v>
      </c>
      <c r="F73" s="76">
        <v>-0.13431233760759392</v>
      </c>
    </row>
    <row r="74" spans="1:6" x14ac:dyDescent="0.25">
      <c r="A74" s="76">
        <v>0.59369510158828565</v>
      </c>
      <c r="B74" s="76">
        <v>6.4408575065008522E-2</v>
      </c>
      <c r="D74" s="76">
        <v>0.40964047951864568</v>
      </c>
      <c r="F74" s="76">
        <v>-4.5462374076757406E-2</v>
      </c>
    </row>
    <row r="75" spans="1:6" x14ac:dyDescent="0.25">
      <c r="A75" s="76">
        <v>0.4344884410966614</v>
      </c>
      <c r="B75" s="76">
        <v>0.14199729377697801</v>
      </c>
      <c r="D75" s="76">
        <v>0.40654607243350593</v>
      </c>
    </row>
    <row r="76" spans="1:6" x14ac:dyDescent="0.25">
      <c r="A76" s="76">
        <v>1.1745101458281226E-2</v>
      </c>
      <c r="B76" s="76">
        <v>0.31508104663989545</v>
      </c>
      <c r="D76" s="76">
        <v>0.39204208777602378</v>
      </c>
    </row>
    <row r="77" spans="1:6" x14ac:dyDescent="0.25">
      <c r="A77" s="76">
        <v>0.3579530613720614</v>
      </c>
      <c r="B77" s="76">
        <v>0.14912088762171716</v>
      </c>
      <c r="D77" s="76">
        <v>0.39054429934595847</v>
      </c>
    </row>
    <row r="78" spans="1:6" x14ac:dyDescent="0.25">
      <c r="A78" s="76">
        <v>7.4019456995443988E-2</v>
      </c>
      <c r="B78" s="76">
        <v>0.10416219316571751</v>
      </c>
      <c r="D78" s="76">
        <v>0.38467433843909093</v>
      </c>
    </row>
    <row r="79" spans="1:6" x14ac:dyDescent="0.25">
      <c r="A79" s="76">
        <v>0.41698786934494425</v>
      </c>
      <c r="B79" s="76">
        <v>0.10416219316571751</v>
      </c>
      <c r="D79" s="76">
        <v>0.38467433843909093</v>
      </c>
    </row>
    <row r="80" spans="1:6" x14ac:dyDescent="0.25">
      <c r="A80" s="76">
        <v>0.35338743455970523</v>
      </c>
      <c r="B80" s="76">
        <v>4.1777169594582775E-2</v>
      </c>
      <c r="D80" s="76">
        <v>0.37396644104879329</v>
      </c>
    </row>
    <row r="81" spans="1:6" x14ac:dyDescent="0.25">
      <c r="A81" s="76">
        <v>0.54553047466855809</v>
      </c>
      <c r="B81" s="76">
        <v>5.0149783685471405E-2</v>
      </c>
      <c r="D81" s="76">
        <v>0.37051807803092984</v>
      </c>
      <c r="F81" s="76">
        <v>-7.9681696491768761E-3</v>
      </c>
    </row>
    <row r="82" spans="1:6" x14ac:dyDescent="0.25">
      <c r="A82" s="76">
        <v>0.37948962170490397</v>
      </c>
      <c r="B82" s="76">
        <v>4.4280573663456835E-2</v>
      </c>
      <c r="D82" s="76">
        <v>0.37051807803092984</v>
      </c>
      <c r="F82" s="76">
        <v>-8.3682496705166087E-3</v>
      </c>
    </row>
    <row r="83" spans="1:6" x14ac:dyDescent="0.25">
      <c r="A83" s="76">
        <v>9.0971778205727105E-2</v>
      </c>
      <c r="B83" s="76">
        <v>7.3051168884956219E-2</v>
      </c>
      <c r="C83" s="76">
        <v>0.28286278601583215</v>
      </c>
      <c r="D83" s="76">
        <v>0.36915488405157149</v>
      </c>
      <c r="E83" s="76">
        <v>5.3488684950986354E-2</v>
      </c>
      <c r="F83" s="76">
        <v>-4.7252884850545462E-2</v>
      </c>
    </row>
    <row r="84" spans="1:6" x14ac:dyDescent="0.25">
      <c r="A84" s="76">
        <v>-1.1111225425072035E-2</v>
      </c>
      <c r="B84" s="76">
        <v>7.2483276426720256E-2</v>
      </c>
      <c r="C84" s="76">
        <v>7.0874339586656898E-2</v>
      </c>
      <c r="D84" s="76">
        <v>0.35976295462730912</v>
      </c>
    </row>
    <row r="85" spans="1:6" x14ac:dyDescent="0.25">
      <c r="A85" s="76">
        <v>0.9415651549693953</v>
      </c>
      <c r="B85" s="76">
        <v>-5.5504305306490753E-3</v>
      </c>
      <c r="D85" s="76">
        <v>0.35774963506849744</v>
      </c>
      <c r="F85" s="76">
        <v>-0.15565330971179342</v>
      </c>
    </row>
    <row r="86" spans="1:6" x14ac:dyDescent="0.25">
      <c r="A86" s="76">
        <v>0.41702819627700194</v>
      </c>
      <c r="B86" s="76">
        <v>1.2856008101534089E-2</v>
      </c>
      <c r="D86" s="76">
        <v>0.35774963506849744</v>
      </c>
      <c r="F86" s="76">
        <v>-6.3513405722325889E-2</v>
      </c>
    </row>
    <row r="87" spans="1:6" x14ac:dyDescent="0.25">
      <c r="A87" s="76">
        <v>2.7451653336911388</v>
      </c>
      <c r="B87" s="76">
        <v>1.9418085857101364E-2</v>
      </c>
      <c r="C87" s="76">
        <v>1.1284652518177907</v>
      </c>
      <c r="D87" s="76">
        <v>0.34764553721933789</v>
      </c>
    </row>
    <row r="88" spans="1:6" x14ac:dyDescent="0.25">
      <c r="A88" s="76">
        <v>0.32238146594018247</v>
      </c>
      <c r="B88" s="76">
        <v>5.0552279162831004E-2</v>
      </c>
      <c r="D88" s="76">
        <v>0.33647223662121295</v>
      </c>
    </row>
    <row r="89" spans="1:6" x14ac:dyDescent="0.25">
      <c r="A89" s="76">
        <v>7.7117303344429899E-2</v>
      </c>
      <c r="B89" s="76">
        <v>0.29460251529635451</v>
      </c>
      <c r="D89" s="76">
        <v>0.33647223662121295</v>
      </c>
    </row>
    <row r="90" spans="1:6" x14ac:dyDescent="0.25">
      <c r="A90" s="76">
        <v>5.4466874909111951E-2</v>
      </c>
      <c r="B90" s="76">
        <v>0.30147539458411665</v>
      </c>
      <c r="D90" s="76">
        <v>0.33647223662121295</v>
      </c>
    </row>
    <row r="91" spans="1:6" x14ac:dyDescent="0.25">
      <c r="B91" s="76">
        <v>5.6203096558557375E-2</v>
      </c>
      <c r="C91" s="76">
        <v>9.2398077202255013E-2</v>
      </c>
      <c r="D91" s="76">
        <v>0.31845373111853448</v>
      </c>
      <c r="F91" s="76">
        <v>-9.8981833548850817E-2</v>
      </c>
    </row>
    <row r="92" spans="1:6" x14ac:dyDescent="0.25">
      <c r="A92" s="76">
        <v>1.9826959058718234</v>
      </c>
      <c r="B92" s="76">
        <v>0.37423824876592304</v>
      </c>
      <c r="C92" s="76">
        <v>0.20863342664889029</v>
      </c>
      <c r="D92" s="76">
        <v>0.2962658161431726</v>
      </c>
      <c r="E92" s="76">
        <v>1.1591570924695762</v>
      </c>
    </row>
    <row r="93" spans="1:6" x14ac:dyDescent="0.25">
      <c r="A93" s="76">
        <v>0.1098559678018125</v>
      </c>
      <c r="B93" s="76">
        <v>-2.9439355450681548E-2</v>
      </c>
      <c r="D93" s="76">
        <v>0.2949232337083405</v>
      </c>
    </row>
    <row r="94" spans="1:6" x14ac:dyDescent="0.25">
      <c r="B94" s="76">
        <v>5.6807290240835639E-2</v>
      </c>
      <c r="C94" s="76">
        <v>4.9745274079670221E-2</v>
      </c>
      <c r="D94" s="76">
        <v>0.29161135059167043</v>
      </c>
      <c r="F94" s="76">
        <v>-8.894748601649613E-2</v>
      </c>
    </row>
    <row r="95" spans="1:6" x14ac:dyDescent="0.25">
      <c r="A95" s="76">
        <v>0.52315623622346941</v>
      </c>
      <c r="B95" s="76">
        <v>2.7283958948468356E-2</v>
      </c>
      <c r="D95" s="76">
        <v>0.29022984453057932</v>
      </c>
    </row>
    <row r="96" spans="1:6" x14ac:dyDescent="0.25">
      <c r="A96" s="76">
        <v>0.17390090131952718</v>
      </c>
      <c r="B96" s="76">
        <v>0.1101549190883333</v>
      </c>
      <c r="D96" s="76">
        <v>0.273251339661158</v>
      </c>
    </row>
    <row r="97" spans="1:6" x14ac:dyDescent="0.25">
      <c r="A97" s="76">
        <v>0.13515497126682163</v>
      </c>
      <c r="B97" s="76">
        <v>8.6245152141782633E-2</v>
      </c>
      <c r="D97" s="76">
        <v>0.26769123795839178</v>
      </c>
    </row>
    <row r="98" spans="1:6" x14ac:dyDescent="0.25">
      <c r="A98" s="76">
        <v>3.1692299497754206E-2</v>
      </c>
      <c r="B98" s="76">
        <v>1.9821612039911951E-3</v>
      </c>
      <c r="C98" s="76">
        <v>-3.8823441082903809E-2</v>
      </c>
      <c r="D98" s="76">
        <v>0.26506398386400853</v>
      </c>
      <c r="E98" s="76">
        <v>-0.10702124719842798</v>
      </c>
    </row>
    <row r="99" spans="1:6" x14ac:dyDescent="0.25">
      <c r="B99" s="76">
        <v>0.18197135542459031</v>
      </c>
      <c r="D99" s="76">
        <v>0.26476440277038371</v>
      </c>
    </row>
    <row r="100" spans="1:6" x14ac:dyDescent="0.25">
      <c r="B100" s="76">
        <v>5.0277153291010235E-2</v>
      </c>
      <c r="C100" s="76">
        <v>8.6239474211047717E-2</v>
      </c>
      <c r="D100" s="76">
        <v>0.25995752443692632</v>
      </c>
      <c r="F100" s="76">
        <v>-0.1035406789408404</v>
      </c>
    </row>
    <row r="101" spans="1:6" x14ac:dyDescent="0.25">
      <c r="A101" s="76">
        <v>8.4706697472162418E-2</v>
      </c>
      <c r="B101" s="76">
        <v>7.0855936767344696E-2</v>
      </c>
      <c r="C101" s="76">
        <v>4.4206092504495587E-2</v>
      </c>
      <c r="D101" s="76">
        <v>0.25759478006845571</v>
      </c>
    </row>
    <row r="102" spans="1:6" x14ac:dyDescent="0.25">
      <c r="A102" s="76">
        <v>0.12516314295400477</v>
      </c>
      <c r="B102" s="76">
        <v>9.2308347755305498E-3</v>
      </c>
      <c r="C102" s="76">
        <v>3.2061932459662934E-2</v>
      </c>
      <c r="D102" s="76">
        <v>0.24956311434817113</v>
      </c>
      <c r="F102" s="76">
        <v>-0.12648414710911959</v>
      </c>
    </row>
    <row r="103" spans="1:6" x14ac:dyDescent="0.25">
      <c r="A103" s="76">
        <v>0.27796533938310652</v>
      </c>
      <c r="B103" s="76">
        <v>3.3460370563681785E-2</v>
      </c>
      <c r="D103" s="76">
        <v>0.24080838749401501</v>
      </c>
      <c r="F103" s="76">
        <v>-0.10648348040245006</v>
      </c>
    </row>
    <row r="104" spans="1:6" x14ac:dyDescent="0.25">
      <c r="A104" s="76">
        <v>0.11629604653480463</v>
      </c>
      <c r="B104" s="76">
        <v>2.2989518224698857E-2</v>
      </c>
      <c r="D104" s="76">
        <v>0.24080838749401501</v>
      </c>
      <c r="F104" s="76">
        <v>-0.14953173397096375</v>
      </c>
    </row>
    <row r="105" spans="1:6" x14ac:dyDescent="0.25">
      <c r="A105" s="76">
        <v>0.10008345855698231</v>
      </c>
      <c r="B105" s="76">
        <v>3.6094143635843956E-2</v>
      </c>
      <c r="D105" s="76">
        <v>0.24023798467350943</v>
      </c>
      <c r="F105" s="76">
        <v>-3.0153038170687558E-2</v>
      </c>
    </row>
    <row r="106" spans="1:6" x14ac:dyDescent="0.25">
      <c r="B106" s="76">
        <v>0</v>
      </c>
      <c r="D106" s="76">
        <v>0.23017757797159</v>
      </c>
    </row>
    <row r="107" spans="1:6" x14ac:dyDescent="0.25">
      <c r="A107" s="76">
        <v>1.5292825858066745</v>
      </c>
      <c r="B107" s="76">
        <v>0.14571181118139376</v>
      </c>
      <c r="D107" s="76">
        <v>0.22471711576164033</v>
      </c>
    </row>
    <row r="108" spans="1:6" x14ac:dyDescent="0.25">
      <c r="A108" s="76">
        <v>0.51214925069649908</v>
      </c>
      <c r="B108" s="76">
        <v>0.14571181118139376</v>
      </c>
      <c r="D108" s="76">
        <v>0.22471711576164033</v>
      </c>
    </row>
    <row r="109" spans="1:6" x14ac:dyDescent="0.25">
      <c r="A109" s="76">
        <v>5.1439911204761657E-2</v>
      </c>
      <c r="B109" s="76">
        <v>8.4962278290856563E-3</v>
      </c>
      <c r="D109" s="76">
        <v>0.22314355131420971</v>
      </c>
    </row>
    <row r="110" spans="1:6" x14ac:dyDescent="0.25">
      <c r="B110" s="76">
        <v>0.17445239214461106</v>
      </c>
      <c r="D110" s="76">
        <v>0.22170069833793482</v>
      </c>
    </row>
    <row r="111" spans="1:6" x14ac:dyDescent="0.25">
      <c r="A111" s="76">
        <v>8.1345639453953567E-2</v>
      </c>
      <c r="B111" s="76">
        <v>4.8516977444607701E-2</v>
      </c>
      <c r="D111" s="76">
        <v>0.20782719599902899</v>
      </c>
    </row>
    <row r="112" spans="1:6" x14ac:dyDescent="0.25">
      <c r="A112" s="76">
        <v>8.8107267510267206E-2</v>
      </c>
      <c r="B112" s="76">
        <v>3.6094143635843956E-2</v>
      </c>
      <c r="D112" s="76">
        <v>0.2068411739682734</v>
      </c>
      <c r="F112" s="76">
        <v>-0.10536051565782639</v>
      </c>
    </row>
    <row r="113" spans="1:6" x14ac:dyDescent="0.25">
      <c r="B113" s="76">
        <v>5.2319623771447388E-2</v>
      </c>
      <c r="C113" s="76">
        <v>2.6404174196510422E-2</v>
      </c>
      <c r="D113" s="76">
        <v>0.2056689207909459</v>
      </c>
      <c r="F113" s="76">
        <v>-0.10008345855698253</v>
      </c>
    </row>
    <row r="114" spans="1:6" x14ac:dyDescent="0.25">
      <c r="A114" s="76">
        <v>0.67217405717966638</v>
      </c>
      <c r="B114" s="76">
        <v>0.30138091680994283</v>
      </c>
      <c r="D114" s="76">
        <v>0.20294084399669021</v>
      </c>
      <c r="F114" s="76">
        <v>-3.2435275753153761E-2</v>
      </c>
    </row>
    <row r="115" spans="1:6" x14ac:dyDescent="0.25">
      <c r="A115" s="76">
        <v>0.48788405452358408</v>
      </c>
      <c r="B115" s="76">
        <v>0.30138091680994283</v>
      </c>
      <c r="D115" s="76">
        <v>0.20294084399669021</v>
      </c>
      <c r="F115" s="76">
        <v>-0.10536051565782639</v>
      </c>
    </row>
    <row r="116" spans="1:6" x14ac:dyDescent="0.25">
      <c r="B116" s="76">
        <v>8.1896276322859229E-2</v>
      </c>
      <c r="D116" s="76">
        <v>0.20275208965170233</v>
      </c>
    </row>
    <row r="117" spans="1:6" x14ac:dyDescent="0.25">
      <c r="B117" s="76">
        <v>0.1658146199531727</v>
      </c>
      <c r="D117" s="76">
        <v>0.20189399475839354</v>
      </c>
    </row>
    <row r="118" spans="1:6" x14ac:dyDescent="0.25">
      <c r="A118" s="76">
        <v>2.2263113156380534</v>
      </c>
      <c r="B118" s="76">
        <v>0.10665837437342618</v>
      </c>
      <c r="C118" s="76">
        <v>7.4963038473455423E-2</v>
      </c>
      <c r="D118" s="76">
        <v>0.19782574332991976</v>
      </c>
      <c r="E118" s="76">
        <v>0.11496201846968157</v>
      </c>
    </row>
    <row r="119" spans="1:6" x14ac:dyDescent="0.25">
      <c r="A119" s="76">
        <v>0.12009215122578709</v>
      </c>
      <c r="B119" s="76">
        <v>3.5650661644961446E-3</v>
      </c>
      <c r="D119" s="76">
        <v>0.19690884482746673</v>
      </c>
    </row>
    <row r="120" spans="1:6" x14ac:dyDescent="0.25">
      <c r="A120" s="76">
        <v>6.8804174439500265E-2</v>
      </c>
      <c r="B120" s="76">
        <v>4.879016416943216E-2</v>
      </c>
      <c r="D120" s="76">
        <v>0.19671029424605413</v>
      </c>
    </row>
    <row r="121" spans="1:6" x14ac:dyDescent="0.25">
      <c r="A121" s="76">
        <v>0.26448208138963381</v>
      </c>
      <c r="B121" s="76">
        <v>1.6878037787351641E-2</v>
      </c>
      <c r="D121" s="76">
        <v>0.19415601444095731</v>
      </c>
    </row>
    <row r="122" spans="1:6" x14ac:dyDescent="0.25">
      <c r="A122" s="76">
        <v>0.52317145958829059</v>
      </c>
      <c r="B122" s="76">
        <v>-4.4850566165351768E-2</v>
      </c>
      <c r="D122" s="76">
        <v>0.19299051314352234</v>
      </c>
      <c r="F122" s="76">
        <v>-7.9681696491768761E-3</v>
      </c>
    </row>
    <row r="123" spans="1:6" x14ac:dyDescent="0.25">
      <c r="A123" s="76">
        <v>6.5776519193970984E-2</v>
      </c>
      <c r="B123" s="76">
        <v>1.7699577099401065E-2</v>
      </c>
      <c r="D123" s="76">
        <v>0.19299051314352234</v>
      </c>
      <c r="F123" s="76">
        <v>-4.08219945202552E-2</v>
      </c>
    </row>
    <row r="124" spans="1:6" x14ac:dyDescent="0.25">
      <c r="A124" s="76">
        <v>2.2347076705909608</v>
      </c>
      <c r="B124" s="76">
        <v>0.16853941727935817</v>
      </c>
      <c r="C124" s="76">
        <v>0.37536529058770002</v>
      </c>
      <c r="D124" s="76">
        <v>0.18746295629437348</v>
      </c>
      <c r="E124" s="76">
        <v>1.6893513292677125</v>
      </c>
    </row>
    <row r="125" spans="1:6" x14ac:dyDescent="0.25">
      <c r="A125" s="76">
        <v>0.55472842173125425</v>
      </c>
      <c r="B125" s="76">
        <v>7.3059570869505208E-2</v>
      </c>
      <c r="D125" s="76">
        <v>0.18583649890139942</v>
      </c>
    </row>
    <row r="126" spans="1:6" x14ac:dyDescent="0.25">
      <c r="A126" s="76">
        <v>8.7866613608392541E-2</v>
      </c>
      <c r="B126" s="76">
        <v>0.28768207245178079</v>
      </c>
      <c r="D126" s="76">
        <v>0.1823215567939549</v>
      </c>
    </row>
    <row r="127" spans="1:6" x14ac:dyDescent="0.25">
      <c r="B127" s="76">
        <v>0.16400297627026994</v>
      </c>
      <c r="D127" s="76">
        <v>0.17617461739217077</v>
      </c>
    </row>
    <row r="128" spans="1:6" x14ac:dyDescent="0.25">
      <c r="A128" s="76">
        <v>6.599616561834587E-2</v>
      </c>
      <c r="B128" s="76">
        <v>4.305948946044702E-2</v>
      </c>
      <c r="D128" s="76">
        <v>0.17473002853527086</v>
      </c>
    </row>
    <row r="129" spans="1:6" x14ac:dyDescent="0.25">
      <c r="A129" s="76">
        <v>0.95165607065892388</v>
      </c>
      <c r="B129" s="76">
        <v>7.5329719404044315E-2</v>
      </c>
      <c r="D129" s="76">
        <v>0.17407165732181262</v>
      </c>
    </row>
    <row r="130" spans="1:6" x14ac:dyDescent="0.25">
      <c r="B130" s="76">
        <v>8.7011376989629685E-2</v>
      </c>
      <c r="D130" s="76">
        <v>0.16665191293041781</v>
      </c>
    </row>
    <row r="131" spans="1:6" x14ac:dyDescent="0.25">
      <c r="A131" s="76">
        <v>0.11122563511022499</v>
      </c>
      <c r="B131" s="76">
        <v>2.0202707317519275E-2</v>
      </c>
      <c r="C131" s="76">
        <v>3.0746086162309005E-2</v>
      </c>
      <c r="D131" s="76">
        <v>0.16524957289530695</v>
      </c>
      <c r="F131" s="76">
        <v>-4.4451762570833664E-2</v>
      </c>
    </row>
    <row r="132" spans="1:6" x14ac:dyDescent="0.25">
      <c r="A132" s="76">
        <v>8.0042707673536384E-2</v>
      </c>
      <c r="B132" s="76">
        <v>2.1297997678934255E-2</v>
      </c>
      <c r="D132" s="76">
        <v>0.16410769681996795</v>
      </c>
    </row>
    <row r="133" spans="1:6" x14ac:dyDescent="0.25">
      <c r="A133" s="76">
        <v>0.27267411999272451</v>
      </c>
      <c r="B133" s="76">
        <v>2.1941808538436858E-2</v>
      </c>
      <c r="D133" s="76">
        <v>0.1607732205877519</v>
      </c>
    </row>
    <row r="134" spans="1:6" x14ac:dyDescent="0.25">
      <c r="A134" s="76">
        <v>8.8107267510267206E-2</v>
      </c>
      <c r="B134" s="76">
        <v>3.3135561596098873E-2</v>
      </c>
      <c r="D134" s="76">
        <v>0.1553814492133907</v>
      </c>
      <c r="F134" s="76">
        <v>-0.10648348040245006</v>
      </c>
    </row>
    <row r="135" spans="1:6" x14ac:dyDescent="0.25">
      <c r="B135" s="76">
        <v>1.2903404835907795E-2</v>
      </c>
      <c r="D135" s="76">
        <v>0.15535622548260708</v>
      </c>
    </row>
    <row r="136" spans="1:6" x14ac:dyDescent="0.25">
      <c r="A136" s="76">
        <v>6.995858860691051E-2</v>
      </c>
      <c r="B136" s="76">
        <v>1.6970104218461568E-2</v>
      </c>
      <c r="D136" s="76">
        <v>0.15011841629931988</v>
      </c>
    </row>
    <row r="137" spans="1:6" x14ac:dyDescent="0.25">
      <c r="A137" s="76">
        <v>1.059360407817028</v>
      </c>
      <c r="B137" s="76">
        <v>0.22850810941236332</v>
      </c>
      <c r="D137" s="76">
        <v>0.15011841629931988</v>
      </c>
    </row>
    <row r="138" spans="1:6" x14ac:dyDescent="0.25">
      <c r="A138" s="76">
        <v>2.3348707564920144</v>
      </c>
      <c r="B138" s="76">
        <v>0.20003476539302523</v>
      </c>
      <c r="C138" s="76">
        <v>0.26727640444451328</v>
      </c>
      <c r="D138" s="76">
        <v>0.15002813507323953</v>
      </c>
      <c r="E138" s="76">
        <v>1.4151833709720276</v>
      </c>
    </row>
    <row r="139" spans="1:6" x14ac:dyDescent="0.25">
      <c r="A139" s="76">
        <v>0.98394938034796997</v>
      </c>
      <c r="B139" s="76">
        <v>0.10416648566521847</v>
      </c>
      <c r="D139" s="76">
        <v>0.14893104573582994</v>
      </c>
    </row>
    <row r="140" spans="1:6" x14ac:dyDescent="0.25">
      <c r="A140" s="76">
        <v>0.12182688494696592</v>
      </c>
      <c r="B140" s="76">
        <v>7.1115451217268033E-2</v>
      </c>
      <c r="D140" s="76">
        <v>0.14743172957851369</v>
      </c>
    </row>
    <row r="141" spans="1:6" x14ac:dyDescent="0.25">
      <c r="A141" s="76">
        <v>6.863218618096667E-2</v>
      </c>
      <c r="B141" s="76">
        <v>2.0112409787095498E-2</v>
      </c>
      <c r="D141" s="76">
        <v>0.14710012183059185</v>
      </c>
    </row>
    <row r="142" spans="1:6" x14ac:dyDescent="0.25">
      <c r="A142" s="76">
        <v>7.003056982890854E-2</v>
      </c>
      <c r="B142" s="76">
        <v>-1.7873105740957573E-3</v>
      </c>
      <c r="D142" s="76">
        <v>0.14606177215085747</v>
      </c>
    </row>
    <row r="143" spans="1:6" x14ac:dyDescent="0.25">
      <c r="A143" s="76">
        <v>0.63342794585832252</v>
      </c>
      <c r="B143" s="76">
        <v>0.17249346785769215</v>
      </c>
      <c r="D143" s="76">
        <v>0.14403937022293789</v>
      </c>
    </row>
    <row r="144" spans="1:6" x14ac:dyDescent="0.25">
      <c r="B144" s="76">
        <v>3.1052723341585153E-2</v>
      </c>
      <c r="D144" s="76">
        <v>0.1428863721779603</v>
      </c>
    </row>
    <row r="145" spans="1:6" x14ac:dyDescent="0.25">
      <c r="A145" s="76">
        <v>0.14077255388108156</v>
      </c>
      <c r="B145" s="76">
        <v>4.0821994520255256E-2</v>
      </c>
      <c r="D145" s="76">
        <v>0.1425333067355421</v>
      </c>
      <c r="F145" s="76">
        <v>-2.9199154692262141E-2</v>
      </c>
    </row>
    <row r="146" spans="1:6" x14ac:dyDescent="0.25">
      <c r="B146" s="76">
        <v>0.13353139262452252</v>
      </c>
      <c r="D146" s="76">
        <v>0.14154017223532867</v>
      </c>
    </row>
    <row r="147" spans="1:6" x14ac:dyDescent="0.25">
      <c r="B147" s="76">
        <v>0.13353139262452252</v>
      </c>
      <c r="D147" s="76">
        <v>0.140819631535682</v>
      </c>
    </row>
    <row r="148" spans="1:6" x14ac:dyDescent="0.25">
      <c r="A148" s="76">
        <v>6.4538521137571081E-2</v>
      </c>
      <c r="B148" s="76">
        <v>9.2308347755305498E-3</v>
      </c>
      <c r="C148" s="76">
        <v>9.1476729367867549E-3</v>
      </c>
      <c r="D148" s="76">
        <v>0.1394195352497456</v>
      </c>
      <c r="F148" s="76">
        <v>1.7544309650909515E-2</v>
      </c>
    </row>
    <row r="149" spans="1:6" x14ac:dyDescent="0.25">
      <c r="A149" s="76">
        <v>4.6603414992766545E-2</v>
      </c>
      <c r="B149" s="76">
        <v>2.4652028998312314E-2</v>
      </c>
      <c r="D149" s="76">
        <v>0.13883644485421609</v>
      </c>
    </row>
    <row r="150" spans="1:6" x14ac:dyDescent="0.25">
      <c r="A150" s="76">
        <v>3.7041271680347876E-2</v>
      </c>
      <c r="B150" s="76">
        <v>4.9089610196523692E-2</v>
      </c>
      <c r="D150" s="76">
        <v>0.13562417329765353</v>
      </c>
    </row>
    <row r="151" spans="1:6" x14ac:dyDescent="0.25">
      <c r="A151" s="76">
        <v>0.16882787188581361</v>
      </c>
      <c r="B151" s="76">
        <v>4.1995121036603189E-2</v>
      </c>
      <c r="D151" s="76">
        <v>0.13284809912339002</v>
      </c>
    </row>
    <row r="152" spans="1:6" x14ac:dyDescent="0.25">
      <c r="B152" s="76">
        <v>1.4733231512984002E-2</v>
      </c>
      <c r="D152" s="76">
        <v>0.13166999100544663</v>
      </c>
    </row>
    <row r="153" spans="1:6" x14ac:dyDescent="0.25">
      <c r="A153" s="76">
        <v>8.8459863574671616E-2</v>
      </c>
      <c r="B153" s="76">
        <v>8.4018856053175828E-2</v>
      </c>
      <c r="D153" s="76">
        <v>0.12929064250786348</v>
      </c>
    </row>
    <row r="154" spans="1:6" x14ac:dyDescent="0.25">
      <c r="A154" s="76">
        <v>0.11228714373145365</v>
      </c>
      <c r="B154" s="76">
        <v>9.8685011407539935E-3</v>
      </c>
      <c r="D154" s="76">
        <v>0.12660562427156208</v>
      </c>
      <c r="F154" s="76">
        <v>5.1959738930711069E-2</v>
      </c>
    </row>
    <row r="155" spans="1:6" x14ac:dyDescent="0.25">
      <c r="A155" s="76">
        <v>9.4264701402773099E-2</v>
      </c>
      <c r="B155" s="76">
        <v>9.8685011407539935E-3</v>
      </c>
      <c r="D155" s="76">
        <v>0.12660562427156208</v>
      </c>
      <c r="F155" s="76">
        <v>-4.9190244190771781E-2</v>
      </c>
    </row>
    <row r="156" spans="1:6" x14ac:dyDescent="0.25">
      <c r="A156" s="76">
        <v>6.8549314149894514E-2</v>
      </c>
      <c r="B156" s="76">
        <v>1.427462779259292E-2</v>
      </c>
      <c r="D156" s="76">
        <v>0.12545430615303488</v>
      </c>
      <c r="F156" s="76">
        <v>-5.9316577156419359E-2</v>
      </c>
    </row>
    <row r="157" spans="1:6" x14ac:dyDescent="0.25">
      <c r="A157" s="76">
        <v>6.553404137907215E-2</v>
      </c>
      <c r="B157" s="76">
        <v>1.427462779259292E-2</v>
      </c>
      <c r="D157" s="76">
        <v>0.12545430615303488</v>
      </c>
      <c r="F157" s="76">
        <v>-5.9963464767557206E-2</v>
      </c>
    </row>
    <row r="158" spans="1:6" x14ac:dyDescent="0.25">
      <c r="A158" s="76">
        <v>2.5317807984290397E-2</v>
      </c>
      <c r="B158" s="76">
        <v>2.6833395303064611E-2</v>
      </c>
      <c r="D158" s="76">
        <v>0.12534687782510456</v>
      </c>
    </row>
    <row r="159" spans="1:6" x14ac:dyDescent="0.25">
      <c r="B159" s="76">
        <v>2.0108952922713419E-2</v>
      </c>
      <c r="C159" s="76">
        <v>1.5037877364540542E-2</v>
      </c>
      <c r="D159" s="76">
        <v>0.12470347850095731</v>
      </c>
      <c r="F159" s="76">
        <v>-1.1236073266925883E-2</v>
      </c>
    </row>
    <row r="160" spans="1:6" x14ac:dyDescent="0.25">
      <c r="A160" s="76">
        <v>8.9891566024677516E-2</v>
      </c>
      <c r="B160" s="76">
        <v>-2.5317807984289953E-2</v>
      </c>
      <c r="D160" s="76">
        <v>0.12455556692989411</v>
      </c>
    </row>
    <row r="161" spans="1:6" x14ac:dyDescent="0.25">
      <c r="A161" s="76">
        <v>2.9905301359203662E-2</v>
      </c>
      <c r="B161" s="76">
        <v>1.9724505347778587E-2</v>
      </c>
      <c r="C161" s="76">
        <v>-4.8452383385946707E-2</v>
      </c>
      <c r="D161" s="76">
        <v>0.12089004720272722</v>
      </c>
      <c r="E161" s="76">
        <v>-4.6520015634893053E-2</v>
      </c>
    </row>
    <row r="162" spans="1:6" x14ac:dyDescent="0.25">
      <c r="A162" s="76">
        <v>3.7041271680347876E-2</v>
      </c>
      <c r="B162" s="76">
        <v>-2.0619287202735759E-2</v>
      </c>
      <c r="D162" s="76">
        <v>0.12047897412729247</v>
      </c>
    </row>
    <row r="163" spans="1:6" x14ac:dyDescent="0.25">
      <c r="B163" s="76">
        <v>0.11871630683938217</v>
      </c>
      <c r="D163" s="76">
        <v>0.11807069782791491</v>
      </c>
    </row>
    <row r="164" spans="1:6" x14ac:dyDescent="0.25">
      <c r="A164" s="76">
        <v>1.8250531973275184</v>
      </c>
      <c r="B164" s="76">
        <v>0.39216807996467451</v>
      </c>
      <c r="C164" s="76">
        <v>0.17501581829122004</v>
      </c>
      <c r="D164" s="76">
        <v>0.11524201898782405</v>
      </c>
      <c r="E164" s="76">
        <v>2.1313057937296898</v>
      </c>
    </row>
    <row r="165" spans="1:6" x14ac:dyDescent="0.25">
      <c r="A165" s="76">
        <v>1.3272985636335832E-2</v>
      </c>
      <c r="B165" s="76">
        <v>0.24512245803298494</v>
      </c>
      <c r="D165" s="76">
        <v>0.11332868530700324</v>
      </c>
    </row>
    <row r="166" spans="1:6" x14ac:dyDescent="0.25">
      <c r="B166" s="76">
        <v>0.30606494305231435</v>
      </c>
      <c r="D166" s="76">
        <v>0.11281157765090555</v>
      </c>
    </row>
    <row r="167" spans="1:6" x14ac:dyDescent="0.25">
      <c r="B167" s="76">
        <v>0.24842425285867287</v>
      </c>
      <c r="D167" s="76">
        <v>0.11245231772248587</v>
      </c>
    </row>
    <row r="168" spans="1:6" x14ac:dyDescent="0.25">
      <c r="B168" s="76">
        <v>2.6501940745506491E-2</v>
      </c>
      <c r="C168" s="76">
        <v>5.8357814641016859E-3</v>
      </c>
      <c r="D168" s="76">
        <v>0.11163997114266966</v>
      </c>
      <c r="F168" s="76">
        <v>-4.9190244190771781E-2</v>
      </c>
    </row>
    <row r="169" spans="1:6" x14ac:dyDescent="0.25">
      <c r="A169" s="76">
        <v>5.3719593824071765E-2</v>
      </c>
      <c r="B169" s="76">
        <v>4.4640780622620557E-2</v>
      </c>
      <c r="D169" s="76">
        <v>0.10709813555636716</v>
      </c>
    </row>
    <row r="170" spans="1:6" x14ac:dyDescent="0.25">
      <c r="A170" s="76">
        <v>9.7831340873229422E-2</v>
      </c>
      <c r="B170" s="76">
        <v>5.2759487623761592E-2</v>
      </c>
      <c r="D170" s="76">
        <v>0.10617985204122915</v>
      </c>
    </row>
    <row r="171" spans="1:6" x14ac:dyDescent="0.25">
      <c r="B171" s="76">
        <v>0.16391744221697291</v>
      </c>
      <c r="C171" s="76">
        <v>-2.6792516996574811E-2</v>
      </c>
      <c r="D171" s="76">
        <v>0.10536051565782634</v>
      </c>
      <c r="E171" s="76">
        <v>1.1738357099056973</v>
      </c>
    </row>
    <row r="172" spans="1:6" x14ac:dyDescent="0.25">
      <c r="A172" s="76">
        <v>0.10113140206394178</v>
      </c>
      <c r="B172" s="76">
        <v>2.9510338149388637E-2</v>
      </c>
      <c r="D172" s="76">
        <v>0.10493489317853477</v>
      </c>
    </row>
    <row r="173" spans="1:6" x14ac:dyDescent="0.25">
      <c r="B173" s="76">
        <v>0.11296511504304574</v>
      </c>
      <c r="C173" s="76">
        <v>-4.3459569481786753E-2</v>
      </c>
      <c r="D173" s="76">
        <v>0.10088122485377982</v>
      </c>
      <c r="E173" s="76">
        <v>1.1377234187847356</v>
      </c>
    </row>
    <row r="174" spans="1:6" x14ac:dyDescent="0.25">
      <c r="B174" s="76">
        <v>3.774032798284721E-2</v>
      </c>
      <c r="D174" s="76">
        <v>0.10008345855698275</v>
      </c>
    </row>
    <row r="175" spans="1:6" x14ac:dyDescent="0.25">
      <c r="A175" s="76">
        <v>0.11000089521432876</v>
      </c>
      <c r="B175" s="76">
        <v>2.8899349563348942E-2</v>
      </c>
      <c r="D175" s="76">
        <v>9.7242547555378867E-2</v>
      </c>
      <c r="F175" s="76">
        <v>0.13353139262452274</v>
      </c>
    </row>
    <row r="176" spans="1:6" x14ac:dyDescent="0.25">
      <c r="A176" s="76">
        <v>0.10146638875614311</v>
      </c>
      <c r="B176" s="76">
        <v>5.2185753170570282E-2</v>
      </c>
      <c r="D176" s="76">
        <v>9.6815377086250543E-2</v>
      </c>
    </row>
    <row r="177" spans="1:6" x14ac:dyDescent="0.25">
      <c r="A177" s="76">
        <v>0.18234533546211207</v>
      </c>
      <c r="B177" s="76">
        <v>6.7762102100818788E-2</v>
      </c>
      <c r="D177" s="76">
        <v>9.4893351858908126E-2</v>
      </c>
    </row>
    <row r="178" spans="1:6" x14ac:dyDescent="0.25">
      <c r="A178" s="76">
        <v>1.452338064772742</v>
      </c>
      <c r="B178" s="76">
        <v>8.0328626188707952E-2</v>
      </c>
      <c r="D178" s="76">
        <v>9.4078544212722548E-2</v>
      </c>
    </row>
    <row r="179" spans="1:6" x14ac:dyDescent="0.25">
      <c r="A179" s="76">
        <v>1.0413713699809541</v>
      </c>
      <c r="B179" s="76">
        <v>0.27414340411898275</v>
      </c>
      <c r="D179" s="76">
        <v>9.4028949648276239E-2</v>
      </c>
    </row>
    <row r="180" spans="1:6" x14ac:dyDescent="0.25">
      <c r="A180" s="76">
        <v>4.3510684444184378E-2</v>
      </c>
      <c r="B180" s="76">
        <v>1.3739175883304089E-2</v>
      </c>
      <c r="D180" s="76">
        <v>9.3526058010823476E-2</v>
      </c>
    </row>
    <row r="181" spans="1:6" x14ac:dyDescent="0.25">
      <c r="A181" s="76">
        <v>0.19027953541225706</v>
      </c>
      <c r="B181" s="76">
        <v>5.9104039357704252E-2</v>
      </c>
      <c r="D181" s="76">
        <v>9.340326068765048E-2</v>
      </c>
    </row>
    <row r="182" spans="1:6" x14ac:dyDescent="0.25">
      <c r="A182" s="76">
        <v>1.9982499587337443E-2</v>
      </c>
      <c r="B182" s="76">
        <v>1.662510773613457E-3</v>
      </c>
      <c r="D182" s="76">
        <v>9.3374070777458851E-2</v>
      </c>
    </row>
    <row r="183" spans="1:6" x14ac:dyDescent="0.25">
      <c r="A183" s="76">
        <v>0.43562303564472415</v>
      </c>
      <c r="B183" s="76">
        <v>1.03093696588612E-2</v>
      </c>
      <c r="D183" s="76">
        <v>9.1854001465417667E-2</v>
      </c>
    </row>
    <row r="184" spans="1:6" x14ac:dyDescent="0.25">
      <c r="A184" s="76">
        <v>3.7901911024073698E-2</v>
      </c>
      <c r="B184" s="76">
        <v>8.0000426670761016E-3</v>
      </c>
      <c r="D184" s="76">
        <v>9.1114788574222061E-2</v>
      </c>
    </row>
    <row r="185" spans="1:6" x14ac:dyDescent="0.25">
      <c r="A185" s="76">
        <v>0.24397763821705176</v>
      </c>
      <c r="B185" s="76">
        <v>3.0168200368296816E-2</v>
      </c>
      <c r="D185" s="76">
        <v>8.9490570751060705E-2</v>
      </c>
      <c r="F185" s="76">
        <v>-5.3345980705292728E-2</v>
      </c>
    </row>
    <row r="186" spans="1:6" x14ac:dyDescent="0.25">
      <c r="A186" s="76">
        <v>7.7196493616908057E-2</v>
      </c>
      <c r="B186" s="76">
        <v>5.6161901550209725E-2</v>
      </c>
      <c r="D186" s="76">
        <v>8.7228367334410972E-2</v>
      </c>
    </row>
    <row r="187" spans="1:6" x14ac:dyDescent="0.25">
      <c r="A187" s="76">
        <v>8.5492613963017661E-2</v>
      </c>
      <c r="B187" s="76">
        <v>3.3299414069049238E-2</v>
      </c>
      <c r="D187" s="76">
        <v>8.6328083488497409E-2</v>
      </c>
    </row>
    <row r="188" spans="1:6" x14ac:dyDescent="0.25">
      <c r="A188" s="76">
        <v>6.4092800876197842E-2</v>
      </c>
      <c r="B188" s="76">
        <v>2.5769513179051406E-2</v>
      </c>
      <c r="D188" s="76">
        <v>8.5090673970841468E-2</v>
      </c>
    </row>
    <row r="189" spans="1:6" x14ac:dyDescent="0.25">
      <c r="B189" s="76">
        <v>0.11265601440455053</v>
      </c>
      <c r="D189" s="76">
        <v>8.4548109911891434E-2</v>
      </c>
    </row>
    <row r="190" spans="1:6" x14ac:dyDescent="0.25">
      <c r="A190" s="76">
        <v>7.6633226020915046E-2</v>
      </c>
      <c r="B190" s="76">
        <v>9.9010709827114241E-3</v>
      </c>
      <c r="D190" s="76">
        <v>8.3381608939051333E-2</v>
      </c>
      <c r="F190" s="76">
        <v>-6.8992871486951435E-2</v>
      </c>
    </row>
    <row r="191" spans="1:6" x14ac:dyDescent="0.25">
      <c r="A191" s="76">
        <v>6.8383858069832826E-2</v>
      </c>
      <c r="B191" s="76">
        <v>9.9010709827114241E-3</v>
      </c>
      <c r="D191" s="76">
        <v>8.3381608939051333E-2</v>
      </c>
      <c r="F191" s="76">
        <v>-6.5957967791797356E-2</v>
      </c>
    </row>
    <row r="192" spans="1:6" x14ac:dyDescent="0.25">
      <c r="B192" s="76">
        <v>0.10391018908017968</v>
      </c>
      <c r="D192" s="76">
        <v>8.2969577618841939E-2</v>
      </c>
    </row>
    <row r="193" spans="1:6" x14ac:dyDescent="0.25">
      <c r="A193" s="76">
        <v>8.1890112595777609E-2</v>
      </c>
      <c r="B193" s="76">
        <v>1.957009619409722E-2</v>
      </c>
      <c r="D193" s="76">
        <v>8.2753961028912304E-2</v>
      </c>
    </row>
    <row r="194" spans="1:6" x14ac:dyDescent="0.25">
      <c r="B194" s="76">
        <v>9.8087756328746334E-2</v>
      </c>
      <c r="D194" s="76">
        <v>8.0560440017485302E-2</v>
      </c>
    </row>
    <row r="195" spans="1:6" x14ac:dyDescent="0.25">
      <c r="A195" s="76">
        <v>2.6907452919925134E-2</v>
      </c>
      <c r="B195" s="76">
        <v>4.4095319865224303E-2</v>
      </c>
      <c r="D195" s="76">
        <v>7.7961541469711904E-2</v>
      </c>
    </row>
    <row r="196" spans="1:6" x14ac:dyDescent="0.25">
      <c r="A196" s="76">
        <v>-3.6578446833182454E-2</v>
      </c>
      <c r="B196" s="76">
        <v>0.25158148663474322</v>
      </c>
      <c r="D196" s="76">
        <v>7.6787143213770115E-2</v>
      </c>
    </row>
    <row r="197" spans="1:6" x14ac:dyDescent="0.25">
      <c r="B197" s="76">
        <v>4.9637981091771533E-2</v>
      </c>
      <c r="C197" s="76">
        <v>-6.9204428445734933E-3</v>
      </c>
      <c r="D197" s="76">
        <v>7.6372978784573942E-2</v>
      </c>
      <c r="E197" s="76">
        <v>0.98402925574239708</v>
      </c>
    </row>
    <row r="198" spans="1:6" x14ac:dyDescent="0.25">
      <c r="A198" s="76">
        <v>0.1116610705525396</v>
      </c>
      <c r="B198" s="76">
        <v>6.2576265068453374E-2</v>
      </c>
      <c r="D198" s="76">
        <v>7.4739263164762093E-2</v>
      </c>
    </row>
    <row r="199" spans="1:6" x14ac:dyDescent="0.25">
      <c r="A199" s="76">
        <v>1.8443701551341007E-2</v>
      </c>
      <c r="B199" s="76">
        <v>5.6980211146377968E-3</v>
      </c>
      <c r="D199" s="76">
        <v>7.3652909574765335E-2</v>
      </c>
    </row>
    <row r="200" spans="1:6" x14ac:dyDescent="0.25">
      <c r="B200" s="76">
        <v>9.2231224216033469E-2</v>
      </c>
      <c r="D200" s="76">
        <v>7.3272201106325596E-2</v>
      </c>
    </row>
    <row r="201" spans="1:6" x14ac:dyDescent="0.25">
      <c r="A201" s="76">
        <v>0.14910362122807097</v>
      </c>
      <c r="B201" s="76">
        <v>6.0841659256245073E-2</v>
      </c>
      <c r="D201" s="76">
        <v>7.2305431723014735E-2</v>
      </c>
    </row>
    <row r="202" spans="1:6" x14ac:dyDescent="0.25">
      <c r="B202" s="76">
        <v>8.7816206006916753E-2</v>
      </c>
      <c r="D202" s="76">
        <v>7.1176278467894871E-2</v>
      </c>
    </row>
    <row r="203" spans="1:6" x14ac:dyDescent="0.25">
      <c r="A203" s="76">
        <v>1.1155374857299449E-2</v>
      </c>
      <c r="B203" s="76">
        <v>7.1191100858598588E-2</v>
      </c>
      <c r="D203" s="76">
        <v>6.9562509782047144E-2</v>
      </c>
    </row>
    <row r="204" spans="1:6" x14ac:dyDescent="0.25">
      <c r="A204" s="76">
        <v>6.4538521137571081E-2</v>
      </c>
      <c r="B204" s="76">
        <v>4.6260683887822118E-3</v>
      </c>
      <c r="C204" s="76">
        <v>1.6694494695408402E-3</v>
      </c>
      <c r="D204" s="76">
        <v>6.8467799277460717E-2</v>
      </c>
      <c r="F204" s="76">
        <v>8.3682496705166087E-3</v>
      </c>
    </row>
    <row r="205" spans="1:6" x14ac:dyDescent="0.25">
      <c r="A205" s="76">
        <v>-0.18611121683555787</v>
      </c>
      <c r="B205" s="76">
        <v>0.25903031064773385</v>
      </c>
      <c r="D205" s="76">
        <v>6.80534632450156E-2</v>
      </c>
    </row>
    <row r="206" spans="1:6" x14ac:dyDescent="0.25">
      <c r="B206" s="76">
        <v>8.6340190978796194E-2</v>
      </c>
      <c r="D206" s="76">
        <v>6.7822596338761088E-2</v>
      </c>
    </row>
    <row r="207" spans="1:6" x14ac:dyDescent="0.25">
      <c r="A207" s="76">
        <v>0.10893901085993019</v>
      </c>
      <c r="B207" s="76">
        <v>1.0810916104215806E-2</v>
      </c>
      <c r="D207" s="76">
        <v>6.7252227009167331E-2</v>
      </c>
    </row>
    <row r="208" spans="1:6" x14ac:dyDescent="0.25">
      <c r="B208" s="76">
        <v>0.16548299243112496</v>
      </c>
      <c r="D208" s="76">
        <v>6.5744066792919664E-2</v>
      </c>
    </row>
    <row r="209" spans="1:6" x14ac:dyDescent="0.25">
      <c r="B209" s="76">
        <v>4.2347547829092225E-2</v>
      </c>
      <c r="C209" s="76">
        <v>-4.1061486797773883E-2</v>
      </c>
      <c r="D209" s="76">
        <v>6.1557892999433594E-2</v>
      </c>
      <c r="E209" s="76">
        <v>0.89097292388986515</v>
      </c>
    </row>
    <row r="210" spans="1:6" x14ac:dyDescent="0.25">
      <c r="A210" s="76">
        <v>4.0600975622238522E-2</v>
      </c>
      <c r="B210" s="76">
        <v>6.4319965787559052E-2</v>
      </c>
      <c r="C210" s="76">
        <v>0.11211729812070637</v>
      </c>
      <c r="D210" s="76">
        <v>6.0018009726253041E-2</v>
      </c>
    </row>
    <row r="211" spans="1:6" x14ac:dyDescent="0.25">
      <c r="A211" s="76">
        <v>2.1528517257932425</v>
      </c>
      <c r="B211" s="76">
        <v>0.33024168687057709</v>
      </c>
      <c r="C211" s="76">
        <v>-6.1452779213663655E-2</v>
      </c>
      <c r="D211" s="76">
        <v>6.0018009726253041E-2</v>
      </c>
      <c r="E211" s="76">
        <v>2.1170651494991422</v>
      </c>
    </row>
    <row r="212" spans="1:6" x14ac:dyDescent="0.25">
      <c r="B212" s="76">
        <v>1.8382870600533563E-2</v>
      </c>
      <c r="D212" s="76">
        <v>5.8943889473855204E-2</v>
      </c>
    </row>
    <row r="213" spans="1:6" x14ac:dyDescent="0.25">
      <c r="A213" s="76">
        <v>5.2144267739615557E-2</v>
      </c>
      <c r="B213" s="76">
        <v>4.8981387040269997E-2</v>
      </c>
      <c r="D213" s="76">
        <v>5.7523844138186675E-2</v>
      </c>
    </row>
    <row r="214" spans="1:6" x14ac:dyDescent="0.25">
      <c r="A214" s="76">
        <v>7.2761857326756108E-2</v>
      </c>
      <c r="B214" s="76">
        <v>5.5619715275093462E-2</v>
      </c>
      <c r="D214" s="76">
        <v>5.6958291946854978E-2</v>
      </c>
    </row>
    <row r="215" spans="1:6" x14ac:dyDescent="0.25">
      <c r="A215" s="76">
        <v>5.4701135713056459E-2</v>
      </c>
      <c r="B215" s="76">
        <v>1.4342875359404372E-2</v>
      </c>
      <c r="D215" s="76">
        <v>5.5828449552941972E-2</v>
      </c>
      <c r="F215" s="76">
        <v>-5.3345980705292728E-2</v>
      </c>
    </row>
    <row r="216" spans="1:6" x14ac:dyDescent="0.25">
      <c r="A216" s="76">
        <v>4.701720651670982E-2</v>
      </c>
      <c r="B216" s="76">
        <v>1.4342875359404372E-2</v>
      </c>
      <c r="D216" s="76">
        <v>5.5828449552941972E-2</v>
      </c>
      <c r="F216" s="76">
        <v>-5.3345980705292728E-2</v>
      </c>
    </row>
    <row r="217" spans="1:6" x14ac:dyDescent="0.25">
      <c r="A217" s="76">
        <v>0.12177484997229993</v>
      </c>
      <c r="B217" s="76">
        <v>0.35103560080910934</v>
      </c>
      <c r="D217" s="76">
        <v>5.4808236494995111E-2</v>
      </c>
    </row>
    <row r="218" spans="1:6" x14ac:dyDescent="0.25">
      <c r="A218" s="76">
        <v>5.0191669379419324E-2</v>
      </c>
      <c r="B218" s="76">
        <v>0.13808830181712906</v>
      </c>
      <c r="D218" s="76">
        <v>5.4724899689246431E-2</v>
      </c>
    </row>
    <row r="219" spans="1:6" x14ac:dyDescent="0.25">
      <c r="A219" s="76">
        <v>3.846628082779624E-2</v>
      </c>
      <c r="B219" s="76">
        <v>1.578532293049717E-3</v>
      </c>
      <c r="D219" s="76">
        <v>5.2518034283446369E-2</v>
      </c>
      <c r="F219" s="76">
        <v>-4.8009219186360641E-2</v>
      </c>
    </row>
    <row r="220" spans="1:6" x14ac:dyDescent="0.25">
      <c r="A220" s="76">
        <v>2.5752496102414923E-2</v>
      </c>
      <c r="B220" s="76">
        <v>1.578532293049717E-3</v>
      </c>
      <c r="D220" s="76">
        <v>5.2518034283446369E-2</v>
      </c>
      <c r="F220" s="76">
        <v>-4.8009219186360641E-2</v>
      </c>
    </row>
    <row r="221" spans="1:6" x14ac:dyDescent="0.25">
      <c r="A221" s="76">
        <v>1.8669161309876614E-3</v>
      </c>
      <c r="B221" s="76">
        <v>2.1541843774754765E-2</v>
      </c>
      <c r="D221" s="76">
        <v>5.1884835369012006E-2</v>
      </c>
    </row>
    <row r="222" spans="1:6" x14ac:dyDescent="0.25">
      <c r="A222" s="76">
        <v>8.7128083531163192E-2</v>
      </c>
      <c r="B222" s="76">
        <v>2.4692612590371477E-2</v>
      </c>
      <c r="D222" s="76">
        <v>5.106935529804657E-2</v>
      </c>
    </row>
    <row r="223" spans="1:6" x14ac:dyDescent="0.25">
      <c r="A223" s="76">
        <v>7.2814979728502038E-2</v>
      </c>
      <c r="D223" s="76">
        <v>5.0010420574661651E-2</v>
      </c>
    </row>
    <row r="224" spans="1:6" x14ac:dyDescent="0.25">
      <c r="A224" s="76">
        <v>9.8689720632805233E-2</v>
      </c>
      <c r="B224" s="76">
        <v>4.3328076763536671E-2</v>
      </c>
      <c r="D224" s="76">
        <v>4.9818730345483786E-2</v>
      </c>
    </row>
    <row r="225" spans="1:6" x14ac:dyDescent="0.25">
      <c r="A225" s="76">
        <v>1.6385191217349409</v>
      </c>
      <c r="B225" s="76">
        <v>0.39570893316279965</v>
      </c>
      <c r="C225" s="76">
        <v>2.1400661634962708</v>
      </c>
      <c r="D225" s="76">
        <v>4.495138786226649E-2</v>
      </c>
      <c r="E225" s="76">
        <v>1.5658985249373452</v>
      </c>
    </row>
    <row r="226" spans="1:6" x14ac:dyDescent="0.25">
      <c r="A226" s="76">
        <v>0.12811448700841765</v>
      </c>
      <c r="B226" s="76">
        <v>5.7819570888826277E-2</v>
      </c>
      <c r="C226" s="76">
        <v>0.10032857161660802</v>
      </c>
      <c r="D226" s="76">
        <v>4.3756980357100073E-2</v>
      </c>
      <c r="E226" s="76">
        <v>6.1389939619789224E-3</v>
      </c>
    </row>
    <row r="227" spans="1:6" x14ac:dyDescent="0.25">
      <c r="A227" s="76">
        <v>2.7150989065951592E-2</v>
      </c>
      <c r="B227" s="76">
        <v>-1.3739175883304089E-2</v>
      </c>
      <c r="D227" s="76">
        <v>4.2401293882708746E-2</v>
      </c>
    </row>
    <row r="228" spans="1:6" x14ac:dyDescent="0.25">
      <c r="A228" s="76">
        <v>6.513930217096231E-2</v>
      </c>
      <c r="B228" s="76">
        <v>7.8740564309058847E-3</v>
      </c>
      <c r="D228" s="76">
        <v>4.2232763623272884E-2</v>
      </c>
    </row>
    <row r="229" spans="1:6" x14ac:dyDescent="0.25">
      <c r="A229" s="76">
        <v>4.1308198492396642E-2</v>
      </c>
      <c r="B229" s="76">
        <v>-9.9701723198497572E-3</v>
      </c>
      <c r="C229" s="76">
        <v>-1.9493794681001209E-2</v>
      </c>
      <c r="D229" s="76">
        <v>4.2007963732838771E-2</v>
      </c>
      <c r="E229" s="76">
        <v>-7.5811610725554424E-2</v>
      </c>
    </row>
    <row r="230" spans="1:6" x14ac:dyDescent="0.25">
      <c r="A230" s="76">
        <v>0.32555327507000165</v>
      </c>
      <c r="B230" s="76">
        <v>2.8791150384011699E-2</v>
      </c>
      <c r="D230" s="76">
        <v>3.9012039275015287E-2</v>
      </c>
    </row>
    <row r="231" spans="1:6" x14ac:dyDescent="0.25">
      <c r="A231" s="76">
        <v>4.9155694649606119E-2</v>
      </c>
      <c r="B231" s="76">
        <v>3.906746819090956E-2</v>
      </c>
      <c r="D231" s="76">
        <v>3.5809452696710764E-2</v>
      </c>
    </row>
    <row r="232" spans="1:6" x14ac:dyDescent="0.25">
      <c r="A232" s="76">
        <v>2.7285408802721456E-2</v>
      </c>
      <c r="B232" s="76">
        <v>1.9452425926815398E-2</v>
      </c>
      <c r="D232" s="76">
        <v>3.3901551675681318E-2</v>
      </c>
    </row>
    <row r="233" spans="1:6" x14ac:dyDescent="0.25">
      <c r="B233" s="76">
        <v>8.6371376967784297E-2</v>
      </c>
      <c r="D233" s="76">
        <v>2.9915274269120662E-2</v>
      </c>
    </row>
    <row r="234" spans="1:6" x14ac:dyDescent="0.25">
      <c r="A234" s="76">
        <v>4.7902727828034841E-2</v>
      </c>
      <c r="B234" s="76">
        <v>3.6221263434318418E-2</v>
      </c>
      <c r="D234" s="76">
        <v>2.9141134907499033E-2</v>
      </c>
    </row>
    <row r="235" spans="1:6" x14ac:dyDescent="0.25">
      <c r="A235" s="76">
        <v>5.310421207559024E-2</v>
      </c>
      <c r="D235" s="76">
        <v>2.5317807984289953E-2</v>
      </c>
    </row>
    <row r="236" spans="1:6" x14ac:dyDescent="0.25">
      <c r="A236" s="76">
        <v>1.1834457647003305E-2</v>
      </c>
      <c r="B236" s="76">
        <v>5.3428444104954842E-3</v>
      </c>
      <c r="D236" s="76">
        <v>2.5205844708127145E-2</v>
      </c>
    </row>
    <row r="237" spans="1:6" x14ac:dyDescent="0.25">
      <c r="A237" s="76">
        <v>5.4441573114790032E-2</v>
      </c>
      <c r="B237" s="76">
        <v>0.23052365861183222</v>
      </c>
      <c r="C237" s="76">
        <v>0.14421398679449382</v>
      </c>
      <c r="D237" s="76">
        <v>2.3669744085904831E-2</v>
      </c>
      <c r="E237" s="76">
        <v>0.58084092321496605</v>
      </c>
      <c r="F237" s="76">
        <v>7.6961041136128366E-2</v>
      </c>
    </row>
    <row r="238" spans="1:6" x14ac:dyDescent="0.25">
      <c r="A238" s="76">
        <v>5.7158413839948352E-2</v>
      </c>
      <c r="B238" s="76">
        <v>4.6985207815541941E-3</v>
      </c>
      <c r="C238" s="76">
        <v>1.0075651988741718E-2</v>
      </c>
      <c r="D238" s="76">
        <v>2.3167059281534286E-2</v>
      </c>
      <c r="F238" s="76">
        <v>1.6807118316381264E-2</v>
      </c>
    </row>
    <row r="239" spans="1:6" x14ac:dyDescent="0.25">
      <c r="A239" s="76">
        <v>2.2326342615931694E-2</v>
      </c>
      <c r="B239" s="76">
        <v>0.11980119981262072</v>
      </c>
      <c r="D239" s="76">
        <v>2.2347298691996809E-2</v>
      </c>
    </row>
    <row r="240" spans="1:6" x14ac:dyDescent="0.25">
      <c r="A240" s="76">
        <v>1.2218449290920574</v>
      </c>
      <c r="B240" s="76">
        <v>0.16338435577420385</v>
      </c>
      <c r="C240" s="76">
        <v>9.558232567619096E-2</v>
      </c>
      <c r="D240" s="76">
        <v>2.0619287202735315E-2</v>
      </c>
      <c r="E240" s="76">
        <v>0.17341958804125035</v>
      </c>
    </row>
    <row r="241" spans="1:6" x14ac:dyDescent="0.25">
      <c r="A241" s="76">
        <v>9.8347630012169063E-2</v>
      </c>
      <c r="B241" s="76">
        <v>0.20196855417775095</v>
      </c>
      <c r="C241" s="76">
        <v>0.13834487965607067</v>
      </c>
      <c r="D241" s="76">
        <v>1.8980403722518524E-2</v>
      </c>
      <c r="E241" s="76">
        <v>0.53024265933476178</v>
      </c>
      <c r="F241" s="76">
        <v>-3.0771658666753715E-2</v>
      </c>
    </row>
    <row r="242" spans="1:6" x14ac:dyDescent="0.25">
      <c r="A242" s="76">
        <v>1.6620725685664084E-2</v>
      </c>
      <c r="D242" s="76">
        <v>1.6949558313773316E-2</v>
      </c>
    </row>
    <row r="243" spans="1:6" x14ac:dyDescent="0.25">
      <c r="A243" s="76">
        <v>3.3283973125328714E-2</v>
      </c>
      <c r="B243" s="76">
        <v>0.12405264866997889</v>
      </c>
      <c r="D243" s="76">
        <v>1.6713480973740591E-2</v>
      </c>
    </row>
    <row r="244" spans="1:6" x14ac:dyDescent="0.25">
      <c r="A244" s="76">
        <v>0.11583046214644632</v>
      </c>
      <c r="B244" s="76">
        <v>0.14638954756789135</v>
      </c>
      <c r="D244" s="76">
        <v>1.5441390215809037E-2</v>
      </c>
    </row>
    <row r="245" spans="1:6" x14ac:dyDescent="0.25">
      <c r="A245" s="76">
        <v>0.13373662607829573</v>
      </c>
      <c r="B245" s="76">
        <v>8.0969062533667202E-2</v>
      </c>
      <c r="C245" s="76">
        <v>0.12283941814105193</v>
      </c>
      <c r="D245" s="76">
        <v>1.3087634755367894E-2</v>
      </c>
      <c r="E245" s="76">
        <v>0.48671278038104404</v>
      </c>
      <c r="F245" s="76">
        <v>-4.5462374076757406E-2</v>
      </c>
    </row>
    <row r="246" spans="1:6" x14ac:dyDescent="0.25">
      <c r="B246" s="76">
        <v>0.18564198043125701</v>
      </c>
      <c r="C246" s="76">
        <v>-0.19971329950582373</v>
      </c>
      <c r="D246" s="76">
        <v>1.0826522206202061E-2</v>
      </c>
      <c r="E246" s="76">
        <v>0.23760891815040219</v>
      </c>
    </row>
    <row r="247" spans="1:6" x14ac:dyDescent="0.25">
      <c r="B247" s="76">
        <v>0.14477448419870287</v>
      </c>
      <c r="C247" s="76">
        <v>-8.6393625907077443E-3</v>
      </c>
      <c r="D247" s="76">
        <v>7.9051795071132247E-3</v>
      </c>
      <c r="E247" s="76">
        <v>0.87806951905395758</v>
      </c>
    </row>
    <row r="248" spans="1:6" x14ac:dyDescent="0.25">
      <c r="A248" s="76">
        <v>5.7158413839948352E-2</v>
      </c>
      <c r="B248" s="76">
        <v>4.6985207815541941E-3</v>
      </c>
      <c r="C248" s="76">
        <v>5.0505157860687433E-3</v>
      </c>
      <c r="D248" s="76">
        <v>7.7821404420550522E-3</v>
      </c>
      <c r="F248" s="76">
        <v>0.13353139262452274</v>
      </c>
    </row>
    <row r="249" spans="1:6" x14ac:dyDescent="0.25">
      <c r="A249" s="76">
        <v>9.8574955802464004E-2</v>
      </c>
      <c r="B249" s="76">
        <v>0.21868920096482936</v>
      </c>
      <c r="D249" s="76">
        <v>7.2202479734868596E-3</v>
      </c>
    </row>
    <row r="250" spans="1:6" x14ac:dyDescent="0.25">
      <c r="A250" s="76">
        <v>3.0335996609139215E-2</v>
      </c>
      <c r="B250" s="76">
        <v>0.21868920096482936</v>
      </c>
      <c r="D250" s="76">
        <v>7.2202479734868596E-3</v>
      </c>
    </row>
    <row r="251" spans="1:6" x14ac:dyDescent="0.25">
      <c r="A251" s="76">
        <v>6.155789299943315E-2</v>
      </c>
      <c r="B251" s="76">
        <v>4.9627893421289038E-3</v>
      </c>
      <c r="D251" s="76">
        <v>6.4725145056172551E-3</v>
      </c>
      <c r="F251" s="76">
        <v>0.15535044001916201</v>
      </c>
    </row>
    <row r="252" spans="1:6" x14ac:dyDescent="0.25">
      <c r="A252" s="76">
        <v>4.5462374076757683E-2</v>
      </c>
      <c r="B252" s="76">
        <v>4.9627893421289038E-3</v>
      </c>
      <c r="D252" s="76">
        <v>6.4725145056172551E-3</v>
      </c>
      <c r="F252" s="76">
        <v>0.15535044001916201</v>
      </c>
    </row>
    <row r="253" spans="1:6" x14ac:dyDescent="0.25">
      <c r="A253" s="76">
        <v>3.2208427457776523E-2</v>
      </c>
      <c r="B253" s="76">
        <v>0.10334235150158921</v>
      </c>
      <c r="D253" s="76">
        <v>5.7210319258849118E-3</v>
      </c>
    </row>
    <row r="254" spans="1:6" x14ac:dyDescent="0.25">
      <c r="A254" s="76">
        <v>4.3197549033372695E-2</v>
      </c>
      <c r="B254" s="76">
        <v>7.9422167783937292E-2</v>
      </c>
      <c r="D254" s="76">
        <v>2.3596842231801141E-3</v>
      </c>
    </row>
    <row r="255" spans="1:6" x14ac:dyDescent="0.25">
      <c r="A255" s="76">
        <v>0.19644424481250056</v>
      </c>
      <c r="B255" s="76">
        <v>4.3534938791439659E-2</v>
      </c>
      <c r="C255" s="76">
        <v>0.13678695708428856</v>
      </c>
      <c r="D255" s="76">
        <v>1.7947955760231338E-3</v>
      </c>
      <c r="E255" s="76">
        <v>0.36608178010778936</v>
      </c>
      <c r="F255" s="76">
        <v>-0.18774162426329388</v>
      </c>
    </row>
    <row r="256" spans="1:6" x14ac:dyDescent="0.25">
      <c r="A256" s="76">
        <v>4.5208754997904776E-2</v>
      </c>
      <c r="B256" s="76">
        <v>5.1091661157711243E-2</v>
      </c>
      <c r="D256" s="76">
        <v>-1.01300025545914E-3</v>
      </c>
    </row>
    <row r="257" spans="1:5" x14ac:dyDescent="0.25">
      <c r="B257" s="76">
        <v>0.33742205464417907</v>
      </c>
      <c r="C257" s="76">
        <v>0.11086259281180966</v>
      </c>
      <c r="D257" s="76">
        <v>-8.0146148496540448E-3</v>
      </c>
      <c r="E257" s="76">
        <v>0.8459507099244008</v>
      </c>
    </row>
    <row r="258" spans="1:5" x14ac:dyDescent="0.25">
      <c r="B258" s="76">
        <v>0.56938733928753682</v>
      </c>
      <c r="C258" s="76">
        <v>0.22452191128433108</v>
      </c>
      <c r="D258" s="76">
        <v>-1.0945019877071083E-2</v>
      </c>
      <c r="E258" s="76">
        <v>1.2691454121734611</v>
      </c>
    </row>
    <row r="259" spans="1:5" x14ac:dyDescent="0.25">
      <c r="A259" s="76">
        <v>1.5443803897412067E-2</v>
      </c>
      <c r="B259" s="76">
        <v>0.11305286128098202</v>
      </c>
      <c r="D259" s="76">
        <v>-1.1904902506318038E-2</v>
      </c>
    </row>
    <row r="260" spans="1:5" x14ac:dyDescent="0.25">
      <c r="B260" s="76">
        <v>7.2957091603166768E-2</v>
      </c>
      <c r="D260" s="76">
        <v>-1.2371291802546924E-2</v>
      </c>
    </row>
    <row r="261" spans="1:5" x14ac:dyDescent="0.25">
      <c r="A261" s="76">
        <v>4.2546993813132872E-2</v>
      </c>
      <c r="B261" s="76">
        <v>2.0284671171505897E-2</v>
      </c>
      <c r="D261" s="76">
        <v>-1.353200621857642E-2</v>
      </c>
    </row>
    <row r="262" spans="1:5" x14ac:dyDescent="0.25">
      <c r="B262" s="76">
        <v>0.35103560080910934</v>
      </c>
      <c r="D262" s="76">
        <v>-1.4184634991956546E-2</v>
      </c>
    </row>
    <row r="263" spans="1:5" x14ac:dyDescent="0.25">
      <c r="A263" s="76">
        <v>4.920644275769531</v>
      </c>
      <c r="B263" s="76">
        <v>0.22451560732639098</v>
      </c>
      <c r="D263" s="76">
        <v>-1.621741452715364E-2</v>
      </c>
    </row>
    <row r="264" spans="1:5" x14ac:dyDescent="0.25">
      <c r="A264" s="76">
        <v>1.6239247139115065E-2</v>
      </c>
      <c r="B264" s="76">
        <v>-1.4042357123038807E-2</v>
      </c>
      <c r="C264" s="76">
        <v>1.4676714415932768E-2</v>
      </c>
      <c r="D264" s="76">
        <v>-1.7449549521527441E-2</v>
      </c>
      <c r="E264" s="76">
        <v>5.1466250138949121E-2</v>
      </c>
    </row>
    <row r="265" spans="1:5" x14ac:dyDescent="0.25">
      <c r="B265" s="76">
        <v>7.1458963982144796E-2</v>
      </c>
      <c r="D265" s="76">
        <v>-2.4897551621727132E-2</v>
      </c>
    </row>
    <row r="266" spans="1:5" x14ac:dyDescent="0.25">
      <c r="A266" s="76">
        <v>6.6061855734808717E-2</v>
      </c>
      <c r="B266" s="76">
        <v>7.91373205587238E-2</v>
      </c>
      <c r="D266" s="76">
        <v>-2.5579485337608343E-2</v>
      </c>
    </row>
    <row r="267" spans="1:5" x14ac:dyDescent="0.25">
      <c r="A267" s="76">
        <v>-4.3842321291700515E-2</v>
      </c>
      <c r="B267" s="76">
        <v>0.17185025692665934</v>
      </c>
      <c r="D267" s="76">
        <v>-3.3415996919843982E-2</v>
      </c>
    </row>
    <row r="268" spans="1:5" x14ac:dyDescent="0.25">
      <c r="A268" s="76">
        <v>2.9460015113505378E-2</v>
      </c>
      <c r="B268" s="76">
        <v>6.5139302170961644E-2</v>
      </c>
      <c r="D268" s="76">
        <v>-4.8086186667637865E-2</v>
      </c>
    </row>
    <row r="269" spans="1:5" x14ac:dyDescent="0.25">
      <c r="A269" s="76">
        <v>5.8942183178309904E-2</v>
      </c>
      <c r="B269" s="76">
        <v>5.0496164014532496E-2</v>
      </c>
      <c r="C269" s="76">
        <v>8.3757882225399705E-2</v>
      </c>
      <c r="D269" s="76">
        <v>-5.0686524551398549E-2</v>
      </c>
      <c r="E269" s="76">
        <v>0.11600896050320353</v>
      </c>
    </row>
    <row r="270" spans="1:5" x14ac:dyDescent="0.25">
      <c r="A270" s="76">
        <v>6.8823396229404921E-3</v>
      </c>
      <c r="B270" s="76">
        <v>1.7331456351640018E-2</v>
      </c>
      <c r="C270" s="76">
        <v>0.13705624646795833</v>
      </c>
      <c r="D270" s="76">
        <v>-5.2922401454342349E-2</v>
      </c>
    </row>
    <row r="271" spans="1:5" x14ac:dyDescent="0.25">
      <c r="A271" s="76">
        <v>3.7384002126209737E-2</v>
      </c>
      <c r="B271" s="76">
        <v>0.25599528789136095</v>
      </c>
      <c r="D271" s="76">
        <v>-5.4876610225834455E-2</v>
      </c>
    </row>
    <row r="272" spans="1:5" x14ac:dyDescent="0.25">
      <c r="A272" s="76">
        <v>4.4432008508904275E-2</v>
      </c>
      <c r="B272" s="76">
        <v>0.17443535099876395</v>
      </c>
      <c r="D272" s="76">
        <v>-5.5262678675049859E-2</v>
      </c>
    </row>
    <row r="273" spans="1:5" x14ac:dyDescent="0.25">
      <c r="A273" s="76">
        <v>5.4091133559998283E-2</v>
      </c>
      <c r="B273" s="76">
        <v>0.18811077779843943</v>
      </c>
      <c r="D273" s="76">
        <v>-6.9569074326287783E-2</v>
      </c>
    </row>
    <row r="274" spans="1:5" x14ac:dyDescent="0.25">
      <c r="B274" s="76">
        <v>6.8992871486951435E-2</v>
      </c>
      <c r="D274" s="76">
        <v>-7.0895821633037315E-2</v>
      </c>
    </row>
    <row r="275" spans="1:5" x14ac:dyDescent="0.25">
      <c r="A275" s="76">
        <v>4.8038677198023905E-2</v>
      </c>
      <c r="B275" s="76">
        <v>0.18996977763221135</v>
      </c>
      <c r="D275" s="76">
        <v>-9.6767551934994422E-2</v>
      </c>
    </row>
    <row r="276" spans="1:5" x14ac:dyDescent="0.25">
      <c r="B276" s="76">
        <v>6.5063593347062021E-2</v>
      </c>
      <c r="D276" s="76">
        <v>-0.10832222715215423</v>
      </c>
    </row>
    <row r="277" spans="1:5" x14ac:dyDescent="0.25">
      <c r="B277" s="76">
        <v>6.0624621816434798E-2</v>
      </c>
      <c r="D277" s="76">
        <v>-0.11886120287672908</v>
      </c>
      <c r="E277" s="76">
        <v>0.13353139262452274</v>
      </c>
    </row>
    <row r="278" spans="1:5" x14ac:dyDescent="0.25">
      <c r="B278" s="76">
        <v>0.11162227688180248</v>
      </c>
      <c r="C278" s="76">
        <v>-2.1528533611012701E-3</v>
      </c>
      <c r="D278" s="76">
        <v>-0.11886120287672908</v>
      </c>
      <c r="E278" s="76">
        <v>0.8726156683714934</v>
      </c>
    </row>
    <row r="279" spans="1:5" x14ac:dyDescent="0.25">
      <c r="B279" s="76">
        <v>6.0042040966866939E-2</v>
      </c>
      <c r="D279" s="76">
        <v>-0.13407472325456915</v>
      </c>
      <c r="E279" s="76">
        <v>0.27329333499968156</v>
      </c>
    </row>
    <row r="280" spans="1:5" x14ac:dyDescent="0.25">
      <c r="B280" s="76">
        <v>8.8894025804246324E-2</v>
      </c>
      <c r="C280" s="76">
        <v>2.2329476398088577E-2</v>
      </c>
      <c r="D280" s="76">
        <v>-0.13407472325456915</v>
      </c>
      <c r="E280" s="76">
        <v>0.66139848224536513</v>
      </c>
    </row>
    <row r="281" spans="1:5" x14ac:dyDescent="0.25">
      <c r="B281" s="76">
        <v>4.0821994520255034E-2</v>
      </c>
      <c r="D281" s="76">
        <v>-0.13846967426510526</v>
      </c>
      <c r="E281" s="76">
        <v>-8.9612158689686972E-2</v>
      </c>
    </row>
    <row r="282" spans="1:5" x14ac:dyDescent="0.25">
      <c r="B282" s="76">
        <v>1.7435061822101527E-2</v>
      </c>
      <c r="C282" s="76">
        <v>5.5424533999864911E-2</v>
      </c>
      <c r="D282" s="76">
        <v>-0.13846967426510526</v>
      </c>
      <c r="E282" s="76">
        <v>0.46608972992459918</v>
      </c>
    </row>
    <row r="283" spans="1:5" x14ac:dyDescent="0.25">
      <c r="B283" s="76">
        <v>3.8839833316264061E-2</v>
      </c>
      <c r="D283" s="76">
        <v>-0.15043320342712585</v>
      </c>
      <c r="E283" s="76">
        <v>0.44628710262841942</v>
      </c>
    </row>
    <row r="284" spans="1:5" x14ac:dyDescent="0.25">
      <c r="B284" s="76">
        <v>3.325722175648238E-2</v>
      </c>
      <c r="D284" s="76">
        <v>-0.15510899326906991</v>
      </c>
      <c r="E284" s="76">
        <v>0.40546510810816461</v>
      </c>
    </row>
    <row r="285" spans="1:5" x14ac:dyDescent="0.25">
      <c r="A285" s="76">
        <v>2.4326551172441313E-2</v>
      </c>
      <c r="B285" s="76">
        <v>0.1378407121972649</v>
      </c>
      <c r="D285" s="76">
        <v>-0.16309019486606724</v>
      </c>
    </row>
    <row r="286" spans="1:5" x14ac:dyDescent="0.25">
      <c r="B286" s="76">
        <v>0</v>
      </c>
      <c r="D286" s="76">
        <v>-0.17399133066001182</v>
      </c>
      <c r="E286" s="76">
        <v>0.28125118212149047</v>
      </c>
    </row>
    <row r="287" spans="1:5" x14ac:dyDescent="0.25">
      <c r="A287" s="76">
        <v>0.14493402472233363</v>
      </c>
      <c r="B287" s="76">
        <v>0.16989903679539742</v>
      </c>
      <c r="D287" s="76">
        <v>-0.20479441264601395</v>
      </c>
    </row>
    <row r="288" spans="1:5" x14ac:dyDescent="0.25">
      <c r="A288" s="76">
        <v>5.2343786564330586E-2</v>
      </c>
      <c r="B288" s="76">
        <v>6.0153922819747185E-2</v>
      </c>
      <c r="D288" s="76">
        <v>-0.21167115015197302</v>
      </c>
    </row>
    <row r="289" spans="1:6" x14ac:dyDescent="0.25">
      <c r="A289" s="76">
        <v>9.9472627780139433E-2</v>
      </c>
      <c r="B289" s="76">
        <v>6.0153922819747185E-2</v>
      </c>
      <c r="D289" s="76">
        <v>-0.21167115015197302</v>
      </c>
    </row>
    <row r="290" spans="1:6" x14ac:dyDescent="0.25">
      <c r="A290" s="76">
        <v>9.3585894043938467E-2</v>
      </c>
      <c r="B290" s="76">
        <v>6.0153922819747185E-2</v>
      </c>
      <c r="D290" s="76">
        <v>-0.21167115015197302</v>
      </c>
    </row>
    <row r="291" spans="1:6" x14ac:dyDescent="0.25">
      <c r="B291" s="76">
        <v>0.26662866325394852</v>
      </c>
      <c r="D291" s="76">
        <v>-0.41302788048986416</v>
      </c>
    </row>
    <row r="292" spans="1:6" x14ac:dyDescent="0.25">
      <c r="B292" s="76">
        <v>0.23784969870390493</v>
      </c>
      <c r="D292" s="76">
        <v>-0.41510042009183667</v>
      </c>
    </row>
    <row r="293" spans="1:6" x14ac:dyDescent="0.25">
      <c r="B293" s="76">
        <v>0.16205585933437128</v>
      </c>
      <c r="D293" s="76">
        <v>-0.45100712855508052</v>
      </c>
    </row>
    <row r="294" spans="1:6" x14ac:dyDescent="0.25">
      <c r="A294" s="76">
        <v>0.92827953243179628</v>
      </c>
      <c r="B294" s="76">
        <v>0.32090772008010116</v>
      </c>
      <c r="F294" s="76">
        <v>-0.18774162426329388</v>
      </c>
    </row>
    <row r="295" spans="1:6" x14ac:dyDescent="0.25">
      <c r="A295" s="76">
        <v>0.89747887016519989</v>
      </c>
      <c r="B295" s="76">
        <v>0.17327172127403667</v>
      </c>
      <c r="F295" s="76">
        <v>-3.0771658666753715E-2</v>
      </c>
    </row>
    <row r="296" spans="1:6" x14ac:dyDescent="0.25">
      <c r="A296" s="76">
        <v>-1.3529738107193889</v>
      </c>
      <c r="B296" s="76">
        <v>0.35904793609962837</v>
      </c>
      <c r="C296" s="76">
        <v>-9.0246877847778295E-2</v>
      </c>
      <c r="D296" s="76">
        <v>1.454</v>
      </c>
      <c r="E296" s="76">
        <v>1.276356585548867</v>
      </c>
    </row>
    <row r="297" spans="1:6" x14ac:dyDescent="0.25">
      <c r="A297" s="76">
        <v>0.20148205453303003</v>
      </c>
      <c r="B297" s="76">
        <v>0.11332868530700324</v>
      </c>
      <c r="F297" s="76">
        <v>-4.4451762570833664E-2</v>
      </c>
    </row>
    <row r="298" spans="1:6" x14ac:dyDescent="0.25">
      <c r="A298" s="76">
        <v>-0.40065355111094236</v>
      </c>
      <c r="B298" s="76">
        <v>0.32374112226748353</v>
      </c>
      <c r="C298" s="76">
        <v>-1.2878301844287954E-3</v>
      </c>
      <c r="D298" s="76">
        <v>1.109</v>
      </c>
      <c r="E298" s="76">
        <v>1.1670449239793186</v>
      </c>
    </row>
    <row r="299" spans="1:6" x14ac:dyDescent="0.25">
      <c r="A299" s="76">
        <v>-0.32790687376228989</v>
      </c>
      <c r="B299" s="76">
        <v>-3.4168895615249717E-2</v>
      </c>
      <c r="C299" s="76">
        <v>0</v>
      </c>
      <c r="D299" s="76">
        <v>0.40962238378207</v>
      </c>
      <c r="E299" s="76">
        <v>0.23262229526875355</v>
      </c>
    </row>
    <row r="300" spans="1:6" x14ac:dyDescent="0.25">
      <c r="A300" s="76">
        <v>-0.20380058847107885</v>
      </c>
      <c r="B300" s="76">
        <v>-2.3585999005879099E-2</v>
      </c>
      <c r="C300" s="76">
        <v>-0.28174622447540099</v>
      </c>
      <c r="D300" s="76">
        <v>0.60063221235333675</v>
      </c>
      <c r="E300" s="76">
        <v>0.44183275227903973</v>
      </c>
    </row>
    <row r="301" spans="1:6" x14ac:dyDescent="0.25">
      <c r="A301" s="76">
        <v>-2.1739986636405917E-2</v>
      </c>
      <c r="B301" s="76">
        <v>-2.8835549639887326E-2</v>
      </c>
      <c r="C301" s="76">
        <v>0.17096667673336441</v>
      </c>
      <c r="D301" s="76">
        <v>0.18516094971847999</v>
      </c>
      <c r="E301" s="76">
        <v>0.15415067982725805</v>
      </c>
    </row>
    <row r="302" spans="1:6" x14ac:dyDescent="0.25">
      <c r="A302" s="76">
        <v>-5.9347355198138274E-3</v>
      </c>
      <c r="B302" s="76">
        <v>0.12861737782209359</v>
      </c>
      <c r="C302" s="76">
        <v>6.4144121605738125E-2</v>
      </c>
      <c r="D302" s="76">
        <v>0.47390959919256698</v>
      </c>
      <c r="E302" s="76">
        <v>0.33140750998160451</v>
      </c>
    </row>
    <row r="303" spans="1:6" x14ac:dyDescent="0.25">
      <c r="A303" s="76">
        <v>7.8384884273181576E-2</v>
      </c>
      <c r="B303" s="76">
        <v>2.666824708216109E-2</v>
      </c>
      <c r="F303" s="76">
        <v>-0.14242034004176857</v>
      </c>
    </row>
    <row r="304" spans="1:6" x14ac:dyDescent="0.25">
      <c r="A304" s="76">
        <v>3.1201273362435611E-3</v>
      </c>
      <c r="B304" s="76">
        <v>-2.5975486403260639E-2</v>
      </c>
      <c r="C304" s="76">
        <v>0.13511643020474451</v>
      </c>
      <c r="E304" s="76">
        <v>0.28768207245178123</v>
      </c>
    </row>
    <row r="305" spans="1:5" x14ac:dyDescent="0.25">
      <c r="A305" s="76">
        <v>2.3623145763435716E-2</v>
      </c>
      <c r="B305" s="76">
        <v>9.0151096994297575E-2</v>
      </c>
      <c r="C305" s="76">
        <v>8.064068652290457E-2</v>
      </c>
      <c r="E305" s="76">
        <v>0.38610486082362261</v>
      </c>
    </row>
    <row r="306" spans="1:5" x14ac:dyDescent="0.25">
      <c r="A306" s="76">
        <v>7.6261502955963678E-2</v>
      </c>
      <c r="B306" s="76">
        <v>5.4067221270275967E-2</v>
      </c>
    </row>
    <row r="307" spans="1:5" x14ac:dyDescent="0.25">
      <c r="A307" s="76">
        <v>8.2752965959976166E-2</v>
      </c>
      <c r="B307" s="76">
        <v>7.195145352669674E-2</v>
      </c>
    </row>
    <row r="308" spans="1:5" x14ac:dyDescent="0.25">
      <c r="A308" s="76">
        <v>2.5469239480116812E-2</v>
      </c>
      <c r="B308" s="76">
        <v>2.4187225614003882E-2</v>
      </c>
      <c r="C308" s="76">
        <v>0.13240123616593791</v>
      </c>
    </row>
    <row r="309" spans="1:5" x14ac:dyDescent="0.25">
      <c r="A309" s="76">
        <v>3.1752952321323136E-2</v>
      </c>
      <c r="B309" s="76">
        <v>3.697278791097558E-2</v>
      </c>
      <c r="C309" s="76">
        <v>-6.7796869853786745E-3</v>
      </c>
    </row>
    <row r="310" spans="1:5" x14ac:dyDescent="0.25">
      <c r="A310" s="76">
        <v>1.4766804304096937E-2</v>
      </c>
    </row>
    <row r="311" spans="1:5" x14ac:dyDescent="0.25">
      <c r="A311" s="76">
        <v>4.728172952789933E-2</v>
      </c>
    </row>
    <row r="312" spans="1:5" x14ac:dyDescent="0.25">
      <c r="A312" s="76">
        <v>5.0616092856897055E-2</v>
      </c>
    </row>
    <row r="313" spans="1:5" x14ac:dyDescent="0.25">
      <c r="A313" s="76">
        <v>2.5462683029816802E-2</v>
      </c>
    </row>
    <row r="314" spans="1:5" x14ac:dyDescent="0.25">
      <c r="A314" s="76">
        <v>4.9426402219886256E-2</v>
      </c>
    </row>
    <row r="315" spans="1:5" x14ac:dyDescent="0.25">
      <c r="A315" s="76">
        <v>3.7201884704337829E-2</v>
      </c>
    </row>
    <row r="316" spans="1:5" x14ac:dyDescent="0.25">
      <c r="A316" s="76">
        <v>-3.8684767779209039E-3</v>
      </c>
      <c r="B316" s="76">
        <v>2.9800627679304137E-2</v>
      </c>
    </row>
    <row r="317" spans="1:5" x14ac:dyDescent="0.25">
      <c r="A317" s="76">
        <v>0</v>
      </c>
      <c r="B317" s="76">
        <v>7.8673032072476001E-2</v>
      </c>
    </row>
    <row r="318" spans="1:5" x14ac:dyDescent="0.25">
      <c r="A318" s="76">
        <v>8.8618835943700347E-2</v>
      </c>
      <c r="B318" s="76">
        <v>0.16978782064669806</v>
      </c>
    </row>
    <row r="319" spans="1:5" x14ac:dyDescent="0.25">
      <c r="B319" s="76">
        <v>7.5019106517946188E-3</v>
      </c>
    </row>
    <row r="320" spans="1:5" x14ac:dyDescent="0.25">
      <c r="B320" s="76">
        <v>2.528015667307848E-2</v>
      </c>
    </row>
    <row r="321" spans="1:5" x14ac:dyDescent="0.25">
      <c r="B321" s="76">
        <v>4.4189811030370674E-2</v>
      </c>
    </row>
    <row r="322" spans="1:5" x14ac:dyDescent="0.25">
      <c r="B322" s="76">
        <v>6.8390280326807051E-2</v>
      </c>
    </row>
    <row r="323" spans="1:5" x14ac:dyDescent="0.25">
      <c r="A323" s="76">
        <v>0.20035553630416914</v>
      </c>
      <c r="B323" s="76">
        <v>3.4255024550319035E-2</v>
      </c>
    </row>
    <row r="324" spans="1:5" x14ac:dyDescent="0.25">
      <c r="A324" s="76">
        <v>0.40719671027244231</v>
      </c>
      <c r="B324" s="76">
        <v>6.7375402472770851E-2</v>
      </c>
    </row>
    <row r="325" spans="1:5" x14ac:dyDescent="0.25">
      <c r="A325" s="76">
        <v>-1.7482962780347444E-2</v>
      </c>
      <c r="B325" s="76">
        <v>6.3117056790193748E-2</v>
      </c>
    </row>
    <row r="326" spans="1:5" x14ac:dyDescent="0.25">
      <c r="A326" s="76">
        <v>8.3104274124821131E-2</v>
      </c>
      <c r="B326" s="76">
        <v>0.10217362472930747</v>
      </c>
    </row>
    <row r="327" spans="1:5" x14ac:dyDescent="0.25">
      <c r="A327" s="76">
        <v>0.25554195187146012</v>
      </c>
      <c r="B327" s="76">
        <v>0.11305808592773081</v>
      </c>
    </row>
    <row r="328" spans="1:5" x14ac:dyDescent="0.25">
      <c r="A328" s="76">
        <v>-0.14323416808590794</v>
      </c>
      <c r="B328" s="76">
        <v>0.11980119981262094</v>
      </c>
    </row>
    <row r="329" spans="1:5" x14ac:dyDescent="0.25">
      <c r="A329" s="76">
        <v>-6.8126695599102449E-2</v>
      </c>
      <c r="B329" s="76">
        <v>0.11980119981262094</v>
      </c>
    </row>
    <row r="330" spans="1:5" x14ac:dyDescent="0.25">
      <c r="A330" s="76">
        <v>-0.28479773240769468</v>
      </c>
      <c r="B330" s="76">
        <v>0.13712341841697784</v>
      </c>
    </row>
    <row r="331" spans="1:5" x14ac:dyDescent="0.25">
      <c r="A331" s="76">
        <v>3.6229969495914283E-2</v>
      </c>
      <c r="B331" s="76">
        <v>6.1321890874318941E-2</v>
      </c>
      <c r="C331" s="76">
        <v>-1.8309612195336111E-2</v>
      </c>
      <c r="E331" s="76">
        <v>1.0850016024065656E-2</v>
      </c>
    </row>
    <row r="332" spans="1:5" x14ac:dyDescent="0.25">
      <c r="B332" s="76">
        <v>1.9418085857101586E-2</v>
      </c>
    </row>
    <row r="333" spans="1:5" x14ac:dyDescent="0.25">
      <c r="B333" s="76">
        <v>3.8466280827796018E-2</v>
      </c>
    </row>
    <row r="334" spans="1:5" x14ac:dyDescent="0.25">
      <c r="B334" s="76">
        <v>0.11122563511022454</v>
      </c>
    </row>
    <row r="335" spans="1:5" x14ac:dyDescent="0.25">
      <c r="B335" s="76">
        <v>1.9418085857101586E-2</v>
      </c>
    </row>
    <row r="336" spans="1:5" x14ac:dyDescent="0.25">
      <c r="B336" s="76">
        <v>5.7158413839948796E-2</v>
      </c>
    </row>
    <row r="337" spans="1:3" x14ac:dyDescent="0.25">
      <c r="B337" s="76">
        <v>7.5507552508145226E-2</v>
      </c>
    </row>
    <row r="338" spans="1:3" x14ac:dyDescent="0.25">
      <c r="A338" s="76">
        <v>8.2682085629347313E-2</v>
      </c>
      <c r="B338" s="76">
        <v>7.2118416660340356E-2</v>
      </c>
    </row>
    <row r="339" spans="1:3" x14ac:dyDescent="0.25">
      <c r="A339" s="76">
        <v>9.9889766393150836E-2</v>
      </c>
      <c r="B339" s="76">
        <v>0.11488027599842199</v>
      </c>
    </row>
    <row r="340" spans="1:3" x14ac:dyDescent="0.25">
      <c r="A340" s="76">
        <v>9.6120828132521652E-2</v>
      </c>
      <c r="B340" s="76">
        <v>0.1558882997257991</v>
      </c>
    </row>
    <row r="341" spans="1:3" x14ac:dyDescent="0.25">
      <c r="A341" s="76">
        <v>9.8058003114596559E-2</v>
      </c>
      <c r="B341" s="76">
        <v>0.17065961704611166</v>
      </c>
    </row>
    <row r="342" spans="1:3" x14ac:dyDescent="0.25">
      <c r="B342" s="76">
        <v>1.038071605456059E-2</v>
      </c>
    </row>
    <row r="343" spans="1:3" x14ac:dyDescent="0.25">
      <c r="B343" s="76">
        <v>2.2356907101276358E-2</v>
      </c>
    </row>
    <row r="344" spans="1:3" x14ac:dyDescent="0.25">
      <c r="B344" s="76">
        <v>3.4191364748279218E-2</v>
      </c>
    </row>
    <row r="345" spans="1:3" x14ac:dyDescent="0.25">
      <c r="B345" s="76">
        <v>4.3440128695989566E-2</v>
      </c>
    </row>
    <row r="346" spans="1:3" x14ac:dyDescent="0.25">
      <c r="A346" s="76">
        <v>6.2507294059646057E-2</v>
      </c>
      <c r="B346" s="76">
        <v>2.7856954502966103E-2</v>
      </c>
      <c r="C346" s="76">
        <v>-1.8309612195336111E-2</v>
      </c>
    </row>
    <row r="347" spans="1:3" x14ac:dyDescent="0.25">
      <c r="A347" s="76">
        <v>-4.2578108107825585E-2</v>
      </c>
    </row>
    <row r="348" spans="1:3" x14ac:dyDescent="0.25">
      <c r="A348" s="76">
        <v>3.4245578513167452E-2</v>
      </c>
    </row>
    <row r="349" spans="1:3" x14ac:dyDescent="0.25">
      <c r="A349" s="76">
        <v>3.4254378705892208E-2</v>
      </c>
    </row>
    <row r="350" spans="1:3" x14ac:dyDescent="0.25">
      <c r="A350" s="76">
        <v>5.1027410372771698E-2</v>
      </c>
    </row>
    <row r="351" spans="1:3" x14ac:dyDescent="0.25">
      <c r="A351" s="76">
        <v>2.1776810232970512E-2</v>
      </c>
    </row>
    <row r="352" spans="1:3" x14ac:dyDescent="0.25">
      <c r="A352" s="76">
        <v>3.9517882355788458E-4</v>
      </c>
    </row>
    <row r="353" spans="1:5" x14ac:dyDescent="0.25">
      <c r="A353" s="76">
        <v>0.1324978008012403</v>
      </c>
    </row>
    <row r="354" spans="1:5" x14ac:dyDescent="0.25">
      <c r="A354" s="76">
        <v>6.6231096482629148E-2</v>
      </c>
    </row>
    <row r="355" spans="1:5" x14ac:dyDescent="0.25">
      <c r="A355" s="76">
        <v>0.16037153970236062</v>
      </c>
    </row>
    <row r="356" spans="1:5" x14ac:dyDescent="0.25">
      <c r="B356" s="76">
        <v>8.0042707673536384E-2</v>
      </c>
    </row>
    <row r="357" spans="1:5" x14ac:dyDescent="0.25">
      <c r="B357" s="76">
        <v>0.13613217432458002</v>
      </c>
    </row>
    <row r="358" spans="1:5" x14ac:dyDescent="0.25">
      <c r="B358" s="76">
        <v>0.22314355131420971</v>
      </c>
    </row>
    <row r="359" spans="1:5" x14ac:dyDescent="0.25">
      <c r="B359" s="76">
        <v>8.0042707673536384E-2</v>
      </c>
    </row>
    <row r="360" spans="1:5" x14ac:dyDescent="0.25">
      <c r="B360" s="76">
        <v>9.9090902644230816E-2</v>
      </c>
    </row>
    <row r="361" spans="1:5" x14ac:dyDescent="0.25">
      <c r="B361" s="76">
        <v>0.17185025692665934</v>
      </c>
    </row>
    <row r="362" spans="1:5" x14ac:dyDescent="0.25">
      <c r="A362" s="76">
        <v>8.0545209725524813E-2</v>
      </c>
      <c r="B362" s="76">
        <v>2.968678118004231E-2</v>
      </c>
      <c r="C362" s="76">
        <v>0.14550758367123851</v>
      </c>
    </row>
    <row r="363" spans="1:5" x14ac:dyDescent="0.25">
      <c r="A363" s="76">
        <v>0.10584059247933686</v>
      </c>
      <c r="B363" s="76">
        <v>0.27080173697326426</v>
      </c>
      <c r="C363" s="76">
        <v>0.13679830176987107</v>
      </c>
      <c r="D363" s="76">
        <v>0.65094039151615302</v>
      </c>
      <c r="E363" s="76">
        <v>0.99378298914877394</v>
      </c>
    </row>
    <row r="364" spans="1:5" x14ac:dyDescent="0.25">
      <c r="A364" s="76">
        <v>7.6122794743017863E-2</v>
      </c>
      <c r="B364" s="76">
        <v>5.8594164266053017E-2</v>
      </c>
      <c r="D364" s="76">
        <v>0.36915488405157149</v>
      </c>
    </row>
    <row r="365" spans="1:5" x14ac:dyDescent="0.25">
      <c r="A365" s="76">
        <v>7.0086156918243603E-2</v>
      </c>
      <c r="B365" s="76">
        <v>8.7442318603711211E-2</v>
      </c>
      <c r="D365" s="76">
        <v>0.43449694078882573</v>
      </c>
    </row>
    <row r="366" spans="1:5" x14ac:dyDescent="0.25">
      <c r="A366" s="76">
        <v>6.2296811225378335E-2</v>
      </c>
      <c r="B366" s="76">
        <v>0.12160713209478691</v>
      </c>
    </row>
    <row r="367" spans="1:5" x14ac:dyDescent="0.25">
      <c r="A367" s="76">
        <v>5.5870874636916312E-2</v>
      </c>
      <c r="B367" s="76">
        <v>0.1457410334312168</v>
      </c>
    </row>
    <row r="368" spans="1:5" x14ac:dyDescent="0.25">
      <c r="A368" s="76">
        <v>0.13976194237515882</v>
      </c>
      <c r="B368" s="76">
        <v>0.26110832099926706</v>
      </c>
      <c r="C368" s="76">
        <v>0.37278808208186387</v>
      </c>
      <c r="D368" s="76">
        <v>0.62509403915161499</v>
      </c>
      <c r="E368" s="76">
        <v>0.9911920400472729</v>
      </c>
    </row>
    <row r="369" spans="1:5" x14ac:dyDescent="0.25">
      <c r="A369" s="76">
        <v>0.18957124871842956</v>
      </c>
      <c r="B369" s="76">
        <v>0.20263224964151805</v>
      </c>
      <c r="C369" s="76">
        <v>0.15199689911098813</v>
      </c>
      <c r="D369" s="76">
        <v>0.569154884051571</v>
      </c>
      <c r="E369" s="76">
        <v>0.85249124222556905</v>
      </c>
    </row>
    <row r="370" spans="1:5" x14ac:dyDescent="0.25">
      <c r="A370" s="76">
        <v>6.7509901238732795E-2</v>
      </c>
      <c r="B370" s="76">
        <v>0.11151215438060547</v>
      </c>
      <c r="D370" s="76">
        <v>0.43449694078882573</v>
      </c>
    </row>
    <row r="371" spans="1:5" x14ac:dyDescent="0.25">
      <c r="A371" s="76">
        <v>0.1317487094068639</v>
      </c>
      <c r="B371" s="76">
        <v>0.16215588719936025</v>
      </c>
    </row>
    <row r="372" spans="1:5" x14ac:dyDescent="0.25">
      <c r="A372" s="76">
        <v>0.11109179163304717</v>
      </c>
      <c r="B372" s="76">
        <v>0.24362208265775043</v>
      </c>
    </row>
    <row r="373" spans="1:5" x14ac:dyDescent="0.25">
      <c r="A373" s="76">
        <v>7.5672545532183833E-2</v>
      </c>
      <c r="B373" s="76">
        <v>0.25493762065032644</v>
      </c>
    </row>
    <row r="374" spans="1:5" x14ac:dyDescent="0.25">
      <c r="B374" s="76">
        <v>1.7699577099401065E-2</v>
      </c>
      <c r="C374" s="76">
        <v>-6.8027473227525448E-3</v>
      </c>
    </row>
    <row r="375" spans="1:5" x14ac:dyDescent="0.25">
      <c r="B375" s="76">
        <v>6.0624621816434798E-2</v>
      </c>
      <c r="C375" s="76">
        <v>-6.8027473227525448E-3</v>
      </c>
    </row>
    <row r="376" spans="1:5" x14ac:dyDescent="0.25">
      <c r="B376" s="76">
        <v>8.3881483980702054E-2</v>
      </c>
      <c r="C376" s="76">
        <v>0</v>
      </c>
    </row>
    <row r="377" spans="1:5" x14ac:dyDescent="0.25">
      <c r="B377" s="76">
        <v>0.10660973505825821</v>
      </c>
      <c r="C377" s="76">
        <v>-1.0221554071538463E-2</v>
      </c>
    </row>
    <row r="378" spans="1:5" x14ac:dyDescent="0.25">
      <c r="A378" s="76">
        <v>0.12401005832520351</v>
      </c>
      <c r="B378" s="76">
        <v>9.9090902644230816E-2</v>
      </c>
    </row>
    <row r="379" spans="1:5" x14ac:dyDescent="0.25">
      <c r="A379" s="76">
        <v>8.7224301508692648E-2</v>
      </c>
      <c r="B379" s="76">
        <v>2.4322995140219961E-2</v>
      </c>
    </row>
    <row r="380" spans="1:5" x14ac:dyDescent="0.25">
      <c r="A380" s="76">
        <v>0.15366382490040742</v>
      </c>
      <c r="B380" s="76">
        <v>6.595796779179719E-2</v>
      </c>
    </row>
    <row r="381" spans="1:5" x14ac:dyDescent="0.25">
      <c r="B381" s="76">
        <v>2.7908788117076755E-2</v>
      </c>
    </row>
    <row r="382" spans="1:5" x14ac:dyDescent="0.25">
      <c r="A382" s="76">
        <v>7.0989600913867079E-2</v>
      </c>
      <c r="B382" s="76">
        <v>9.316837580230386E-3</v>
      </c>
    </row>
    <row r="383" spans="1:5" x14ac:dyDescent="0.25">
      <c r="A383" s="76">
        <v>0.25565211395252696</v>
      </c>
      <c r="B383" s="76">
        <v>3.8260213619718986E-2</v>
      </c>
    </row>
    <row r="384" spans="1:5" x14ac:dyDescent="0.25">
      <c r="A384" s="76">
        <v>3.6415807927658861E-2</v>
      </c>
      <c r="B384" s="76">
        <v>1.5384918839479456E-2</v>
      </c>
    </row>
    <row r="385" spans="1:5" x14ac:dyDescent="0.25">
      <c r="A385" s="76">
        <v>0.1416462761179762</v>
      </c>
      <c r="B385" s="76">
        <v>1.9954614529544834E-2</v>
      </c>
    </row>
    <row r="386" spans="1:5" x14ac:dyDescent="0.25">
      <c r="A386" s="76">
        <v>1.3697933441694232E-2</v>
      </c>
      <c r="B386" s="76">
        <v>8.821619641248013E-2</v>
      </c>
    </row>
    <row r="387" spans="1:5" x14ac:dyDescent="0.25">
      <c r="A387" s="76">
        <v>3.6549355413084683E-2</v>
      </c>
      <c r="B387" s="76">
        <v>1.6143848371356295E-2</v>
      </c>
    </row>
    <row r="388" spans="1:5" x14ac:dyDescent="0.25">
      <c r="A388" s="76">
        <v>3.6291124294800525E-2</v>
      </c>
      <c r="B388" s="76">
        <v>9.4816880443832297E-2</v>
      </c>
    </row>
    <row r="389" spans="1:5" x14ac:dyDescent="0.25">
      <c r="A389" s="76">
        <v>1.1823483047713523E-2</v>
      </c>
      <c r="B389" s="76">
        <v>2.695580998852809E-2</v>
      </c>
    </row>
    <row r="390" spans="1:5" x14ac:dyDescent="0.25">
      <c r="A390" s="76">
        <v>1.642224948775528E-2</v>
      </c>
      <c r="B390" s="76">
        <v>4.9743824998568886E-2</v>
      </c>
    </row>
    <row r="391" spans="1:5" x14ac:dyDescent="0.25">
      <c r="A391" s="76">
        <v>2.726029978907718E-2</v>
      </c>
      <c r="B391" s="76">
        <v>9.3818755217654815E-2</v>
      </c>
    </row>
    <row r="392" spans="1:5" x14ac:dyDescent="0.25">
      <c r="A392" s="76">
        <v>1.6651633592442039E-2</v>
      </c>
      <c r="B392" s="76">
        <v>0.10043034954996766</v>
      </c>
    </row>
    <row r="393" spans="1:5" x14ac:dyDescent="0.25">
      <c r="A393" s="76">
        <v>3.2832578712135074E-2</v>
      </c>
      <c r="B393" s="76">
        <v>-7.2595600128040338E-3</v>
      </c>
    </row>
    <row r="394" spans="1:5" x14ac:dyDescent="0.25">
      <c r="B394" s="76">
        <v>0.24829433073622731</v>
      </c>
    </row>
    <row r="395" spans="1:5" x14ac:dyDescent="0.25">
      <c r="B395" s="76">
        <v>0.33108944850470845</v>
      </c>
    </row>
    <row r="396" spans="1:5" x14ac:dyDescent="0.25">
      <c r="B396" s="76">
        <v>0.21011541999518313</v>
      </c>
    </row>
    <row r="397" spans="1:5" x14ac:dyDescent="0.25">
      <c r="B397" s="76">
        <v>0.2580188806282222</v>
      </c>
    </row>
    <row r="398" spans="1:5" x14ac:dyDescent="0.25">
      <c r="B398" s="76">
        <v>4.4347990454308261E-2</v>
      </c>
      <c r="E398" s="76">
        <v>0.54009179109410166</v>
      </c>
    </row>
    <row r="399" spans="1:5" x14ac:dyDescent="0.25">
      <c r="B399" s="76">
        <v>0.11486177478196646</v>
      </c>
      <c r="E399" s="76">
        <v>0.93291883873515191</v>
      </c>
    </row>
    <row r="400" spans="1:5" x14ac:dyDescent="0.25">
      <c r="B400" s="76">
        <v>0.1565344711825345</v>
      </c>
      <c r="E400" s="76">
        <v>1.1672519775498951</v>
      </c>
    </row>
    <row r="401" spans="1:5" x14ac:dyDescent="0.25">
      <c r="B401" s="76">
        <v>0.20045370511736982</v>
      </c>
      <c r="E401" s="76">
        <v>1.2603272420956819</v>
      </c>
    </row>
    <row r="402" spans="1:5" x14ac:dyDescent="0.25">
      <c r="A402" s="76">
        <v>0.20548861607548896</v>
      </c>
      <c r="B402" s="76">
        <v>9.1275775776087364E-2</v>
      </c>
      <c r="C402" s="76">
        <v>5.4334350963329392E-2</v>
      </c>
      <c r="E402" s="76">
        <v>0.5108256237659905</v>
      </c>
    </row>
    <row r="403" spans="1:5" x14ac:dyDescent="0.25">
      <c r="A403" s="76">
        <v>0.20548861607548896</v>
      </c>
      <c r="B403" s="76">
        <v>0.17686770611149072</v>
      </c>
      <c r="C403" s="76">
        <v>0.15487558018520664</v>
      </c>
      <c r="E403" s="76">
        <v>0.84729786038720345</v>
      </c>
    </row>
    <row r="404" spans="1:5" x14ac:dyDescent="0.25">
      <c r="A404" s="76">
        <v>0.21086089945836761</v>
      </c>
      <c r="B404" s="76">
        <v>6.7030162319102748E-2</v>
      </c>
      <c r="C404" s="76">
        <v>0.14394650965301659</v>
      </c>
      <c r="E404" s="76">
        <v>0.67461733141838343</v>
      </c>
    </row>
    <row r="405" spans="1:5" x14ac:dyDescent="0.25">
      <c r="A405" s="76">
        <v>0.29180919345643197</v>
      </c>
      <c r="B405" s="76">
        <v>7.3177883728278825E-2</v>
      </c>
      <c r="C405" s="76">
        <v>0</v>
      </c>
      <c r="E405" s="76">
        <v>0.78937521265449861</v>
      </c>
    </row>
    <row r="406" spans="1:5" x14ac:dyDescent="0.25">
      <c r="A406" s="76">
        <v>0.29703171909293857</v>
      </c>
      <c r="B406" s="76">
        <v>7.2218207811799218E-2</v>
      </c>
      <c r="C406" s="76">
        <v>7.0951735972284435E-2</v>
      </c>
      <c r="E406" s="76">
        <v>0.83620651233859844</v>
      </c>
    </row>
    <row r="407" spans="1:5" x14ac:dyDescent="0.25">
      <c r="A407" s="76">
        <v>0.30413367734378616</v>
      </c>
      <c r="B407" s="76">
        <v>9.0783949504949168E-2</v>
      </c>
      <c r="C407" s="76">
        <v>0.60692600511281647</v>
      </c>
      <c r="E407" s="76">
        <v>0.47014902387123714</v>
      </c>
    </row>
    <row r="408" spans="1:5" x14ac:dyDescent="0.25">
      <c r="A408" s="76">
        <v>0.32579770537429309</v>
      </c>
      <c r="B408" s="76">
        <v>9.0971778205726883E-2</v>
      </c>
      <c r="C408" s="76">
        <v>0.23424916772671911</v>
      </c>
      <c r="E408" s="76">
        <v>0.51694934880919163</v>
      </c>
    </row>
    <row r="409" spans="1:5" x14ac:dyDescent="0.25">
      <c r="A409" s="76">
        <v>0.32579770537429309</v>
      </c>
      <c r="B409" s="76">
        <v>9.0971778205726883E-2</v>
      </c>
      <c r="C409" s="76">
        <v>0.14518200984449803</v>
      </c>
      <c r="E409" s="76">
        <v>0.51694934880919208</v>
      </c>
    </row>
    <row r="410" spans="1:5" x14ac:dyDescent="0.25">
      <c r="A410" s="76">
        <v>0.32929485434087979</v>
      </c>
      <c r="B410" s="76">
        <v>3.922071315328135E-2</v>
      </c>
      <c r="C410" s="76">
        <v>0.14712730867216162</v>
      </c>
      <c r="E410" s="76">
        <v>0.8161436321261859</v>
      </c>
    </row>
    <row r="411" spans="1:5" x14ac:dyDescent="0.25">
      <c r="A411" s="76">
        <v>0.11265497771023725</v>
      </c>
    </row>
    <row r="412" spans="1:5" x14ac:dyDescent="0.25">
      <c r="A412" s="76">
        <v>0.26666406461690428</v>
      </c>
    </row>
    <row r="413" spans="1:5" x14ac:dyDescent="0.25">
      <c r="A413" s="76">
        <v>0.42269427329649645</v>
      </c>
    </row>
    <row r="414" spans="1:5" x14ac:dyDescent="0.25">
      <c r="A414" s="76">
        <v>0.45926957483346342</v>
      </c>
    </row>
    <row r="415" spans="1:5" x14ac:dyDescent="0.25">
      <c r="B415" s="76">
        <v>0.21783849908451658</v>
      </c>
    </row>
    <row r="416" spans="1:5" x14ac:dyDescent="0.25">
      <c r="B416" s="76">
        <v>0.23889190828234885</v>
      </c>
    </row>
    <row r="417" spans="1:3" x14ac:dyDescent="0.25">
      <c r="B417" s="76">
        <v>0.25268523041468471</v>
      </c>
    </row>
    <row r="418" spans="1:3" x14ac:dyDescent="0.25">
      <c r="B418" s="76">
        <v>6.735939747921238E-2</v>
      </c>
    </row>
    <row r="419" spans="1:3" x14ac:dyDescent="0.25">
      <c r="A419" s="76">
        <v>2.1382842132700475E-2</v>
      </c>
      <c r="B419" s="76">
        <v>0</v>
      </c>
    </row>
    <row r="420" spans="1:3" x14ac:dyDescent="0.25">
      <c r="A420" s="76">
        <v>0.10264998137102843</v>
      </c>
      <c r="B420" s="76">
        <v>9.3593441185270354E-2</v>
      </c>
    </row>
    <row r="421" spans="1:3" x14ac:dyDescent="0.25">
      <c r="A421" s="76">
        <v>8.2935180869487368E-2</v>
      </c>
      <c r="B421" s="76">
        <v>0.11062962833783829</v>
      </c>
    </row>
    <row r="422" spans="1:3" x14ac:dyDescent="0.25">
      <c r="A422" s="76">
        <v>7.2947757859452622E-2</v>
      </c>
      <c r="B422" s="76">
        <v>0.15684247149296993</v>
      </c>
    </row>
    <row r="423" spans="1:3" x14ac:dyDescent="0.25">
      <c r="B423" s="76">
        <v>0.11667352705482559</v>
      </c>
    </row>
    <row r="424" spans="1:3" x14ac:dyDescent="0.25">
      <c r="B424" s="76">
        <v>0.18531109564232073</v>
      </c>
    </row>
    <row r="425" spans="1:3" x14ac:dyDescent="0.25">
      <c r="B425" s="76">
        <v>0.21794041770258832</v>
      </c>
    </row>
    <row r="426" spans="1:3" x14ac:dyDescent="0.25">
      <c r="B426" s="76">
        <v>0.24953862315275455</v>
      </c>
    </row>
    <row r="427" spans="1:3" x14ac:dyDescent="0.25">
      <c r="B427" s="76">
        <v>0.34174929372205631</v>
      </c>
      <c r="C427" s="76">
        <v>1.041453874828161</v>
      </c>
    </row>
    <row r="428" spans="1:3" x14ac:dyDescent="0.25">
      <c r="B428" s="76">
        <v>0.4177352006999786</v>
      </c>
      <c r="C428" s="76">
        <v>1.6422277352570913</v>
      </c>
    </row>
    <row r="429" spans="1:3" x14ac:dyDescent="0.25">
      <c r="B429" s="76">
        <v>0.46536324968923304</v>
      </c>
      <c r="C429" s="76">
        <v>1.8971199848858811</v>
      </c>
    </row>
    <row r="430" spans="1:3" x14ac:dyDescent="0.25">
      <c r="B430" s="76">
        <v>7.1458963982144796E-2</v>
      </c>
      <c r="C430" s="76">
        <v>0.60613580357031571</v>
      </c>
    </row>
    <row r="431" spans="1:3" x14ac:dyDescent="0.25">
      <c r="B431" s="76">
        <v>0.13815033848081715</v>
      </c>
      <c r="C431" s="76">
        <v>1.0116009116784799</v>
      </c>
    </row>
    <row r="432" spans="1:3" x14ac:dyDescent="0.25">
      <c r="B432" s="76">
        <v>0.23052365861183222</v>
      </c>
      <c r="C432" s="76">
        <v>1.2039728043259359</v>
      </c>
    </row>
    <row r="433" spans="1:3" x14ac:dyDescent="0.25">
      <c r="B433" s="76">
        <v>0.27369583047704094</v>
      </c>
      <c r="C433" s="76">
        <v>1.2992829841302609</v>
      </c>
    </row>
    <row r="434" spans="1:3" x14ac:dyDescent="0.25">
      <c r="B434" s="76">
        <v>0.4177352006999786</v>
      </c>
      <c r="C434" s="76">
        <v>1.3862943611198906</v>
      </c>
    </row>
    <row r="435" spans="1:3" x14ac:dyDescent="0.25">
      <c r="A435" s="76">
        <v>0.10110113140096821</v>
      </c>
      <c r="B435" s="76">
        <v>0.14892327639210667</v>
      </c>
    </row>
    <row r="436" spans="1:3" x14ac:dyDescent="0.25">
      <c r="B436" s="76">
        <v>0.36805067225790689</v>
      </c>
    </row>
    <row r="437" spans="1:3" x14ac:dyDescent="0.25">
      <c r="B437" s="76">
        <v>0.46309422094480079</v>
      </c>
    </row>
    <row r="438" spans="1:3" x14ac:dyDescent="0.25">
      <c r="A438" s="76">
        <v>1.036355429051155</v>
      </c>
      <c r="B438" s="76">
        <v>9.1053042681006113E-2</v>
      </c>
    </row>
    <row r="439" spans="1:3" x14ac:dyDescent="0.25">
      <c r="A439" s="76">
        <v>1.157952836783009</v>
      </c>
      <c r="B439" s="76">
        <v>0.19007954760489398</v>
      </c>
    </row>
    <row r="440" spans="1:3" x14ac:dyDescent="0.25">
      <c r="B440" s="76">
        <v>2.1215839150272586E-2</v>
      </c>
    </row>
    <row r="441" spans="1:3" x14ac:dyDescent="0.25">
      <c r="A441" s="76">
        <v>0.13245785521599895</v>
      </c>
      <c r="B441" s="76">
        <v>3.0771658666753909E-2</v>
      </c>
    </row>
    <row r="442" spans="1:3" x14ac:dyDescent="0.25">
      <c r="A442" s="76">
        <v>0.25607181118317524</v>
      </c>
      <c r="B442" s="76">
        <v>8.4240614887776344E-2</v>
      </c>
    </row>
    <row r="443" spans="1:3" x14ac:dyDescent="0.25">
      <c r="A443" s="76">
        <v>0.27580929402149668</v>
      </c>
      <c r="B443" s="76">
        <v>0.14179791186025748</v>
      </c>
    </row>
    <row r="444" spans="1:3" x14ac:dyDescent="0.25">
      <c r="A444" s="76">
        <v>7.4680764532150334E-2</v>
      </c>
      <c r="B444" s="76">
        <v>0.19530875232076594</v>
      </c>
    </row>
    <row r="445" spans="1:3" x14ac:dyDescent="0.25">
      <c r="A445" s="76">
        <v>1.3368090388077292E-4</v>
      </c>
      <c r="B445" s="76">
        <v>0.34484048629172959</v>
      </c>
    </row>
    <row r="446" spans="1:3" x14ac:dyDescent="0.25">
      <c r="A446" s="76">
        <v>-3.3164224453336999E-2</v>
      </c>
      <c r="B446" s="76">
        <v>0.46262352194811318</v>
      </c>
    </row>
    <row r="447" spans="1:3" x14ac:dyDescent="0.25">
      <c r="A447" s="76">
        <v>-2.8614061483887454E-2</v>
      </c>
      <c r="B447" s="76">
        <v>0.49899116611898786</v>
      </c>
    </row>
    <row r="448" spans="1:3" x14ac:dyDescent="0.25">
      <c r="A448" s="76">
        <v>1.7592076723973449E-2</v>
      </c>
      <c r="B448" s="76">
        <v>0.19530875232076594</v>
      </c>
    </row>
    <row r="449" spans="1:2" x14ac:dyDescent="0.25">
      <c r="A449" s="76">
        <v>6.7382861820544093E-3</v>
      </c>
      <c r="B449" s="76">
        <v>0.34484048629172959</v>
      </c>
    </row>
    <row r="450" spans="1:2" x14ac:dyDescent="0.25">
      <c r="A450" s="76">
        <v>-3.0897115511415052E-2</v>
      </c>
      <c r="B450" s="76">
        <v>0.46262352194811318</v>
      </c>
    </row>
    <row r="451" spans="1:2" x14ac:dyDescent="0.25">
      <c r="A451" s="76">
        <v>-8.5533492206755213E-2</v>
      </c>
      <c r="B451" s="76">
        <v>0.49899116611898786</v>
      </c>
    </row>
    <row r="452" spans="1:2" x14ac:dyDescent="0.25">
      <c r="A452" s="76">
        <v>9.0371748547705799E-2</v>
      </c>
      <c r="B452" s="76">
        <v>1.9088596562522708E-2</v>
      </c>
    </row>
    <row r="453" spans="1:2" x14ac:dyDescent="0.25">
      <c r="A453" s="76">
        <v>0.11660030340733396</v>
      </c>
      <c r="B453" s="76">
        <v>5.2149458823410821E-2</v>
      </c>
    </row>
    <row r="454" spans="1:2" x14ac:dyDescent="0.25">
      <c r="A454" s="76">
        <v>0.23240900476000004</v>
      </c>
      <c r="B454" s="76">
        <v>9.9777507812665478E-2</v>
      </c>
    </row>
    <row r="455" spans="1:2" x14ac:dyDescent="0.25">
      <c r="A455" s="76">
        <v>0.37199908153363559</v>
      </c>
      <c r="B455" s="76">
        <v>0.13593748922710924</v>
      </c>
    </row>
    <row r="456" spans="1:2" x14ac:dyDescent="0.25">
      <c r="A456" s="76">
        <v>7.0042439829091308E-2</v>
      </c>
    </row>
    <row r="457" spans="1:2" x14ac:dyDescent="0.25">
      <c r="A457" s="76">
        <v>9.1179290138407865E-2</v>
      </c>
    </row>
    <row r="458" spans="1:2" x14ac:dyDescent="0.25">
      <c r="A458" s="76">
        <v>0.15816579291461874</v>
      </c>
    </row>
    <row r="459" spans="1:2" x14ac:dyDescent="0.25">
      <c r="A459" s="76">
        <v>0.16910815133556323</v>
      </c>
    </row>
    <row r="460" spans="1:2" x14ac:dyDescent="0.25">
      <c r="A460" s="76">
        <v>6.0967224457826319E-2</v>
      </c>
      <c r="B460" s="76">
        <v>3.3398280401848224E-2</v>
      </c>
    </row>
    <row r="461" spans="1:2" x14ac:dyDescent="0.25">
      <c r="A461" s="76">
        <v>9.2946399750166719E-2</v>
      </c>
      <c r="B461" s="76">
        <v>7.1003427580163647E-2</v>
      </c>
    </row>
    <row r="462" spans="1:2" x14ac:dyDescent="0.25">
      <c r="A462" s="76">
        <v>0.12391307582334576</v>
      </c>
      <c r="B462" s="76">
        <v>0.10214781328192912</v>
      </c>
    </row>
    <row r="463" spans="1:2" x14ac:dyDescent="0.25">
      <c r="A463" s="76">
        <v>9.2946399750166719E-2</v>
      </c>
      <c r="B463" s="76">
        <v>0.10724553035359774</v>
      </c>
    </row>
    <row r="464" spans="1:2" x14ac:dyDescent="0.25">
      <c r="A464" s="76">
        <v>9.1708426489500283E-2</v>
      </c>
      <c r="B464" s="76">
        <v>0.14461771916853472</v>
      </c>
    </row>
    <row r="465" spans="1:5" x14ac:dyDescent="0.25">
      <c r="A465" s="76">
        <v>0.19834326132522051</v>
      </c>
      <c r="B465" s="76">
        <v>0.14461771916853472</v>
      </c>
    </row>
    <row r="466" spans="1:5" x14ac:dyDescent="0.25">
      <c r="A466" s="76">
        <v>0.13211796482737626</v>
      </c>
      <c r="B466" s="76">
        <v>3.1748698314580492E-2</v>
      </c>
    </row>
    <row r="467" spans="1:5" x14ac:dyDescent="0.25">
      <c r="A467" s="76">
        <v>0.12508396952456735</v>
      </c>
      <c r="B467" s="76">
        <v>3.1748698314580492E-2</v>
      </c>
    </row>
    <row r="468" spans="1:5" x14ac:dyDescent="0.25">
      <c r="A468" s="76">
        <v>0.54885230692666376</v>
      </c>
      <c r="B468" s="76">
        <v>1.5300844955300708E-2</v>
      </c>
      <c r="C468" s="76">
        <v>-4.9627893421291258E-3</v>
      </c>
      <c r="E468" s="76">
        <v>0.36708687244081961</v>
      </c>
    </row>
    <row r="469" spans="1:5" x14ac:dyDescent="0.25">
      <c r="A469" s="76">
        <v>0.59991122038899114</v>
      </c>
      <c r="B469" s="76">
        <v>4.9419292846993201E-2</v>
      </c>
      <c r="C469" s="76">
        <v>2.4451095864164163E-2</v>
      </c>
      <c r="E469" s="76">
        <v>0.53336756186048628</v>
      </c>
    </row>
    <row r="470" spans="1:5" x14ac:dyDescent="0.25">
      <c r="A470" s="76">
        <v>0.59991122038899114</v>
      </c>
      <c r="B470" s="76">
        <v>4.9419292846993201E-2</v>
      </c>
      <c r="C470" s="76">
        <v>1.9608471388376403E-2</v>
      </c>
      <c r="E470" s="76">
        <v>1.2409165024424804</v>
      </c>
    </row>
    <row r="471" spans="1:5" x14ac:dyDescent="0.25">
      <c r="A471" s="76">
        <v>0.60638187261853194</v>
      </c>
      <c r="B471" s="76">
        <v>6.7343572065179824E-2</v>
      </c>
      <c r="C471" s="76">
        <v>1.0204170174241911E-2</v>
      </c>
      <c r="E471" s="76">
        <v>0.70033475309757254</v>
      </c>
    </row>
    <row r="472" spans="1:5" x14ac:dyDescent="0.25">
      <c r="B472" s="76">
        <v>0.18232155679395445</v>
      </c>
    </row>
    <row r="473" spans="1:5" x14ac:dyDescent="0.25">
      <c r="B473" s="76">
        <v>0.21802240559365349</v>
      </c>
    </row>
    <row r="474" spans="1:5" x14ac:dyDescent="0.25">
      <c r="B474" s="76">
        <v>0.28522325636175228</v>
      </c>
    </row>
    <row r="475" spans="1:5" x14ac:dyDescent="0.25">
      <c r="A475" s="76">
        <v>4.1097384493864908E-2</v>
      </c>
      <c r="B475" s="76">
        <v>2.1339316034995504E-2</v>
      </c>
    </row>
    <row r="476" spans="1:5" x14ac:dyDescent="0.25">
      <c r="A476" s="76">
        <v>0.2076193837602105</v>
      </c>
      <c r="B476" s="76">
        <v>2.1339316034995504E-2</v>
      </c>
    </row>
    <row r="477" spans="1:5" x14ac:dyDescent="0.25">
      <c r="A477" s="76">
        <v>0.23563650453784746</v>
      </c>
      <c r="B477" s="76">
        <v>3.6577706139927946E-2</v>
      </c>
    </row>
    <row r="478" spans="1:5" x14ac:dyDescent="0.25">
      <c r="A478" s="76">
        <v>0.29984224575768081</v>
      </c>
      <c r="B478" s="76">
        <v>4.0351295523567421E-2</v>
      </c>
    </row>
    <row r="479" spans="1:5" x14ac:dyDescent="0.25">
      <c r="A479" s="76">
        <v>0.65620246902929757</v>
      </c>
      <c r="B479" s="76">
        <v>9.6331108938432219E-2</v>
      </c>
      <c r="C479" s="76">
        <v>6.4538521137571303E-2</v>
      </c>
      <c r="E479" s="76">
        <v>1.2769052738169679</v>
      </c>
    </row>
    <row r="480" spans="1:5" x14ac:dyDescent="0.25">
      <c r="B480" s="76">
        <v>0.11446408139831954</v>
      </c>
      <c r="C480" s="76">
        <v>0.27337267174453617</v>
      </c>
    </row>
    <row r="481" spans="1:3" x14ac:dyDescent="0.25">
      <c r="B481" s="76">
        <v>0.19940475804740321</v>
      </c>
      <c r="C481" s="76">
        <v>0.49580196565764112</v>
      </c>
    </row>
    <row r="482" spans="1:3" x14ac:dyDescent="0.25">
      <c r="B482" s="76">
        <v>0.28966817042341031</v>
      </c>
      <c r="C482" s="76">
        <v>0.55288980786735609</v>
      </c>
    </row>
    <row r="483" spans="1:3" x14ac:dyDescent="0.25">
      <c r="A483" s="76">
        <v>0.47445797959511626</v>
      </c>
      <c r="B483" s="76">
        <v>0.21551962620355036</v>
      </c>
    </row>
    <row r="484" spans="1:3" x14ac:dyDescent="0.25">
      <c r="A484" s="76">
        <v>0.57375362945038155</v>
      </c>
      <c r="B484" s="76">
        <v>0.32495346724901242</v>
      </c>
    </row>
    <row r="485" spans="1:3" x14ac:dyDescent="0.25">
      <c r="A485" s="76">
        <v>0.58074829541290862</v>
      </c>
      <c r="B485" s="76">
        <v>1.6736792355523944E-2</v>
      </c>
    </row>
    <row r="486" spans="1:3" x14ac:dyDescent="0.25">
      <c r="A486" s="76">
        <v>0.42085002694764384</v>
      </c>
      <c r="B486" s="76">
        <v>4.7382704401552234E-2</v>
      </c>
    </row>
    <row r="487" spans="1:3" x14ac:dyDescent="0.25">
      <c r="A487" s="76">
        <v>0.55581169395186691</v>
      </c>
      <c r="B487" s="76">
        <v>0.12479077281378825</v>
      </c>
    </row>
    <row r="488" spans="1:3" x14ac:dyDescent="0.25">
      <c r="A488" s="76">
        <v>0.495425252439047</v>
      </c>
      <c r="B488" s="76">
        <v>0.3126833746571982</v>
      </c>
    </row>
    <row r="489" spans="1:3" x14ac:dyDescent="0.25">
      <c r="A489" s="76">
        <v>0.35725617034277324</v>
      </c>
      <c r="B489" s="76">
        <v>0.33088098669429944</v>
      </c>
    </row>
    <row r="490" spans="1:3" x14ac:dyDescent="0.25">
      <c r="A490" s="76">
        <v>0.43277428747737945</v>
      </c>
      <c r="B490" s="76">
        <v>0.41107522099893123</v>
      </c>
    </row>
    <row r="491" spans="1:3" x14ac:dyDescent="0.25">
      <c r="A491" s="76">
        <v>0.47083384930172478</v>
      </c>
      <c r="B491" s="76">
        <v>0.23238343225555536</v>
      </c>
    </row>
    <row r="492" spans="1:3" x14ac:dyDescent="0.25">
      <c r="A492" s="76">
        <v>0.59459254052424981</v>
      </c>
      <c r="B492" s="76">
        <v>0.10978111016322289</v>
      </c>
    </row>
    <row r="493" spans="1:3" x14ac:dyDescent="0.25">
      <c r="A493" s="76">
        <v>0.38363384645093035</v>
      </c>
      <c r="B493" s="76">
        <v>0.4138685189045439</v>
      </c>
    </row>
    <row r="494" spans="1:3" x14ac:dyDescent="0.25">
      <c r="A494" s="76">
        <v>0.42953629220360412</v>
      </c>
      <c r="B494" s="76">
        <v>0.49423302867257091</v>
      </c>
    </row>
    <row r="495" spans="1:3" x14ac:dyDescent="0.25">
      <c r="A495" s="76">
        <v>0.53121436029063229</v>
      </c>
      <c r="B495" s="76">
        <v>0.26689795098951974</v>
      </c>
    </row>
    <row r="496" spans="1:3" x14ac:dyDescent="0.25">
      <c r="A496" s="76">
        <v>0.71043867767000668</v>
      </c>
      <c r="B496" s="76">
        <v>0.3126833746571982</v>
      </c>
    </row>
    <row r="497" spans="1:5" x14ac:dyDescent="0.25">
      <c r="A497" s="76">
        <v>3.4783629559278495E-2</v>
      </c>
      <c r="B497" s="76">
        <v>0.11332868530700324</v>
      </c>
    </row>
    <row r="498" spans="1:5" x14ac:dyDescent="0.25">
      <c r="A498" s="76">
        <v>7.2825702985717555E-2</v>
      </c>
      <c r="B498" s="76">
        <v>0.19885085874516517</v>
      </c>
    </row>
    <row r="499" spans="1:5" x14ac:dyDescent="0.25">
      <c r="A499" s="76">
        <v>4.6052666159208222E-2</v>
      </c>
      <c r="B499" s="76">
        <v>0.27763173659827944</v>
      </c>
    </row>
    <row r="500" spans="1:5" x14ac:dyDescent="0.25">
      <c r="A500" s="76">
        <v>3.8523000093973359E-2</v>
      </c>
      <c r="B500" s="76">
        <v>0.33647223662121295</v>
      </c>
    </row>
    <row r="501" spans="1:5" x14ac:dyDescent="0.25">
      <c r="A501" s="76">
        <v>-4.9600228412530534E-2</v>
      </c>
      <c r="B501" s="76">
        <v>0.40546510810816438</v>
      </c>
    </row>
    <row r="502" spans="1:5" x14ac:dyDescent="0.25">
      <c r="A502" s="76">
        <v>-0.10965816073098367</v>
      </c>
      <c r="B502" s="76">
        <v>0.50681760236845208</v>
      </c>
    </row>
    <row r="503" spans="1:5" x14ac:dyDescent="0.25">
      <c r="B503" s="76">
        <v>3.2636929313022645E-2</v>
      </c>
    </row>
    <row r="504" spans="1:5" x14ac:dyDescent="0.25">
      <c r="B504" s="76">
        <v>5.9787918378973348E-2</v>
      </c>
      <c r="C504" s="76">
        <v>6.155789299943315E-2</v>
      </c>
      <c r="E504" s="76">
        <v>0.2556048266427049</v>
      </c>
    </row>
    <row r="505" spans="1:5" x14ac:dyDescent="0.25">
      <c r="B505" s="76">
        <v>9.7032091551344513E-2</v>
      </c>
      <c r="C505" s="76">
        <v>7.2689733368277665E-2</v>
      </c>
      <c r="E505" s="76">
        <v>0.26453281192749856</v>
      </c>
    </row>
    <row r="506" spans="1:5" x14ac:dyDescent="0.25">
      <c r="B506" s="76">
        <v>0.13914357690147128</v>
      </c>
      <c r="C506" s="76">
        <v>0.12024216050583991</v>
      </c>
      <c r="E506" s="76">
        <v>0.29047914304220512</v>
      </c>
    </row>
    <row r="507" spans="1:5" x14ac:dyDescent="0.25">
      <c r="B507" s="76">
        <v>0.23726143285999468</v>
      </c>
      <c r="C507" s="76">
        <v>0.12071817131214591</v>
      </c>
      <c r="E507" s="76">
        <v>0.29511207104042914</v>
      </c>
    </row>
    <row r="508" spans="1:5" x14ac:dyDescent="0.25">
      <c r="A508" s="76">
        <v>0.67127643456811636</v>
      </c>
      <c r="B508" s="76">
        <v>7.1227509288367852E-2</v>
      </c>
      <c r="C508" s="76">
        <v>5.5151820075080016E-2</v>
      </c>
      <c r="E508" s="76">
        <v>1.0782034170369026</v>
      </c>
    </row>
    <row r="509" spans="1:5" x14ac:dyDescent="0.25">
      <c r="A509" s="76">
        <v>0.73394754153089092</v>
      </c>
      <c r="B509" s="76">
        <v>0.12792285296491324</v>
      </c>
      <c r="C509" s="76">
        <v>0.3004863446977688</v>
      </c>
      <c r="E509" s="76">
        <v>0.96089736684150617</v>
      </c>
    </row>
    <row r="510" spans="1:5" x14ac:dyDescent="0.25">
      <c r="A510" s="76">
        <v>0.77085824542703651</v>
      </c>
      <c r="B510" s="76">
        <v>0.13437373438428257</v>
      </c>
      <c r="C510" s="76">
        <v>0.1541506798272585</v>
      </c>
      <c r="E510" s="76">
        <v>1.374952084515956</v>
      </c>
    </row>
    <row r="511" spans="1:5" x14ac:dyDescent="0.25">
      <c r="A511" s="76">
        <v>8.3349114503720401E-2</v>
      </c>
      <c r="B511" s="76">
        <v>9.8699375291044111E-2</v>
      </c>
    </row>
    <row r="512" spans="1:5" x14ac:dyDescent="0.25">
      <c r="A512" s="76">
        <v>0.12478078860245567</v>
      </c>
      <c r="B512" s="76">
        <v>0.16593632007573067</v>
      </c>
    </row>
    <row r="513" spans="1:5" x14ac:dyDescent="0.25">
      <c r="A513" s="76">
        <v>7.6900865423027653E-2</v>
      </c>
      <c r="B513" s="76">
        <v>0.25820625431882727</v>
      </c>
    </row>
    <row r="514" spans="1:5" x14ac:dyDescent="0.25">
      <c r="A514" s="76">
        <v>8.3341319609674613E-2</v>
      </c>
      <c r="B514" s="76">
        <v>9.8699375291044111E-2</v>
      </c>
    </row>
    <row r="515" spans="1:5" x14ac:dyDescent="0.25">
      <c r="A515" s="76">
        <v>0.12474067410479961</v>
      </c>
      <c r="B515" s="76">
        <v>0.16593632007573067</v>
      </c>
    </row>
    <row r="516" spans="1:5" x14ac:dyDescent="0.25">
      <c r="A516" s="76">
        <v>7.6803388451885723E-2</v>
      </c>
      <c r="B516" s="76">
        <v>0.25820625431882727</v>
      </c>
    </row>
    <row r="517" spans="1:5" x14ac:dyDescent="0.25">
      <c r="A517" s="76">
        <v>0.21059633526212096</v>
      </c>
      <c r="B517" s="76">
        <v>2.5642430613337597E-2</v>
      </c>
    </row>
    <row r="518" spans="1:5" x14ac:dyDescent="0.25">
      <c r="A518" s="76">
        <v>0.30682436735667551</v>
      </c>
      <c r="B518" s="76">
        <v>5.5920789919598812E-2</v>
      </c>
    </row>
    <row r="519" spans="1:5" x14ac:dyDescent="0.25">
      <c r="A519" s="76">
        <v>0.29760771225175198</v>
      </c>
      <c r="B519" s="76">
        <v>0.11551288712184427</v>
      </c>
    </row>
    <row r="520" spans="1:5" x14ac:dyDescent="0.25">
      <c r="A520" s="76">
        <v>0.11181446419857011</v>
      </c>
      <c r="B520" s="76">
        <v>0.13301579580980061</v>
      </c>
    </row>
    <row r="521" spans="1:5" x14ac:dyDescent="0.25">
      <c r="A521" s="76">
        <v>4.3638169260004744E-2</v>
      </c>
      <c r="B521" s="76">
        <v>0.25200147743194456</v>
      </c>
    </row>
    <row r="522" spans="1:5" x14ac:dyDescent="0.25">
      <c r="A522" s="76">
        <v>3.5493675526705459E-2</v>
      </c>
      <c r="B522" s="76">
        <v>0.31714077960290599</v>
      </c>
    </row>
    <row r="523" spans="1:5" x14ac:dyDescent="0.25">
      <c r="A523" s="76">
        <v>0.1117185455375207</v>
      </c>
      <c r="B523" s="76">
        <v>0.13301579580980061</v>
      </c>
    </row>
    <row r="524" spans="1:5" x14ac:dyDescent="0.25">
      <c r="A524" s="76">
        <v>4.3542250598955334E-2</v>
      </c>
      <c r="B524" s="76">
        <v>0.25200147743194456</v>
      </c>
    </row>
    <row r="525" spans="1:5" x14ac:dyDescent="0.25">
      <c r="A525" s="76">
        <v>3.5397756865656049E-2</v>
      </c>
      <c r="B525" s="76">
        <v>0.31714077960290599</v>
      </c>
    </row>
    <row r="526" spans="1:5" x14ac:dyDescent="0.25">
      <c r="B526" s="76">
        <v>0.15919482671393625</v>
      </c>
      <c r="C526" s="76">
        <v>0.23430218367127686</v>
      </c>
      <c r="E526" s="76">
        <v>0.32440835049388017</v>
      </c>
    </row>
    <row r="527" spans="1:5" x14ac:dyDescent="0.25">
      <c r="B527" s="76">
        <v>0.23195418099636478</v>
      </c>
      <c r="C527" s="76">
        <v>0.39350217131109266</v>
      </c>
      <c r="E527" s="76">
        <v>0.34602783271228388</v>
      </c>
    </row>
    <row r="528" spans="1:5" x14ac:dyDescent="0.25">
      <c r="B528" s="76">
        <v>0.26644035706753399</v>
      </c>
      <c r="C528" s="76">
        <v>0.53126592661783212</v>
      </c>
      <c r="E528" s="76">
        <v>0.70730312979007737</v>
      </c>
    </row>
    <row r="529" spans="1:5" x14ac:dyDescent="0.25">
      <c r="B529" s="76">
        <v>5.8155920157074048E-2</v>
      </c>
    </row>
    <row r="530" spans="1:5" x14ac:dyDescent="0.25">
      <c r="B530" s="76">
        <v>7.681317776161678E-2</v>
      </c>
    </row>
    <row r="531" spans="1:5" x14ac:dyDescent="0.25">
      <c r="B531" s="76">
        <v>0.2017588348513466</v>
      </c>
    </row>
    <row r="532" spans="1:5" x14ac:dyDescent="0.25">
      <c r="B532" s="76">
        <v>0.23544285335236115</v>
      </c>
    </row>
    <row r="533" spans="1:5" x14ac:dyDescent="0.25">
      <c r="B533" s="76">
        <v>0.26650125037233385</v>
      </c>
    </row>
    <row r="534" spans="1:5" x14ac:dyDescent="0.25">
      <c r="B534" s="76">
        <v>6.609011182899005E-2</v>
      </c>
      <c r="C534" s="76">
        <v>0.20821790109753424</v>
      </c>
      <c r="E534" s="76">
        <v>0.32383114380315092</v>
      </c>
    </row>
    <row r="535" spans="1:5" x14ac:dyDescent="0.25">
      <c r="B535" s="76">
        <v>8.1475030668469506E-2</v>
      </c>
      <c r="C535" s="76">
        <v>0.27383666562972797</v>
      </c>
      <c r="E535" s="76">
        <v>0.32763721521922928</v>
      </c>
    </row>
    <row r="536" spans="1:5" x14ac:dyDescent="0.25">
      <c r="B536" s="76">
        <v>0.20686266571007228</v>
      </c>
      <c r="C536" s="76">
        <v>0.41801114840963915</v>
      </c>
      <c r="E536" s="76">
        <v>0.54361544658898175</v>
      </c>
    </row>
    <row r="537" spans="1:5" x14ac:dyDescent="0.25">
      <c r="B537" s="76">
        <v>0.19330313592443993</v>
      </c>
      <c r="C537" s="76">
        <v>0.3184537311185347</v>
      </c>
      <c r="E537" s="76">
        <v>0.33168672348598083</v>
      </c>
    </row>
    <row r="538" spans="1:5" x14ac:dyDescent="0.25">
      <c r="B538" s="76">
        <v>0.22190054307461282</v>
      </c>
      <c r="C538" s="76">
        <v>0.49082495705932105</v>
      </c>
      <c r="E538" s="76">
        <v>0.65058756614114976</v>
      </c>
    </row>
    <row r="539" spans="1:5" x14ac:dyDescent="0.25">
      <c r="B539" s="76">
        <v>0.16737255600343759</v>
      </c>
      <c r="C539" s="76">
        <v>0.29062446261676511</v>
      </c>
      <c r="E539" s="76">
        <v>0.33077873188659002</v>
      </c>
    </row>
    <row r="540" spans="1:5" x14ac:dyDescent="0.25">
      <c r="B540" s="76">
        <v>0.20179936375352558</v>
      </c>
      <c r="C540" s="76">
        <v>0.40896883766976266</v>
      </c>
      <c r="E540" s="76">
        <v>0.51651207288254897</v>
      </c>
    </row>
    <row r="541" spans="1:5" x14ac:dyDescent="0.25">
      <c r="B541" s="76">
        <v>0.25773499608382888</v>
      </c>
      <c r="C541" s="76">
        <v>0.55885964423209877</v>
      </c>
      <c r="E541" s="76">
        <v>0.88238918019847379</v>
      </c>
    </row>
    <row r="542" spans="1:5" x14ac:dyDescent="0.25">
      <c r="B542" s="76">
        <v>0.22024079165624832</v>
      </c>
      <c r="C542" s="76">
        <v>0.44072079866434111</v>
      </c>
      <c r="E542" s="76">
        <v>0.63118510670833183</v>
      </c>
    </row>
    <row r="543" spans="1:5" x14ac:dyDescent="0.25">
      <c r="A543" s="76">
        <v>3.38296290522978</v>
      </c>
      <c r="B543" s="76">
        <v>1.9763489118839628E-2</v>
      </c>
    </row>
    <row r="544" spans="1:5" x14ac:dyDescent="0.25">
      <c r="A544" s="76">
        <v>3.9845168276649865</v>
      </c>
      <c r="B544" s="76">
        <v>0.15841871874323177</v>
      </c>
    </row>
    <row r="545" spans="1:2" x14ac:dyDescent="0.25">
      <c r="A545" s="76">
        <v>4.0628394895052526</v>
      </c>
      <c r="B545" s="76">
        <v>0.30842355675859734</v>
      </c>
    </row>
    <row r="546" spans="1:2" x14ac:dyDescent="0.25">
      <c r="A546" s="76">
        <v>0.7946123238208882</v>
      </c>
      <c r="B546" s="76">
        <v>0.11025648627003304</v>
      </c>
    </row>
    <row r="547" spans="1:2" x14ac:dyDescent="0.25">
      <c r="A547" s="76">
        <v>0.98236596536503207</v>
      </c>
      <c r="B547" s="76">
        <v>0.21121170845994297</v>
      </c>
    </row>
    <row r="548" spans="1:2" x14ac:dyDescent="0.25">
      <c r="B548" s="76">
        <v>3.863141314043661E-2</v>
      </c>
    </row>
    <row r="549" spans="1:2" x14ac:dyDescent="0.25">
      <c r="A549" s="76">
        <v>9.7638469563915642E-2</v>
      </c>
      <c r="B549" s="76">
        <v>0.2375553299755131</v>
      </c>
    </row>
    <row r="550" spans="1:2" x14ac:dyDescent="0.25">
      <c r="A550" s="76">
        <v>2.5317807984289509E-2</v>
      </c>
      <c r="B550" s="76">
        <v>0.39329457248790911</v>
      </c>
    </row>
    <row r="551" spans="1:2" x14ac:dyDescent="0.25">
      <c r="A551" s="76">
        <v>2.5317807984289509E-2</v>
      </c>
      <c r="B551" s="76">
        <v>0.45399922311475871</v>
      </c>
    </row>
    <row r="552" spans="1:2" x14ac:dyDescent="0.25">
      <c r="A552" s="76">
        <v>3.7740327982846544E-2</v>
      </c>
      <c r="B552" s="76">
        <v>0.51243722766033217</v>
      </c>
    </row>
    <row r="553" spans="1:2" x14ac:dyDescent="0.25">
      <c r="A553" s="76">
        <v>0.43721380642274443</v>
      </c>
      <c r="B553" s="76">
        <v>0.2375553299755131</v>
      </c>
    </row>
    <row r="554" spans="1:2" x14ac:dyDescent="0.25">
      <c r="A554" s="76">
        <v>0.58419599677139011</v>
      </c>
      <c r="B554" s="76">
        <v>0.39329457248790911</v>
      </c>
    </row>
    <row r="555" spans="1:2" x14ac:dyDescent="0.25">
      <c r="A555" s="76">
        <v>0.59492955241449863</v>
      </c>
      <c r="B555" s="76">
        <v>0.45399922311475871</v>
      </c>
    </row>
    <row r="556" spans="1:2" x14ac:dyDescent="0.25">
      <c r="A556" s="76">
        <v>0.66700190045562291</v>
      </c>
      <c r="B556" s="76">
        <v>0.51243722766033217</v>
      </c>
    </row>
    <row r="557" spans="1:2" x14ac:dyDescent="0.25">
      <c r="A557" s="76">
        <v>0.42810758485792455</v>
      </c>
      <c r="B557" s="76">
        <v>0.21457260262764843</v>
      </c>
    </row>
    <row r="558" spans="1:2" x14ac:dyDescent="0.25">
      <c r="A558" s="76">
        <v>0.42312004334688424</v>
      </c>
      <c r="B558" s="76">
        <v>0.31693461528921851</v>
      </c>
    </row>
    <row r="559" spans="1:2" x14ac:dyDescent="0.25">
      <c r="A559" s="76">
        <v>0.39780223536259562</v>
      </c>
      <c r="B559" s="76">
        <v>0.34491778695268893</v>
      </c>
    </row>
    <row r="560" spans="1:2" x14ac:dyDescent="0.25">
      <c r="A560" s="76">
        <v>0.28958865072236328</v>
      </c>
      <c r="B560" s="76">
        <v>0.4134725423318657</v>
      </c>
    </row>
    <row r="561" spans="1:2" x14ac:dyDescent="0.25">
      <c r="A561" s="76">
        <v>0.1219671421789581</v>
      </c>
      <c r="B561" s="76">
        <v>0.21457260262764843</v>
      </c>
    </row>
    <row r="562" spans="1:2" x14ac:dyDescent="0.25">
      <c r="A562" s="76">
        <v>0.13028319842061542</v>
      </c>
      <c r="B562" s="76">
        <v>0.31693461528921851</v>
      </c>
    </row>
    <row r="563" spans="1:2" x14ac:dyDescent="0.25">
      <c r="A563" s="76">
        <v>7.4949935662246503E-2</v>
      </c>
      <c r="B563" s="76">
        <v>0.34491778695268893</v>
      </c>
    </row>
    <row r="564" spans="1:2" x14ac:dyDescent="0.25">
      <c r="A564" s="76">
        <v>0.13441543570552561</v>
      </c>
      <c r="B564" s="76">
        <v>0.4134725423318657</v>
      </c>
    </row>
    <row r="565" spans="1:2" x14ac:dyDescent="0.25">
      <c r="A565" s="76">
        <v>0.12048939725412655</v>
      </c>
      <c r="B565" s="76">
        <v>0.15934691741822848</v>
      </c>
    </row>
    <row r="566" spans="1:2" x14ac:dyDescent="0.25">
      <c r="A566" s="76">
        <v>8.751937801655707E-2</v>
      </c>
      <c r="B566" s="76">
        <v>0.24853813178327866</v>
      </c>
    </row>
    <row r="567" spans="1:2" x14ac:dyDescent="0.25">
      <c r="A567" s="76">
        <v>0.11506932978478712</v>
      </c>
      <c r="B567" s="76">
        <v>0.32765918040539788</v>
      </c>
    </row>
    <row r="568" spans="1:2" x14ac:dyDescent="0.25">
      <c r="A568" s="76">
        <v>0.13124218903038898</v>
      </c>
      <c r="B568" s="76">
        <v>0.43260467219339471</v>
      </c>
    </row>
    <row r="569" spans="1:2" x14ac:dyDescent="0.25">
      <c r="A569" s="76">
        <v>0.21322909425703074</v>
      </c>
      <c r="B569" s="76">
        <v>0.15934691741822848</v>
      </c>
    </row>
    <row r="570" spans="1:2" x14ac:dyDescent="0.25">
      <c r="A570" s="76">
        <v>0.23827512618311886</v>
      </c>
      <c r="B570" s="76">
        <v>0.24853813178327866</v>
      </c>
    </row>
    <row r="571" spans="1:2" x14ac:dyDescent="0.25">
      <c r="A571" s="76">
        <v>0.25578870867582726</v>
      </c>
      <c r="B571" s="76">
        <v>0.32765918040539788</v>
      </c>
    </row>
    <row r="572" spans="1:2" x14ac:dyDescent="0.25">
      <c r="A572" s="76">
        <v>0.25925491665231348</v>
      </c>
      <c r="B572" s="76">
        <v>0.43260467219339471</v>
      </c>
    </row>
    <row r="573" spans="1:2" x14ac:dyDescent="0.25">
      <c r="A573" s="76">
        <v>0.19415601444095731</v>
      </c>
      <c r="B573" s="76">
        <v>9.5654473145649455E-2</v>
      </c>
    </row>
    <row r="574" spans="1:2" x14ac:dyDescent="0.25">
      <c r="A574" s="76">
        <v>0.25921960778801978</v>
      </c>
      <c r="B574" s="76">
        <v>0.20479441264601306</v>
      </c>
    </row>
    <row r="575" spans="1:2" x14ac:dyDescent="0.25">
      <c r="A575" s="76">
        <v>0.26706278524904548</v>
      </c>
      <c r="B575" s="76">
        <v>0.28483712031954944</v>
      </c>
    </row>
    <row r="576" spans="1:2" x14ac:dyDescent="0.25">
      <c r="A576" s="76">
        <v>0.26706278524904548</v>
      </c>
      <c r="B576" s="76">
        <v>0.36947150546025864</v>
      </c>
    </row>
    <row r="577" spans="1:2" x14ac:dyDescent="0.25">
      <c r="A577" s="76">
        <v>0.18392283816092814</v>
      </c>
      <c r="B577" s="76">
        <v>3.4643391472313878E-2</v>
      </c>
    </row>
    <row r="578" spans="1:2" x14ac:dyDescent="0.25">
      <c r="A578" s="76">
        <v>0.16779345623104458</v>
      </c>
      <c r="B578" s="76">
        <v>0.15282459555920158</v>
      </c>
    </row>
    <row r="579" spans="1:2" x14ac:dyDescent="0.25">
      <c r="A579" s="76">
        <v>0.30436899123679595</v>
      </c>
      <c r="B579" s="76">
        <v>0.20856657856743666</v>
      </c>
    </row>
    <row r="580" spans="1:2" x14ac:dyDescent="0.25">
      <c r="A580" s="76">
        <v>0.33921572256696386</v>
      </c>
      <c r="B580" s="76">
        <v>0.28256697178501056</v>
      </c>
    </row>
    <row r="581" spans="1:2" x14ac:dyDescent="0.25">
      <c r="A581" s="76">
        <v>0.14986434664657367</v>
      </c>
      <c r="B581" s="76">
        <v>3.4643391472313878E-2</v>
      </c>
    </row>
    <row r="582" spans="1:2" x14ac:dyDescent="0.25">
      <c r="A582" s="76">
        <v>0.16520991632123394</v>
      </c>
      <c r="B582" s="76">
        <v>0.15282459555920158</v>
      </c>
    </row>
    <row r="583" spans="1:2" x14ac:dyDescent="0.25">
      <c r="A583" s="76">
        <v>0.2665012503723343</v>
      </c>
      <c r="B583" s="76">
        <v>0.20856657856743666</v>
      </c>
    </row>
    <row r="584" spans="1:2" x14ac:dyDescent="0.25">
      <c r="A584" s="76">
        <v>0.2710779173997464</v>
      </c>
      <c r="B584" s="76">
        <v>0.28256697178501056</v>
      </c>
    </row>
    <row r="585" spans="1:2" x14ac:dyDescent="0.25">
      <c r="A585" s="76">
        <v>0.29649270213393653</v>
      </c>
      <c r="B585" s="76">
        <v>6.3454118356446099E-2</v>
      </c>
    </row>
    <row r="586" spans="1:2" x14ac:dyDescent="0.25">
      <c r="A586" s="76">
        <v>0.19986586644486426</v>
      </c>
      <c r="B586" s="76">
        <v>0.1265223004856979</v>
      </c>
    </row>
    <row r="587" spans="1:2" x14ac:dyDescent="0.25">
      <c r="A587" s="76">
        <v>0.32246818853719716</v>
      </c>
      <c r="B587" s="76">
        <v>0.19856653897828758</v>
      </c>
    </row>
    <row r="588" spans="1:2" x14ac:dyDescent="0.25">
      <c r="A588" s="76">
        <v>0.3415163835078916</v>
      </c>
      <c r="B588" s="76">
        <v>0.26132622774641834</v>
      </c>
    </row>
    <row r="589" spans="1:2" x14ac:dyDescent="0.25">
      <c r="A589" s="76">
        <v>0.25131442828090655</v>
      </c>
      <c r="B589" s="76">
        <v>6.3454118356446099E-2</v>
      </c>
    </row>
    <row r="590" spans="1:2" x14ac:dyDescent="0.25">
      <c r="A590" s="76">
        <v>0.29194647123823891</v>
      </c>
      <c r="B590" s="76">
        <v>0.1265223004856979</v>
      </c>
    </row>
    <row r="591" spans="1:2" x14ac:dyDescent="0.25">
      <c r="A591" s="76">
        <v>0.4820051852304994</v>
      </c>
      <c r="B591" s="76">
        <v>0.19856653897828758</v>
      </c>
    </row>
    <row r="592" spans="1:2" x14ac:dyDescent="0.25">
      <c r="A592" s="76">
        <v>0.40640894961287088</v>
      </c>
      <c r="B592" s="76">
        <v>0.26132622774641834</v>
      </c>
    </row>
    <row r="593" spans="1:2" x14ac:dyDescent="0.25">
      <c r="A593" s="76">
        <v>0.18514243313559664</v>
      </c>
      <c r="B593" s="76">
        <v>7.017095919438221E-2</v>
      </c>
    </row>
    <row r="594" spans="1:2" x14ac:dyDescent="0.25">
      <c r="A594" s="76">
        <v>0.19912867511033649</v>
      </c>
      <c r="B594" s="76">
        <v>0.13402243118091506</v>
      </c>
    </row>
    <row r="595" spans="1:2" x14ac:dyDescent="0.25">
      <c r="A595" s="76">
        <v>9.6849825989917981E-2</v>
      </c>
      <c r="B595" s="76">
        <v>0.18591691938568866</v>
      </c>
    </row>
    <row r="596" spans="1:2" x14ac:dyDescent="0.25">
      <c r="A596" s="76">
        <v>0.23995066963059131</v>
      </c>
      <c r="B596" s="76">
        <v>0.2940468430202674</v>
      </c>
    </row>
    <row r="597" spans="1:2" x14ac:dyDescent="0.25">
      <c r="A597" s="76">
        <v>0.29571424414904524</v>
      </c>
      <c r="B597" s="76">
        <v>7.017095919438221E-2</v>
      </c>
    </row>
    <row r="598" spans="1:2" x14ac:dyDescent="0.25">
      <c r="A598" s="76">
        <v>0.35020242943311519</v>
      </c>
      <c r="B598" s="76">
        <v>0.13402243118091506</v>
      </c>
    </row>
    <row r="599" spans="1:2" x14ac:dyDescent="0.25">
      <c r="A599" s="76">
        <v>0.36524030679765573</v>
      </c>
      <c r="B599" s="76">
        <v>0.18591691938568866</v>
      </c>
    </row>
    <row r="600" spans="1:2" x14ac:dyDescent="0.25">
      <c r="A600" s="76">
        <v>0.3194307707663615</v>
      </c>
      <c r="B600" s="76">
        <v>0.2940468430202674</v>
      </c>
    </row>
    <row r="601" spans="1:2" x14ac:dyDescent="0.25">
      <c r="A601" s="76">
        <v>1.2932039380538782</v>
      </c>
      <c r="B601" s="76">
        <v>5.7905997577441415E-2</v>
      </c>
    </row>
    <row r="602" spans="1:2" x14ac:dyDescent="0.25">
      <c r="A602" s="76">
        <v>1.435084525289323</v>
      </c>
      <c r="B602" s="76">
        <v>9.8800584744093367E-2</v>
      </c>
    </row>
    <row r="603" spans="1:2" x14ac:dyDescent="0.25">
      <c r="A603" s="76">
        <v>1.4611956692930086</v>
      </c>
      <c r="B603" s="76">
        <v>0.17265964588221783</v>
      </c>
    </row>
    <row r="604" spans="1:2" x14ac:dyDescent="0.25">
      <c r="A604" s="76">
        <v>1.7346010553881062</v>
      </c>
      <c r="B604" s="76">
        <v>0.26531847636492256</v>
      </c>
    </row>
    <row r="605" spans="1:2" x14ac:dyDescent="0.25">
      <c r="A605" s="76">
        <v>0.12921173148000697</v>
      </c>
      <c r="B605" s="76">
        <v>5.7905997577441415E-2</v>
      </c>
    </row>
    <row r="606" spans="1:2" x14ac:dyDescent="0.25">
      <c r="A606" s="76">
        <v>0.23910740230322425</v>
      </c>
      <c r="B606" s="76">
        <v>9.8800584744093367E-2</v>
      </c>
    </row>
    <row r="607" spans="1:2" x14ac:dyDescent="0.25">
      <c r="A607" s="76">
        <v>0.3563875463221553</v>
      </c>
      <c r="B607" s="76">
        <v>0.17265964588221783</v>
      </c>
    </row>
    <row r="608" spans="1:2" x14ac:dyDescent="0.25">
      <c r="A608" s="76">
        <v>0.17366349405084058</v>
      </c>
      <c r="B608" s="76">
        <v>0.26531847636492256</v>
      </c>
    </row>
    <row r="609" spans="1:2" x14ac:dyDescent="0.25">
      <c r="A609" s="76">
        <v>0.83034830207343102</v>
      </c>
      <c r="B609" s="76">
        <v>5.9008553128110153E-2</v>
      </c>
    </row>
    <row r="610" spans="1:2" x14ac:dyDescent="0.25">
      <c r="A610" s="76">
        <v>1.0222393098835365</v>
      </c>
      <c r="B610" s="76">
        <v>9.7091124175319621E-2</v>
      </c>
    </row>
    <row r="611" spans="1:2" x14ac:dyDescent="0.25">
      <c r="A611" s="76">
        <v>1.1417844605333185</v>
      </c>
      <c r="B611" s="76">
        <v>0.15918002823226041</v>
      </c>
    </row>
    <row r="612" spans="1:2" x14ac:dyDescent="0.25">
      <c r="A612" s="76">
        <v>1.205442312305296</v>
      </c>
      <c r="B612" s="76">
        <v>0.23017757797158978</v>
      </c>
    </row>
    <row r="613" spans="1:2" x14ac:dyDescent="0.25">
      <c r="A613" s="76">
        <v>0.92576947582869895</v>
      </c>
      <c r="B613" s="76">
        <v>5.9008553128110153E-2</v>
      </c>
    </row>
    <row r="614" spans="1:2" x14ac:dyDescent="0.25">
      <c r="A614" s="76">
        <v>1.09861228866811</v>
      </c>
      <c r="B614" s="76">
        <v>9.7091124175319621E-2</v>
      </c>
    </row>
    <row r="615" spans="1:2" x14ac:dyDescent="0.25">
      <c r="A615" s="76">
        <v>1.3375041969504586</v>
      </c>
      <c r="B615" s="76">
        <v>0.15918002823226041</v>
      </c>
    </row>
    <row r="616" spans="1:2" x14ac:dyDescent="0.25">
      <c r="A616" s="76">
        <v>1.4880770554298328</v>
      </c>
      <c r="B616" s="76">
        <v>0.23017757797158978</v>
      </c>
    </row>
    <row r="617" spans="1:2" x14ac:dyDescent="0.25">
      <c r="A617" s="76">
        <v>0.36610403422758431</v>
      </c>
      <c r="B617" s="76">
        <v>4.9723435352430734E-2</v>
      </c>
    </row>
    <row r="618" spans="1:2" x14ac:dyDescent="0.25">
      <c r="A618" s="76">
        <v>-1.9812646613934355</v>
      </c>
      <c r="B618" s="76">
        <v>9.7091124175319621E-2</v>
      </c>
    </row>
    <row r="619" spans="1:2" x14ac:dyDescent="0.25">
      <c r="A619" s="76">
        <v>0.41593640797545994</v>
      </c>
      <c r="B619" s="76">
        <v>0.16418420881683615</v>
      </c>
    </row>
    <row r="620" spans="1:2" x14ac:dyDescent="0.25">
      <c r="A620" s="76">
        <v>0.2583074637718763</v>
      </c>
      <c r="B620" s="76">
        <v>0.21763822871885452</v>
      </c>
    </row>
    <row r="621" spans="1:2" x14ac:dyDescent="0.25">
      <c r="A621" s="76">
        <v>3.2088314551500297E-2</v>
      </c>
      <c r="B621" s="76">
        <v>4.9723435352430734E-2</v>
      </c>
    </row>
    <row r="622" spans="1:2" x14ac:dyDescent="0.25">
      <c r="A622" s="76">
        <v>0.46181804465929588</v>
      </c>
      <c r="B622" s="76">
        <v>9.7091124175319621E-2</v>
      </c>
    </row>
    <row r="623" spans="1:2" x14ac:dyDescent="0.25">
      <c r="A623" s="76">
        <v>0.37605122290187065</v>
      </c>
      <c r="B623" s="76">
        <v>0.16418420881683615</v>
      </c>
    </row>
    <row r="624" spans="1:2" x14ac:dyDescent="0.25">
      <c r="A624" s="76">
        <v>0.54080645597792643</v>
      </c>
      <c r="B624" s="76">
        <v>0.21763822871885452</v>
      </c>
    </row>
    <row r="625" spans="1:2" x14ac:dyDescent="0.25">
      <c r="A625" s="76">
        <v>0.13453089295760634</v>
      </c>
      <c r="B625" s="76">
        <v>5.0693114315518262E-2</v>
      </c>
    </row>
    <row r="626" spans="1:2" x14ac:dyDescent="0.25">
      <c r="A626" s="76">
        <v>0.3646431135879098</v>
      </c>
      <c r="B626" s="76">
        <v>9.8939947854903565E-2</v>
      </c>
    </row>
    <row r="627" spans="1:2" x14ac:dyDescent="0.25">
      <c r="A627" s="76">
        <v>0.38662202030668436</v>
      </c>
      <c r="B627" s="76">
        <v>0.1705863005755337</v>
      </c>
    </row>
    <row r="628" spans="1:2" x14ac:dyDescent="0.25">
      <c r="A628" s="76">
        <v>0.42395969074432927</v>
      </c>
      <c r="B628" s="76">
        <v>0.24216155714997178</v>
      </c>
    </row>
    <row r="629" spans="1:2" x14ac:dyDescent="0.25">
      <c r="A629" s="76">
        <v>0.3995999886557664</v>
      </c>
      <c r="B629" s="76">
        <v>5.0693114315518262E-2</v>
      </c>
    </row>
    <row r="630" spans="1:2" x14ac:dyDescent="0.25">
      <c r="A630" s="76">
        <v>0.45675840249571475</v>
      </c>
      <c r="B630" s="76">
        <v>9.8939947854903565E-2</v>
      </c>
    </row>
    <row r="631" spans="1:2" x14ac:dyDescent="0.25">
      <c r="A631" s="76">
        <v>0.26101382536961903</v>
      </c>
      <c r="B631" s="76">
        <v>0.1705863005755337</v>
      </c>
    </row>
    <row r="632" spans="1:2" x14ac:dyDescent="0.25">
      <c r="A632" s="76">
        <v>0.46780823868229948</v>
      </c>
      <c r="B632" s="76">
        <v>0.24216155714997178</v>
      </c>
    </row>
    <row r="633" spans="1:2" x14ac:dyDescent="0.25">
      <c r="A633" s="76">
        <v>5.2367985517316029E-2</v>
      </c>
      <c r="B633" s="76">
        <v>5.0594447456497438E-2</v>
      </c>
    </row>
    <row r="634" spans="1:2" x14ac:dyDescent="0.25">
      <c r="A634" s="76">
        <v>0.10212949507638047</v>
      </c>
      <c r="B634" s="76">
        <v>8.7842701337116358E-2</v>
      </c>
    </row>
    <row r="635" spans="1:2" x14ac:dyDescent="0.25">
      <c r="A635" s="76">
        <v>8.7459305328586368E-2</v>
      </c>
      <c r="B635" s="76">
        <v>0.1395015596110265</v>
      </c>
    </row>
    <row r="636" spans="1:2" x14ac:dyDescent="0.25">
      <c r="A636" s="76">
        <v>0.24231346742192983</v>
      </c>
      <c r="B636" s="76">
        <v>0.18696809684995008</v>
      </c>
    </row>
    <row r="637" spans="1:2" x14ac:dyDescent="0.25">
      <c r="A637" s="76">
        <v>8.0042707673536384E-2</v>
      </c>
      <c r="B637" s="76">
        <v>5.0594447456497438E-2</v>
      </c>
    </row>
    <row r="638" spans="1:2" x14ac:dyDescent="0.25">
      <c r="A638" s="76">
        <v>0.1978257433299202</v>
      </c>
      <c r="B638" s="76">
        <v>8.7842701337116358E-2</v>
      </c>
    </row>
    <row r="639" spans="1:2" x14ac:dyDescent="0.25">
      <c r="A639" s="76">
        <v>0.14518200984449781</v>
      </c>
      <c r="B639" s="76">
        <v>0.1395015596110265</v>
      </c>
    </row>
    <row r="640" spans="1:2" x14ac:dyDescent="0.25">
      <c r="A640" s="76">
        <v>0.13613217432457958</v>
      </c>
      <c r="B640" s="76">
        <v>0.18696809684995008</v>
      </c>
    </row>
    <row r="641" spans="1:2" x14ac:dyDescent="0.25">
      <c r="A641" s="76">
        <v>1.8349138668195764E-2</v>
      </c>
      <c r="B641" s="76">
        <v>3.2131278182793155E-2</v>
      </c>
    </row>
    <row r="642" spans="1:2" x14ac:dyDescent="0.25">
      <c r="A642" s="76">
        <v>3.2391495791236125E-2</v>
      </c>
      <c r="B642" s="76">
        <v>6.3262196777966295E-2</v>
      </c>
    </row>
    <row r="643" spans="1:2" x14ac:dyDescent="0.25">
      <c r="A643" s="76">
        <v>0.36558574187656845</v>
      </c>
      <c r="B643" s="76">
        <v>0.14771602761647884</v>
      </c>
    </row>
    <row r="644" spans="1:2" x14ac:dyDescent="0.25">
      <c r="A644" s="76">
        <v>0.35554261585439306</v>
      </c>
      <c r="B644" s="76">
        <v>0.17549559172355456</v>
      </c>
    </row>
    <row r="645" spans="1:2" x14ac:dyDescent="0.25">
      <c r="A645" s="76">
        <v>8.7011376989630129E-2</v>
      </c>
      <c r="B645" s="76">
        <v>3.2131278182793155E-2</v>
      </c>
    </row>
    <row r="646" spans="1:2" x14ac:dyDescent="0.25">
      <c r="A646" s="76">
        <v>0.26680448743022644</v>
      </c>
      <c r="B646" s="76">
        <v>6.3262196777966295E-2</v>
      </c>
    </row>
    <row r="647" spans="1:2" x14ac:dyDescent="0.25">
      <c r="A647" s="76">
        <v>0.31619724275980232</v>
      </c>
      <c r="B647" s="76">
        <v>0.14771602761647884</v>
      </c>
    </row>
    <row r="648" spans="1:2" x14ac:dyDescent="0.25">
      <c r="A648" s="76">
        <v>0.52721943354166712</v>
      </c>
      <c r="B648" s="76">
        <v>0.17549559172355456</v>
      </c>
    </row>
    <row r="649" spans="1:2" x14ac:dyDescent="0.25">
      <c r="A649" s="76">
        <v>0.14483094787845641</v>
      </c>
      <c r="B649" s="76">
        <v>3.9925462409183821E-2</v>
      </c>
    </row>
    <row r="650" spans="1:2" x14ac:dyDescent="0.25">
      <c r="A650" s="76">
        <v>0.17798315519535723</v>
      </c>
      <c r="B650" s="76">
        <v>7.0756420746841631E-2</v>
      </c>
    </row>
    <row r="651" spans="1:2" x14ac:dyDescent="0.25">
      <c r="A651" s="76">
        <v>0.26136476413440768</v>
      </c>
      <c r="B651" s="76">
        <v>0.11891387372781415</v>
      </c>
    </row>
    <row r="652" spans="1:2" x14ac:dyDescent="0.25">
      <c r="A652" s="76">
        <v>0.32902341260822254</v>
      </c>
      <c r="B652" s="76">
        <v>0.1421499504086623</v>
      </c>
    </row>
    <row r="653" spans="1:2" x14ac:dyDescent="0.25">
      <c r="A653" s="76">
        <v>2.8987536873252395E-2</v>
      </c>
      <c r="B653" s="76">
        <v>3.9925462409183821E-2</v>
      </c>
    </row>
    <row r="654" spans="1:2" x14ac:dyDescent="0.25">
      <c r="A654" s="76">
        <v>9.3526058010823476E-2</v>
      </c>
      <c r="B654" s="76">
        <v>7.0756420746841631E-2</v>
      </c>
    </row>
    <row r="655" spans="1:2" x14ac:dyDescent="0.25">
      <c r="A655" s="76">
        <v>0.2502245099168805</v>
      </c>
      <c r="B655" s="76">
        <v>0.11891387372781415</v>
      </c>
    </row>
    <row r="656" spans="1:2" x14ac:dyDescent="0.25">
      <c r="A656" s="76">
        <v>0.22705745063534621</v>
      </c>
      <c r="B656" s="76">
        <v>0.1421499504086623</v>
      </c>
    </row>
    <row r="657" spans="1:2" x14ac:dyDescent="0.25">
      <c r="A657" s="76">
        <v>0.10143824284548764</v>
      </c>
      <c r="B657" s="76">
        <v>3.8979293605172716E-2</v>
      </c>
    </row>
    <row r="658" spans="1:2" x14ac:dyDescent="0.25">
      <c r="A658" s="76">
        <v>0.14238884645858363</v>
      </c>
      <c r="B658" s="76">
        <v>6.8713892548051714E-2</v>
      </c>
    </row>
    <row r="659" spans="1:2" x14ac:dyDescent="0.25">
      <c r="A659" s="76">
        <v>0.16978782064669851</v>
      </c>
      <c r="B659" s="76">
        <v>0.14574726903087876</v>
      </c>
    </row>
    <row r="660" spans="1:2" x14ac:dyDescent="0.25">
      <c r="A660" s="76">
        <v>0.18172826101861617</v>
      </c>
      <c r="B660" s="76">
        <v>0.17952825888834179</v>
      </c>
    </row>
    <row r="661" spans="1:2" x14ac:dyDescent="0.25">
      <c r="A661" s="76">
        <v>-0.20533892668070303</v>
      </c>
      <c r="B661" s="76">
        <v>0.46665440545285297</v>
      </c>
    </row>
    <row r="662" spans="1:2" x14ac:dyDescent="0.25">
      <c r="A662" s="76">
        <v>1.1904902506318371E-2</v>
      </c>
      <c r="B662" s="76">
        <v>0.3105663662853686</v>
      </c>
    </row>
    <row r="663" spans="1:2" x14ac:dyDescent="0.25">
      <c r="A663" s="76">
        <v>8.0503218849070635E-2</v>
      </c>
      <c r="B663" s="76">
        <v>0.36772478012531717</v>
      </c>
    </row>
    <row r="664" spans="1:2" x14ac:dyDescent="0.25">
      <c r="A664" s="76">
        <v>1.1904902506318371E-2</v>
      </c>
      <c r="B664" s="76">
        <v>0.25951119548508439</v>
      </c>
    </row>
    <row r="665" spans="1:2" x14ac:dyDescent="0.25">
      <c r="A665" s="76">
        <v>8.0503218849070635E-2</v>
      </c>
      <c r="B665" s="76">
        <v>0.39720059825827092</v>
      </c>
    </row>
    <row r="666" spans="1:2" x14ac:dyDescent="0.25">
      <c r="A666" s="76">
        <v>-4.9089610196523525E-2</v>
      </c>
      <c r="B666" s="76">
        <v>0.48455769694538042</v>
      </c>
    </row>
    <row r="667" spans="1:2" x14ac:dyDescent="0.25">
      <c r="A667" s="76">
        <v>1.1665234942843199</v>
      </c>
      <c r="B667" s="76">
        <v>4.007822356741042E-2</v>
      </c>
    </row>
    <row r="668" spans="1:2" x14ac:dyDescent="0.25">
      <c r="A668" s="76">
        <v>0.97608830271619551</v>
      </c>
      <c r="B668" s="76">
        <v>0.11902142590752995</v>
      </c>
    </row>
    <row r="669" spans="1:2" x14ac:dyDescent="0.25">
      <c r="A669" s="76">
        <v>1.2627515263788736</v>
      </c>
      <c r="B669" s="76">
        <v>0.22981271275049053</v>
      </c>
    </row>
    <row r="670" spans="1:2" x14ac:dyDescent="0.25">
      <c r="A670" s="76">
        <v>1.0267194634813683</v>
      </c>
      <c r="B670" s="76">
        <v>0.26891979599625793</v>
      </c>
    </row>
    <row r="671" spans="1:2" x14ac:dyDescent="0.25">
      <c r="A671" s="76">
        <v>0.93979608754780797</v>
      </c>
      <c r="B671" s="76">
        <v>6.302715655295521E-2</v>
      </c>
    </row>
    <row r="672" spans="1:2" x14ac:dyDescent="0.25">
      <c r="A672" s="76">
        <v>1.2589215714865749</v>
      </c>
      <c r="B672" s="76">
        <v>0.14024671252281173</v>
      </c>
    </row>
    <row r="673" spans="1:3" x14ac:dyDescent="0.25">
      <c r="A673" s="76">
        <v>1.6773491180503108</v>
      </c>
      <c r="B673" s="76">
        <v>0.19371856911464658</v>
      </c>
    </row>
    <row r="674" spans="1:3" x14ac:dyDescent="0.25">
      <c r="A674" s="76">
        <v>1.5034766157428838</v>
      </c>
      <c r="B674" s="76">
        <v>0.22833451588117959</v>
      </c>
    </row>
    <row r="675" spans="1:3" x14ac:dyDescent="0.25">
      <c r="A675" s="76">
        <v>0.28169403060715847</v>
      </c>
      <c r="B675" s="76">
        <v>8.4083117210541403E-2</v>
      </c>
    </row>
    <row r="676" spans="1:3" x14ac:dyDescent="0.25">
      <c r="A676" s="76">
        <v>0.27943923822006922</v>
      </c>
      <c r="B676" s="76">
        <v>0.13984669172899555</v>
      </c>
    </row>
    <row r="677" spans="1:3" x14ac:dyDescent="0.25">
      <c r="A677" s="76">
        <v>0.24030881444430396</v>
      </c>
      <c r="B677" s="76">
        <v>0.21962860920676519</v>
      </c>
    </row>
    <row r="678" spans="1:3" x14ac:dyDescent="0.25">
      <c r="A678" s="76">
        <v>0.3449648566668666</v>
      </c>
      <c r="B678" s="76">
        <v>0.27887144276962594</v>
      </c>
    </row>
    <row r="679" spans="1:3" x14ac:dyDescent="0.25">
      <c r="A679" s="76">
        <v>0.31926751117158214</v>
      </c>
      <c r="B679" s="76">
        <v>7.3272201106325596E-2</v>
      </c>
    </row>
    <row r="680" spans="1:3" x14ac:dyDescent="0.25">
      <c r="A680" s="76">
        <v>0.27036888125010483</v>
      </c>
      <c r="B680" s="76">
        <v>0.1018455735503816</v>
      </c>
    </row>
    <row r="681" spans="1:3" x14ac:dyDescent="0.25">
      <c r="A681" s="76">
        <v>0.35548020066638952</v>
      </c>
      <c r="B681" s="76">
        <v>0.11409419562658085</v>
      </c>
    </row>
    <row r="682" spans="1:3" x14ac:dyDescent="0.25">
      <c r="A682" s="76">
        <v>0.44353705605757221</v>
      </c>
      <c r="B682" s="76">
        <v>0.17971908297637285</v>
      </c>
    </row>
    <row r="683" spans="1:3" x14ac:dyDescent="0.25">
      <c r="B683" s="76">
        <v>5.1496525767174894E-2</v>
      </c>
      <c r="C683" s="76">
        <v>5.3191614775998097E-3</v>
      </c>
    </row>
    <row r="684" spans="1:3" x14ac:dyDescent="0.25">
      <c r="B684" s="76">
        <v>9.8630603441627329E-2</v>
      </c>
      <c r="C684" s="76">
        <v>3.4079313652862542E-2</v>
      </c>
    </row>
    <row r="685" spans="1:3" x14ac:dyDescent="0.25">
      <c r="B685" s="76">
        <v>0.14540171763402299</v>
      </c>
      <c r="C685" s="76">
        <v>-1.8843087801479808E-2</v>
      </c>
    </row>
    <row r="686" spans="1:3" x14ac:dyDescent="0.25">
      <c r="B686" s="76">
        <v>0.18671568250541726</v>
      </c>
      <c r="C686" s="76">
        <v>7.4488851990739402E-2</v>
      </c>
    </row>
    <row r="687" spans="1:3" x14ac:dyDescent="0.25">
      <c r="A687" s="76">
        <v>0.19768561861869838</v>
      </c>
      <c r="B687" s="76">
        <v>6.14126802208248E-3</v>
      </c>
    </row>
    <row r="688" spans="1:3" x14ac:dyDescent="0.25">
      <c r="A688" s="76">
        <v>0.29584538309094199</v>
      </c>
      <c r="B688" s="76">
        <v>5.3959142372575153E-2</v>
      </c>
    </row>
    <row r="689" spans="1:5" x14ac:dyDescent="0.25">
      <c r="A689" s="76">
        <v>0.32784811417711612</v>
      </c>
      <c r="B689" s="76">
        <v>5.3959142372575153E-2</v>
      </c>
    </row>
    <row r="690" spans="1:5" x14ac:dyDescent="0.25">
      <c r="A690" s="76">
        <v>0.20215989901361908</v>
      </c>
      <c r="B690" s="76">
        <v>9.0257301083254582E-2</v>
      </c>
    </row>
    <row r="691" spans="1:5" x14ac:dyDescent="0.25">
      <c r="A691" s="76">
        <v>-5.043085362689137E-2</v>
      </c>
      <c r="B691" s="76">
        <v>1.4271394105332735E-2</v>
      </c>
    </row>
    <row r="692" spans="1:5" x14ac:dyDescent="0.25">
      <c r="A692" s="76">
        <v>0.20661424936299966</v>
      </c>
      <c r="B692" s="76">
        <v>1.0214593409718198E-2</v>
      </c>
    </row>
    <row r="693" spans="1:5" x14ac:dyDescent="0.25">
      <c r="A693" s="76">
        <v>0.23725121882488942</v>
      </c>
      <c r="B693" s="76">
        <v>1.8311803642337532E-2</v>
      </c>
    </row>
    <row r="694" spans="1:5" x14ac:dyDescent="0.25">
      <c r="A694" s="76">
        <v>0.20215989901361908</v>
      </c>
      <c r="B694" s="76">
        <v>2.0325903014038804E-2</v>
      </c>
    </row>
    <row r="695" spans="1:5" x14ac:dyDescent="0.25">
      <c r="A695" s="76">
        <v>0.25434565218418914</v>
      </c>
      <c r="B695" s="76">
        <v>6.14126802208248E-3</v>
      </c>
    </row>
    <row r="696" spans="1:5" x14ac:dyDescent="0.25">
      <c r="A696" s="76">
        <v>0.28357529049912777</v>
      </c>
      <c r="B696" s="76">
        <v>3.8272546204875635E-2</v>
      </c>
    </row>
    <row r="697" spans="1:5" x14ac:dyDescent="0.25">
      <c r="A697" s="76">
        <v>0.25009936130273847</v>
      </c>
      <c r="B697" s="76">
        <v>4.2217324495892106E-2</v>
      </c>
    </row>
    <row r="698" spans="1:5" x14ac:dyDescent="0.25">
      <c r="A698" s="76">
        <v>1.0869672236903938E-2</v>
      </c>
      <c r="B698" s="76">
        <v>6.7485918670777023E-2</v>
      </c>
    </row>
    <row r="699" spans="1:5" x14ac:dyDescent="0.25">
      <c r="A699" s="76">
        <v>0.80188038069641077</v>
      </c>
      <c r="B699" s="76">
        <v>5.1751065052445533E-2</v>
      </c>
      <c r="C699" s="76">
        <v>3.5642217951176836E-2</v>
      </c>
      <c r="E699" s="76">
        <v>0.50730726826810324</v>
      </c>
    </row>
    <row r="700" spans="1:5" x14ac:dyDescent="0.25">
      <c r="A700" s="76">
        <v>0.84066150038309573</v>
      </c>
      <c r="B700" s="76">
        <v>8.8478728683579533E-2</v>
      </c>
      <c r="C700" s="76">
        <v>1.9608471388376403E-2</v>
      </c>
      <c r="E700" s="76">
        <v>1.3575534061682415</v>
      </c>
    </row>
    <row r="701" spans="1:5" x14ac:dyDescent="0.25">
      <c r="A701" s="76">
        <v>0.84066150038309573</v>
      </c>
      <c r="B701" s="76">
        <v>8.8478728683579533E-2</v>
      </c>
      <c r="C701" s="76">
        <v>-4.9627893421291258E-3</v>
      </c>
      <c r="E701" s="76">
        <v>0.69198069737408385</v>
      </c>
    </row>
    <row r="702" spans="1:5" x14ac:dyDescent="0.25">
      <c r="A702" s="76">
        <v>0.95167266872027056</v>
      </c>
      <c r="B702" s="76">
        <v>1.5300844955300708E-2</v>
      </c>
      <c r="C702" s="76">
        <v>9.8522964430116655E-3</v>
      </c>
      <c r="E702" s="76">
        <v>0.57793436845910717</v>
      </c>
    </row>
    <row r="703" spans="1:5" x14ac:dyDescent="0.25">
      <c r="A703" s="76">
        <v>0.95167266872027056</v>
      </c>
      <c r="B703" s="76">
        <v>6.6298585386694864E-3</v>
      </c>
      <c r="C703" s="76">
        <v>6.5846565797586631E-2</v>
      </c>
      <c r="E703" s="76">
        <v>0.11044986217165098</v>
      </c>
    </row>
    <row r="704" spans="1:5" x14ac:dyDescent="0.25">
      <c r="A704" s="76">
        <v>1.0658224658451187</v>
      </c>
      <c r="B704" s="76">
        <v>7.7056739494974602E-2</v>
      </c>
      <c r="C704" s="76">
        <v>3.301033220054439E-2</v>
      </c>
      <c r="E704" s="76">
        <v>0.30538164955118186</v>
      </c>
    </row>
    <row r="705" spans="1:5" x14ac:dyDescent="0.25">
      <c r="A705" s="76">
        <v>1.1278114433603719</v>
      </c>
      <c r="B705" s="76">
        <v>7.8848066350468704E-2</v>
      </c>
      <c r="C705" s="76">
        <v>6.3392576836019954E-2</v>
      </c>
      <c r="E705" s="76">
        <v>0.99154464832942812</v>
      </c>
    </row>
    <row r="706" spans="1:5" x14ac:dyDescent="0.25">
      <c r="A706" s="76">
        <v>1.1278114433603719</v>
      </c>
      <c r="B706" s="76">
        <v>7.8848066350468704E-2</v>
      </c>
      <c r="C706" s="76">
        <v>6.3392576836019954E-2</v>
      </c>
      <c r="E706" s="76">
        <v>0.62249633824408379</v>
      </c>
    </row>
    <row r="707" spans="1:5" x14ac:dyDescent="0.25">
      <c r="A707" s="76">
        <v>1.2420884372484482</v>
      </c>
      <c r="B707" s="76">
        <v>0.11411330676742115</v>
      </c>
      <c r="C707" s="76">
        <v>8.0866698873095055E-2</v>
      </c>
      <c r="E707" s="76">
        <v>0.71585704306657272</v>
      </c>
    </row>
    <row r="708" spans="1:5" x14ac:dyDescent="0.25">
      <c r="B708" s="76">
        <v>1.5234244571848077E-2</v>
      </c>
    </row>
    <row r="709" spans="1:5" x14ac:dyDescent="0.25">
      <c r="B709" s="76">
        <v>6.371581438610785E-2</v>
      </c>
    </row>
    <row r="710" spans="1:5" x14ac:dyDescent="0.25">
      <c r="B710" s="76">
        <v>0.1099552070361367</v>
      </c>
    </row>
    <row r="711" spans="1:5" x14ac:dyDescent="0.25">
      <c r="B711" s="76">
        <v>3.2365284502031688E-2</v>
      </c>
    </row>
    <row r="712" spans="1:5" x14ac:dyDescent="0.25">
      <c r="B712" s="76">
        <v>5.5451304536214385E-2</v>
      </c>
    </row>
    <row r="713" spans="1:5" x14ac:dyDescent="0.25">
      <c r="B713" s="76">
        <v>0.11583181552512167</v>
      </c>
    </row>
    <row r="714" spans="1:5" x14ac:dyDescent="0.25">
      <c r="A714" s="76">
        <v>0.28440145672714756</v>
      </c>
      <c r="B714" s="76">
        <v>0.23378630424664859</v>
      </c>
    </row>
    <row r="715" spans="1:5" x14ac:dyDescent="0.25">
      <c r="A715" s="76">
        <v>-4.176941287629532E-2</v>
      </c>
      <c r="B715" s="76">
        <v>0.15082288973458358</v>
      </c>
    </row>
    <row r="716" spans="1:5" x14ac:dyDescent="0.25">
      <c r="B716" s="76">
        <v>0.31116234006062338</v>
      </c>
      <c r="C716" s="76">
        <v>0.17567231393263683</v>
      </c>
      <c r="E716" s="76">
        <v>1.0381931251957184</v>
      </c>
    </row>
    <row r="717" spans="1:5" x14ac:dyDescent="0.25">
      <c r="B717" s="76">
        <v>5.8717073708286494E-2</v>
      </c>
      <c r="C717" s="76">
        <v>3.6548918530113106E-2</v>
      </c>
      <c r="E717" s="76">
        <v>0.29369137761562492</v>
      </c>
    </row>
    <row r="718" spans="1:5" x14ac:dyDescent="0.25">
      <c r="B718" s="76">
        <v>4.8481569814259773E-2</v>
      </c>
      <c r="C718" s="76">
        <v>-7.8281709789504994E-2</v>
      </c>
      <c r="E718" s="76">
        <v>0.70187609577643117</v>
      </c>
    </row>
    <row r="719" spans="1:5" x14ac:dyDescent="0.25">
      <c r="B719" s="76">
        <v>9.8642536117470314E-2</v>
      </c>
      <c r="C719" s="76">
        <v>-9.6749455335344958E-2</v>
      </c>
      <c r="E719" s="76">
        <v>0.89199803930511035</v>
      </c>
    </row>
    <row r="720" spans="1:5" x14ac:dyDescent="0.25">
      <c r="B720" s="76">
        <v>7.8879046998630686E-2</v>
      </c>
      <c r="C720" s="76">
        <v>-3.3551534171232689E-2</v>
      </c>
      <c r="E720" s="76">
        <v>0.7140236334626664</v>
      </c>
    </row>
    <row r="721" spans="1:5" x14ac:dyDescent="0.25">
      <c r="B721" s="76">
        <v>8.0873065605495009E-2</v>
      </c>
      <c r="C721" s="76">
        <v>-0.17826886634333139</v>
      </c>
      <c r="E721" s="76">
        <v>1.0820373235738971</v>
      </c>
    </row>
    <row r="722" spans="1:5" x14ac:dyDescent="0.25">
      <c r="B722" s="76">
        <v>7.8879046998630686E-2</v>
      </c>
      <c r="C722" s="76">
        <v>-5.1204243227600088E-2</v>
      </c>
      <c r="E722" s="76">
        <v>0.7490871964422845</v>
      </c>
    </row>
    <row r="723" spans="1:5" x14ac:dyDescent="0.25">
      <c r="B723" s="76">
        <v>0.15569222476024747</v>
      </c>
      <c r="C723" s="76">
        <v>-6.4651330658814121E-2</v>
      </c>
      <c r="E723" s="76">
        <v>1.1555880374239806</v>
      </c>
    </row>
    <row r="724" spans="1:5" x14ac:dyDescent="0.25">
      <c r="A724" s="76">
        <v>0.27510329024492108</v>
      </c>
      <c r="B724" s="76">
        <v>0.16907633004393419</v>
      </c>
    </row>
    <row r="725" spans="1:5" x14ac:dyDescent="0.25">
      <c r="B725" s="76">
        <v>7.6308193063324481E-2</v>
      </c>
      <c r="C725" s="76">
        <v>-8.2452024860956374E-2</v>
      </c>
      <c r="E725" s="76">
        <v>0.37498961411113019</v>
      </c>
    </row>
    <row r="726" spans="1:5" x14ac:dyDescent="0.25">
      <c r="B726" s="76">
        <v>0.19363761111156652</v>
      </c>
      <c r="C726" s="76">
        <v>-2.1413284413429601E-3</v>
      </c>
      <c r="E726" s="76">
        <v>0.63459387180837101</v>
      </c>
    </row>
    <row r="727" spans="1:5" x14ac:dyDescent="0.25">
      <c r="B727" s="76">
        <v>0.28713125998949351</v>
      </c>
      <c r="C727" s="76">
        <v>0.17516589119854231</v>
      </c>
      <c r="E727" s="76">
        <v>0.82608598057453353</v>
      </c>
    </row>
    <row r="728" spans="1:5" x14ac:dyDescent="0.25">
      <c r="B728" s="76">
        <v>4.3485111939738808E-2</v>
      </c>
      <c r="C728" s="76">
        <v>-1.6119381879883488E-2</v>
      </c>
    </row>
    <row r="729" spans="1:5" x14ac:dyDescent="0.25">
      <c r="B729" s="76">
        <v>9.8671527507029566E-2</v>
      </c>
      <c r="C729" s="76">
        <v>0.13445347659949114</v>
      </c>
    </row>
    <row r="730" spans="1:5" x14ac:dyDescent="0.25">
      <c r="B730" s="76">
        <v>0.14671570133974021</v>
      </c>
      <c r="C730" s="76">
        <v>3.2670782289548672E-2</v>
      </c>
    </row>
    <row r="731" spans="1:5" x14ac:dyDescent="0.25">
      <c r="B731" s="76">
        <v>0</v>
      </c>
      <c r="C731" s="76">
        <v>0.1969738335808251</v>
      </c>
    </row>
    <row r="732" spans="1:5" x14ac:dyDescent="0.25">
      <c r="B732" s="76">
        <v>0.22462393648464407</v>
      </c>
      <c r="C732" s="76">
        <v>7.9190797924441725E-2</v>
      </c>
    </row>
    <row r="733" spans="1:5" x14ac:dyDescent="0.25">
      <c r="B733" s="76">
        <v>0.16902452865046502</v>
      </c>
    </row>
    <row r="734" spans="1:5" x14ac:dyDescent="0.25">
      <c r="B734" s="76">
        <v>0.3617900446055029</v>
      </c>
    </row>
    <row r="735" spans="1:5" x14ac:dyDescent="0.25">
      <c r="B735" s="76">
        <v>0.50380805110734417</v>
      </c>
    </row>
    <row r="736" spans="1:5" x14ac:dyDescent="0.25">
      <c r="B736" s="76">
        <v>0.5478923242393634</v>
      </c>
    </row>
    <row r="737" spans="1:2" x14ac:dyDescent="0.25">
      <c r="B737" s="76">
        <v>0.16705408466316629</v>
      </c>
    </row>
    <row r="738" spans="1:2" x14ac:dyDescent="0.25">
      <c r="B738" s="76">
        <v>0.28768207245178079</v>
      </c>
    </row>
    <row r="739" spans="1:2" x14ac:dyDescent="0.25">
      <c r="B739" s="76">
        <v>0.37789345217208159</v>
      </c>
    </row>
    <row r="740" spans="1:2" x14ac:dyDescent="0.25">
      <c r="B740" s="76">
        <v>0.45177319198429</v>
      </c>
    </row>
    <row r="741" spans="1:2" x14ac:dyDescent="0.25">
      <c r="B741" s="76">
        <v>0.15714320076371213</v>
      </c>
    </row>
    <row r="742" spans="1:2" x14ac:dyDescent="0.25">
      <c r="B742" s="76">
        <v>0.30329383792389408</v>
      </c>
    </row>
    <row r="743" spans="1:2" x14ac:dyDescent="0.25">
      <c r="B743" s="76">
        <v>0.3746934494414107</v>
      </c>
    </row>
    <row r="744" spans="1:2" x14ac:dyDescent="0.25">
      <c r="B744" s="76">
        <v>0.44133312698760663</v>
      </c>
    </row>
    <row r="745" spans="1:2" x14ac:dyDescent="0.25">
      <c r="B745" s="76">
        <v>-1.23458358222992E-2</v>
      </c>
    </row>
    <row r="746" spans="1:2" x14ac:dyDescent="0.25">
      <c r="B746" s="76">
        <v>2.6237630216857211E-2</v>
      </c>
    </row>
    <row r="747" spans="1:2" x14ac:dyDescent="0.25">
      <c r="B747" s="76">
        <v>0.11025648627003304</v>
      </c>
    </row>
    <row r="748" spans="1:2" x14ac:dyDescent="0.25">
      <c r="B748" s="76">
        <v>0.15327387135372406</v>
      </c>
    </row>
    <row r="749" spans="1:2" x14ac:dyDescent="0.25">
      <c r="B749" s="76">
        <v>4.789969216045753E-2</v>
      </c>
    </row>
    <row r="750" spans="1:2" x14ac:dyDescent="0.25">
      <c r="A750" s="76">
        <v>0.10948186474188759</v>
      </c>
      <c r="B750" s="76">
        <v>1.9802627296179542E-2</v>
      </c>
    </row>
    <row r="751" spans="1:2" x14ac:dyDescent="0.25">
      <c r="A751" s="76">
        <v>0.1670540846631674</v>
      </c>
      <c r="B751" s="76">
        <v>6.6619687341395561E-2</v>
      </c>
    </row>
    <row r="752" spans="1:2" x14ac:dyDescent="0.25">
      <c r="A752" s="76">
        <v>0.20815146915703231</v>
      </c>
      <c r="B752" s="76">
        <v>7.6961041136128339E-2</v>
      </c>
    </row>
    <row r="753" spans="1:5" x14ac:dyDescent="0.25">
      <c r="A753" s="76">
        <v>0.18092555842857472</v>
      </c>
      <c r="B753" s="76">
        <v>0.10335851298715326</v>
      </c>
    </row>
    <row r="754" spans="1:5" x14ac:dyDescent="0.25">
      <c r="A754" s="76">
        <v>1.9168049364870043E-2</v>
      </c>
      <c r="B754" s="76">
        <v>6.2453014646549621E-2</v>
      </c>
    </row>
    <row r="755" spans="1:5" x14ac:dyDescent="0.25">
      <c r="A755" s="76">
        <v>6.2507294059646057E-2</v>
      </c>
      <c r="B755" s="76">
        <v>6.4538521137571081E-2</v>
      </c>
    </row>
    <row r="756" spans="1:5" x14ac:dyDescent="0.25">
      <c r="A756" s="76">
        <v>9.824295065430988E-2</v>
      </c>
      <c r="B756" s="76">
        <v>0.12516314295400588</v>
      </c>
    </row>
    <row r="757" spans="1:5" x14ac:dyDescent="0.25">
      <c r="A757" s="76">
        <v>2.5469239480116812E-2</v>
      </c>
      <c r="B757" s="76">
        <v>0.14265630040152311</v>
      </c>
    </row>
    <row r="758" spans="1:5" x14ac:dyDescent="0.25">
      <c r="A758" s="76">
        <v>8.3650029286925109E-2</v>
      </c>
      <c r="B758" s="76">
        <v>7.5711821735696461E-2</v>
      </c>
    </row>
    <row r="759" spans="1:5" x14ac:dyDescent="0.25">
      <c r="A759" s="76">
        <v>0.13185213110480265</v>
      </c>
      <c r="B759" s="76">
        <v>0.15190096009324283</v>
      </c>
    </row>
    <row r="760" spans="1:5" x14ac:dyDescent="0.25">
      <c r="A760" s="76">
        <v>0.13771725055720085</v>
      </c>
      <c r="B760" s="76">
        <v>0.2475620786623558</v>
      </c>
    </row>
    <row r="761" spans="1:5" x14ac:dyDescent="0.25">
      <c r="A761" s="76">
        <v>0.12595240897761428</v>
      </c>
      <c r="B761" s="76">
        <v>0.30218316314258087</v>
      </c>
    </row>
    <row r="762" spans="1:5" x14ac:dyDescent="0.25">
      <c r="B762" s="76">
        <v>3.7408102066170068E-2</v>
      </c>
      <c r="E762" s="76">
        <v>0.55104483924886161</v>
      </c>
    </row>
    <row r="763" spans="1:5" x14ac:dyDescent="0.25">
      <c r="B763" s="76">
        <v>0.11828116767166508</v>
      </c>
      <c r="E763" s="76">
        <v>0.8186922215518182</v>
      </c>
    </row>
    <row r="764" spans="1:5" x14ac:dyDescent="0.25">
      <c r="B764" s="76">
        <v>4.814934389758263E-2</v>
      </c>
      <c r="E764" s="76">
        <v>0.4353180712578455</v>
      </c>
    </row>
    <row r="765" spans="1:5" x14ac:dyDescent="0.25">
      <c r="B765" s="76">
        <v>0.14190431343510101</v>
      </c>
      <c r="E765" s="76">
        <v>0.81294838037256589</v>
      </c>
    </row>
    <row r="766" spans="1:5" x14ac:dyDescent="0.25">
      <c r="B766" s="76">
        <v>9.815976447224406E-2</v>
      </c>
      <c r="E766" s="76">
        <v>0.81294838037256589</v>
      </c>
    </row>
    <row r="767" spans="1:5" x14ac:dyDescent="0.25">
      <c r="B767" s="76">
        <v>0.20595633492795162</v>
      </c>
      <c r="E767" s="76">
        <v>0.9219887529887929</v>
      </c>
    </row>
    <row r="768" spans="1:5" x14ac:dyDescent="0.25">
      <c r="B768" s="76">
        <v>0.20959932620645261</v>
      </c>
      <c r="E768" s="76">
        <v>0.9230212776029818</v>
      </c>
    </row>
    <row r="769" spans="1:5" x14ac:dyDescent="0.25">
      <c r="B769" s="76">
        <v>0.29827598251514353</v>
      </c>
      <c r="E769" s="76">
        <v>0.93838256276446863</v>
      </c>
    </row>
    <row r="770" spans="1:5" x14ac:dyDescent="0.25">
      <c r="A770" s="76">
        <v>0.25401019929473634</v>
      </c>
    </row>
    <row r="771" spans="1:5" x14ac:dyDescent="0.25">
      <c r="A771" s="76">
        <v>0.1936641607575087</v>
      </c>
    </row>
    <row r="772" spans="1:5" x14ac:dyDescent="0.25">
      <c r="A772" s="76">
        <v>0.37343547461471793</v>
      </c>
    </row>
    <row r="773" spans="1:5" x14ac:dyDescent="0.25">
      <c r="A773" s="76">
        <v>1.2487043878132091</v>
      </c>
      <c r="B773" s="76">
        <v>7.8848066350468704E-2</v>
      </c>
      <c r="C773" s="76">
        <v>1.9195928407379397</v>
      </c>
      <c r="E773" s="76">
        <v>0.89098793432962653</v>
      </c>
    </row>
    <row r="774" spans="1:5" x14ac:dyDescent="0.25">
      <c r="A774" s="76">
        <v>1.2487043878132091</v>
      </c>
      <c r="B774" s="76">
        <v>7.8848066350468704E-2</v>
      </c>
      <c r="C774" s="76">
        <v>0.13679830176987107</v>
      </c>
      <c r="E774" s="76">
        <v>0.73561584041048578</v>
      </c>
    </row>
    <row r="775" spans="1:5" x14ac:dyDescent="0.25">
      <c r="A775" s="76">
        <v>1.3528004616642797</v>
      </c>
      <c r="B775" s="76">
        <v>5.3488684950986354E-2</v>
      </c>
      <c r="C775" s="76">
        <v>-9.0246877847778295E-2</v>
      </c>
      <c r="E775" s="76">
        <v>0.70943039681056907</v>
      </c>
    </row>
    <row r="776" spans="1:5" x14ac:dyDescent="0.25">
      <c r="A776" s="76">
        <v>1.3829102631356502</v>
      </c>
      <c r="B776" s="76">
        <v>0.12062798778861494</v>
      </c>
      <c r="C776" s="76">
        <v>2.799330067370942E-2</v>
      </c>
      <c r="E776" s="76">
        <v>0.87380898878431568</v>
      </c>
    </row>
    <row r="777" spans="1:5" x14ac:dyDescent="0.25">
      <c r="A777" s="76">
        <v>1.41543549602739</v>
      </c>
      <c r="B777" s="76">
        <v>0.32009673113606274</v>
      </c>
      <c r="C777" s="76">
        <v>0.24271461107999759</v>
      </c>
      <c r="E777" s="76">
        <v>0.86148249537916</v>
      </c>
    </row>
    <row r="778" spans="1:5" x14ac:dyDescent="0.25">
      <c r="B778" s="76">
        <v>7.1541455217497996E-2</v>
      </c>
      <c r="C778" s="76">
        <v>5.528531565708783E-2</v>
      </c>
    </row>
    <row r="779" spans="1:5" x14ac:dyDescent="0.25">
      <c r="B779" s="76">
        <v>2.8303776162851735E-2</v>
      </c>
      <c r="C779" s="76">
        <v>0.14113399838733987</v>
      </c>
    </row>
    <row r="780" spans="1:5" x14ac:dyDescent="0.25">
      <c r="B780" s="76">
        <v>5.1293294387550592E-2</v>
      </c>
      <c r="C780" s="76">
        <v>0.13747099062860291</v>
      </c>
    </row>
    <row r="781" spans="1:5" x14ac:dyDescent="0.25">
      <c r="B781" s="76">
        <v>2.38948739738154E-3</v>
      </c>
      <c r="C781" s="76">
        <v>0.3499153068776657</v>
      </c>
    </row>
    <row r="782" spans="1:5" x14ac:dyDescent="0.25">
      <c r="B782" s="76">
        <v>8.6812470972066791E-2</v>
      </c>
      <c r="C782" s="76">
        <v>0.11708103492555355</v>
      </c>
    </row>
    <row r="783" spans="1:5" x14ac:dyDescent="0.25">
      <c r="B783" s="76">
        <v>5.343896215556021E-2</v>
      </c>
      <c r="C783" s="76">
        <v>0.18232155679395468</v>
      </c>
    </row>
    <row r="784" spans="1:5" x14ac:dyDescent="0.25">
      <c r="B784" s="76">
        <v>3.9771323426896599E-2</v>
      </c>
      <c r="C784" s="76">
        <v>0.43246570992667022</v>
      </c>
    </row>
    <row r="785" spans="2:3" x14ac:dyDescent="0.25">
      <c r="B785" s="76">
        <v>2.1252275659658926E-2</v>
      </c>
      <c r="C785" s="76">
        <v>0.32892503098582981</v>
      </c>
    </row>
    <row r="786" spans="2:3" x14ac:dyDescent="0.25">
      <c r="B786" s="76">
        <v>6.7077162088812425E-2</v>
      </c>
      <c r="C786" s="76">
        <v>0.28240501535093698</v>
      </c>
    </row>
    <row r="787" spans="2:3" x14ac:dyDescent="0.25">
      <c r="B787" s="76">
        <v>0.16907633004393396</v>
      </c>
      <c r="C787" s="76">
        <v>0.73135523539884018</v>
      </c>
    </row>
    <row r="788" spans="2:3" x14ac:dyDescent="0.25">
      <c r="B788" s="76">
        <v>6.0203362244102276E-2</v>
      </c>
    </row>
    <row r="789" spans="2:3" x14ac:dyDescent="0.25">
      <c r="B789" s="76">
        <v>0.15244448593100923</v>
      </c>
    </row>
    <row r="790" spans="2:3" x14ac:dyDescent="0.25">
      <c r="B790" s="76">
        <v>0.16096269526976426</v>
      </c>
      <c r="C790" s="76">
        <v>0.26801627789883753</v>
      </c>
    </row>
    <row r="791" spans="2:3" x14ac:dyDescent="0.25">
      <c r="B791" s="76">
        <v>0.10440311970149896</v>
      </c>
      <c r="C791" s="76">
        <v>0.29815337231907635</v>
      </c>
    </row>
    <row r="792" spans="2:3" x14ac:dyDescent="0.25">
      <c r="B792" s="76">
        <v>0.15892395857991604</v>
      </c>
      <c r="C792" s="76">
        <v>0.68892776501723718</v>
      </c>
    </row>
    <row r="793" spans="2:3" x14ac:dyDescent="0.25">
      <c r="B793" s="76">
        <v>2.38948739738154E-3</v>
      </c>
      <c r="C793" s="76">
        <v>0.7004885874183131</v>
      </c>
    </row>
    <row r="794" spans="2:3" x14ac:dyDescent="0.25">
      <c r="B794" s="76">
        <v>0.16263825412055222</v>
      </c>
      <c r="C794" s="76">
        <v>0.81583047103416861</v>
      </c>
    </row>
    <row r="795" spans="2:3" x14ac:dyDescent="0.25">
      <c r="B795" s="76">
        <v>0.12122446856979519</v>
      </c>
      <c r="C795" s="76">
        <v>0.84247421521886112</v>
      </c>
    </row>
    <row r="796" spans="2:3" x14ac:dyDescent="0.25">
      <c r="B796" s="76">
        <v>0.13799635018362322</v>
      </c>
      <c r="C796" s="76">
        <v>1.1132415986840689</v>
      </c>
    </row>
    <row r="797" spans="2:3" x14ac:dyDescent="0.25">
      <c r="B797" s="76">
        <v>3.9771323426896599E-2</v>
      </c>
      <c r="C797" s="76">
        <v>1.1007153388648883</v>
      </c>
    </row>
    <row r="798" spans="2:3" x14ac:dyDescent="0.25">
      <c r="B798" s="76">
        <v>0.23361485118150527</v>
      </c>
      <c r="C798" s="76">
        <v>0.34396290835037058</v>
      </c>
    </row>
    <row r="799" spans="2:3" x14ac:dyDescent="0.25">
      <c r="B799" s="76">
        <v>0.17912666589743531</v>
      </c>
      <c r="C799" s="76">
        <v>0.38776553100876332</v>
      </c>
    </row>
    <row r="800" spans="2:3" x14ac:dyDescent="0.25">
      <c r="B800" s="76">
        <v>0.18112466856010845</v>
      </c>
      <c r="C800" s="76">
        <v>0.77399927718904005</v>
      </c>
    </row>
    <row r="801" spans="1:5" x14ac:dyDescent="0.25">
      <c r="B801" s="76">
        <v>0.13203505836358476</v>
      </c>
      <c r="C801" s="76">
        <v>0.87546873735389985</v>
      </c>
    </row>
    <row r="802" spans="1:5" x14ac:dyDescent="0.25">
      <c r="B802" s="76">
        <v>0.24626324114866427</v>
      </c>
      <c r="C802" s="76">
        <v>0.70153297393621905</v>
      </c>
    </row>
    <row r="803" spans="1:5" x14ac:dyDescent="0.25">
      <c r="B803" s="76">
        <v>0.18668750935322187</v>
      </c>
      <c r="C803" s="76">
        <v>0.72117184800814149</v>
      </c>
    </row>
    <row r="804" spans="1:5" x14ac:dyDescent="0.25">
      <c r="B804" s="76">
        <v>0.21595789165333512</v>
      </c>
      <c r="C804" s="76">
        <v>1.0220722115457752</v>
      </c>
    </row>
    <row r="805" spans="1:5" x14ac:dyDescent="0.25">
      <c r="B805" s="76">
        <v>8.6812470972066791E-2</v>
      </c>
      <c r="C805" s="76">
        <v>1.2018653219863711</v>
      </c>
    </row>
    <row r="806" spans="1:5" x14ac:dyDescent="0.25">
      <c r="B806" s="76">
        <v>0.12286693069365562</v>
      </c>
    </row>
    <row r="807" spans="1:5" x14ac:dyDescent="0.25">
      <c r="A807" s="76">
        <v>1.4180430594344708</v>
      </c>
      <c r="B807" s="76">
        <v>0.17497334996686686</v>
      </c>
      <c r="C807" s="76">
        <v>8.457418529346894E-2</v>
      </c>
      <c r="E807" s="76">
        <v>0.61903920840622328</v>
      </c>
    </row>
    <row r="808" spans="1:5" x14ac:dyDescent="0.25">
      <c r="A808" s="76">
        <v>1.4663370687934272</v>
      </c>
      <c r="B808" s="76">
        <v>0.1397619423751586</v>
      </c>
      <c r="C808" s="76">
        <v>1.1631508098056811</v>
      </c>
      <c r="E808" s="76">
        <v>1.0459685551826876</v>
      </c>
    </row>
    <row r="809" spans="1:5" x14ac:dyDescent="0.25">
      <c r="A809" s="76">
        <v>1.4681545430052598</v>
      </c>
      <c r="B809" s="76">
        <v>0.19867069479548416</v>
      </c>
      <c r="C809" s="76">
        <v>2.799330067370942E-2</v>
      </c>
      <c r="E809" s="76">
        <v>0.87380898878431568</v>
      </c>
    </row>
    <row r="810" spans="1:5" x14ac:dyDescent="0.25">
      <c r="A810" s="76">
        <v>1.4835988654327334</v>
      </c>
      <c r="B810" s="76">
        <v>0.15728547863262987</v>
      </c>
      <c r="C810" s="76">
        <v>0.12877295628256946</v>
      </c>
      <c r="E810" s="76">
        <v>0.85580161945931854</v>
      </c>
    </row>
    <row r="811" spans="1:5" x14ac:dyDescent="0.25">
      <c r="A811" s="76">
        <v>0.80396154690023525</v>
      </c>
      <c r="B811" s="76">
        <v>2.51441818010254E-2</v>
      </c>
    </row>
    <row r="812" spans="1:5" x14ac:dyDescent="0.25">
      <c r="A812" s="76">
        <v>1.0933903446869582</v>
      </c>
      <c r="B812" s="76">
        <v>3.6367644170874902E-2</v>
      </c>
    </row>
    <row r="813" spans="1:5" x14ac:dyDescent="0.25">
      <c r="A813" s="76">
        <v>1.1641268957787363</v>
      </c>
      <c r="B813" s="76">
        <v>4.5256591588120898E-2</v>
      </c>
    </row>
    <row r="814" spans="1:5" x14ac:dyDescent="0.25">
      <c r="A814" s="76">
        <v>1.257217318844748</v>
      </c>
      <c r="B814" s="76">
        <v>9.2166551049241985E-3</v>
      </c>
    </row>
    <row r="815" spans="1:5" x14ac:dyDescent="0.25">
      <c r="A815" s="76">
        <v>1.4132709488180926</v>
      </c>
      <c r="B815" s="76">
        <v>2.288429383358781E-2</v>
      </c>
    </row>
    <row r="816" spans="1:5" x14ac:dyDescent="0.25">
      <c r="A816" s="76">
        <v>1.4578880143068995</v>
      </c>
      <c r="B816" s="76">
        <v>3.6367644170874902E-2</v>
      </c>
    </row>
    <row r="817" spans="1:5" x14ac:dyDescent="0.25">
      <c r="A817" s="76">
        <v>1.6094379124341003</v>
      </c>
      <c r="B817" s="76">
        <v>0.24294617861038947</v>
      </c>
      <c r="C817" s="76">
        <v>2.5572273113676265</v>
      </c>
      <c r="E817" s="76">
        <v>1.5621850275835549</v>
      </c>
    </row>
    <row r="818" spans="1:5" x14ac:dyDescent="0.25">
      <c r="A818" s="76">
        <v>1.0580728769565901</v>
      </c>
      <c r="B818" s="76">
        <v>7.2266196831920704E-2</v>
      </c>
    </row>
    <row r="819" spans="1:5" x14ac:dyDescent="0.25">
      <c r="A819" s="76">
        <v>5.7884894075314719E-2</v>
      </c>
      <c r="B819" s="76">
        <v>7.0011954589837E-3</v>
      </c>
    </row>
    <row r="820" spans="1:5" x14ac:dyDescent="0.25">
      <c r="A820" s="76">
        <v>5.4594452789844539E-2</v>
      </c>
      <c r="B820" s="76">
        <v>8.1225439922586018E-2</v>
      </c>
    </row>
    <row r="821" spans="1:5" x14ac:dyDescent="0.25">
      <c r="A821" s="76">
        <v>6.872563471358184E-2</v>
      </c>
      <c r="B821" s="76">
        <v>0.12967782330853295</v>
      </c>
    </row>
    <row r="822" spans="1:5" x14ac:dyDescent="0.25">
      <c r="A822" s="76">
        <v>0.11443743200046086</v>
      </c>
      <c r="B822" s="76">
        <v>0.14310084364067355</v>
      </c>
    </row>
    <row r="823" spans="1:5" x14ac:dyDescent="0.25">
      <c r="A823" s="76">
        <v>0.10995914417576635</v>
      </c>
      <c r="B823" s="76">
        <v>0.16072244499049293</v>
      </c>
    </row>
    <row r="824" spans="1:5" x14ac:dyDescent="0.25">
      <c r="A824" s="76">
        <v>9.4581183963766691E-2</v>
      </c>
      <c r="B824" s="76">
        <v>0.20763936477824463</v>
      </c>
    </row>
    <row r="825" spans="1:5" x14ac:dyDescent="0.25">
      <c r="B825" s="76">
        <v>1.2739025777430024E-2</v>
      </c>
    </row>
    <row r="826" spans="1:5" x14ac:dyDescent="0.25">
      <c r="B826" s="76">
        <v>6.9334693401064351E-2</v>
      </c>
    </row>
    <row r="827" spans="1:5" x14ac:dyDescent="0.25">
      <c r="B827" s="76">
        <v>0.11378645597189818</v>
      </c>
    </row>
    <row r="828" spans="1:5" x14ac:dyDescent="0.25">
      <c r="B828" s="76">
        <v>6.2131781107006345E-2</v>
      </c>
    </row>
    <row r="829" spans="1:5" x14ac:dyDescent="0.25">
      <c r="B829" s="76">
        <v>7.6486094558689377E-2</v>
      </c>
    </row>
    <row r="830" spans="1:5" x14ac:dyDescent="0.25">
      <c r="B830" s="76">
        <v>0.15195045891765591</v>
      </c>
    </row>
    <row r="831" spans="1:5" x14ac:dyDescent="0.25">
      <c r="A831" s="76">
        <v>1.1925671868596055E-2</v>
      </c>
    </row>
    <row r="832" spans="1:5" x14ac:dyDescent="0.25">
      <c r="A832" s="76">
        <v>5.8966285931425055E-2</v>
      </c>
    </row>
    <row r="833" spans="1:5" x14ac:dyDescent="0.25">
      <c r="A833" s="76">
        <v>8.908487156963929E-2</v>
      </c>
    </row>
    <row r="834" spans="1:5" x14ac:dyDescent="0.25">
      <c r="A834" s="76">
        <v>0.13485662113226393</v>
      </c>
    </row>
    <row r="835" spans="1:5" x14ac:dyDescent="0.25">
      <c r="A835" s="76">
        <v>0.1496598520447554</v>
      </c>
    </row>
    <row r="836" spans="1:5" x14ac:dyDescent="0.25">
      <c r="A836" s="76">
        <v>0.1020802336617157</v>
      </c>
    </row>
    <row r="837" spans="1:5" x14ac:dyDescent="0.25">
      <c r="A837" s="76">
        <v>0.10333381540028164</v>
      </c>
    </row>
    <row r="838" spans="1:5" x14ac:dyDescent="0.25">
      <c r="A838" s="76">
        <v>0.19336171950858549</v>
      </c>
    </row>
    <row r="839" spans="1:5" x14ac:dyDescent="0.25">
      <c r="A839" s="76">
        <v>0.36880761726414946</v>
      </c>
    </row>
    <row r="840" spans="1:5" x14ac:dyDescent="0.25">
      <c r="A840" s="76">
        <v>0.16041872090802833</v>
      </c>
    </row>
    <row r="841" spans="1:5" x14ac:dyDescent="0.25">
      <c r="A841" s="76">
        <v>1.8588987720656835</v>
      </c>
      <c r="B841" s="76">
        <v>0.33647223662121295</v>
      </c>
      <c r="C841" s="76">
        <v>0.16202235232302598</v>
      </c>
      <c r="E841" s="76">
        <v>1.988927534139004</v>
      </c>
    </row>
    <row r="842" spans="1:5" x14ac:dyDescent="0.25">
      <c r="A842" s="76">
        <v>1.9875040463541505</v>
      </c>
      <c r="B842" s="76">
        <v>5.1751065052445533E-2</v>
      </c>
      <c r="C842" s="76">
        <v>3.5642217951176836E-2</v>
      </c>
      <c r="E842" s="76">
        <v>0.5073072682681028</v>
      </c>
    </row>
    <row r="843" spans="1:5" x14ac:dyDescent="0.25">
      <c r="B843" s="76">
        <v>0.11860574240784683</v>
      </c>
      <c r="E843" s="76">
        <v>0.59098606601242043</v>
      </c>
    </row>
    <row r="844" spans="1:5" x14ac:dyDescent="0.25">
      <c r="B844" s="76">
        <v>5.9898141581068876E-2</v>
      </c>
      <c r="E844" s="76">
        <v>0.34043970331578777</v>
      </c>
    </row>
    <row r="845" spans="1:5" x14ac:dyDescent="0.25">
      <c r="B845" s="76">
        <v>9.1937495325685736E-2</v>
      </c>
      <c r="E845" s="76">
        <v>0.499304585852828</v>
      </c>
    </row>
    <row r="846" spans="1:5" x14ac:dyDescent="0.25">
      <c r="B846" s="76">
        <v>8.2887659805767733E-2</v>
      </c>
      <c r="E846" s="76">
        <v>0.25273958451112533</v>
      </c>
    </row>
    <row r="847" spans="1:5" x14ac:dyDescent="0.25">
      <c r="B847" s="76">
        <v>7.6046127989050971E-2</v>
      </c>
      <c r="E847" s="76">
        <v>0.51390824333901719</v>
      </c>
    </row>
    <row r="848" spans="1:5" x14ac:dyDescent="0.25">
      <c r="B848" s="76">
        <v>0.15732025458853727</v>
      </c>
      <c r="E848" s="76">
        <v>0.79088527774119832</v>
      </c>
    </row>
    <row r="849" spans="1:5" x14ac:dyDescent="0.25">
      <c r="B849" s="76">
        <v>0.1843770559760507</v>
      </c>
      <c r="E849" s="76">
        <v>0.76725065719008434</v>
      </c>
    </row>
    <row r="850" spans="1:5" x14ac:dyDescent="0.25">
      <c r="B850" s="76">
        <v>0.14884562759756514</v>
      </c>
      <c r="E850" s="76">
        <v>0.59266509586727789</v>
      </c>
    </row>
    <row r="851" spans="1:5" x14ac:dyDescent="0.25">
      <c r="B851" s="76">
        <v>0.1295109758901094</v>
      </c>
      <c r="E851" s="76">
        <v>0.72499120187212363</v>
      </c>
    </row>
    <row r="852" spans="1:5" x14ac:dyDescent="0.25">
      <c r="B852" s="76">
        <v>0.18642833874660791</v>
      </c>
      <c r="E852" s="76">
        <v>0.79505629525853649</v>
      </c>
    </row>
    <row r="853" spans="1:5" x14ac:dyDescent="0.25">
      <c r="B853" s="76">
        <v>4.1797128678461526E-2</v>
      </c>
    </row>
    <row r="854" spans="1:5" x14ac:dyDescent="0.25">
      <c r="B854" s="76">
        <v>7.9104181091272041E-2</v>
      </c>
    </row>
    <row r="855" spans="1:5" x14ac:dyDescent="0.25">
      <c r="B855" s="76">
        <v>0.10688374519834776</v>
      </c>
    </row>
    <row r="856" spans="1:5" x14ac:dyDescent="0.25">
      <c r="B856" s="76">
        <v>0.17092181332922718</v>
      </c>
    </row>
    <row r="857" spans="1:5" x14ac:dyDescent="0.25">
      <c r="B857" s="76">
        <v>0.34934334745249984</v>
      </c>
    </row>
    <row r="858" spans="1:5" x14ac:dyDescent="0.25">
      <c r="B858" s="76">
        <v>1.0025146619378589E-2</v>
      </c>
    </row>
    <row r="859" spans="1:5" x14ac:dyDescent="0.25">
      <c r="B859" s="76">
        <v>1.5000281259492487E-2</v>
      </c>
    </row>
    <row r="860" spans="1:5" x14ac:dyDescent="0.25">
      <c r="B860" s="76">
        <v>0.12085695172779465</v>
      </c>
    </row>
    <row r="861" spans="1:5" x14ac:dyDescent="0.25">
      <c r="B861" s="76">
        <v>0.16879641401691381</v>
      </c>
    </row>
    <row r="862" spans="1:5" x14ac:dyDescent="0.25">
      <c r="A862" s="76">
        <v>0.24735850337060317</v>
      </c>
      <c r="B862" s="76">
        <v>2.8104894320108542E-2</v>
      </c>
    </row>
    <row r="863" spans="1:5" x14ac:dyDescent="0.25">
      <c r="A863" s="76">
        <v>0.4239065360108869</v>
      </c>
      <c r="B863" s="76">
        <v>4.6412041764464673E-2</v>
      </c>
    </row>
    <row r="864" spans="1:5" x14ac:dyDescent="0.25">
      <c r="A864" s="76">
        <v>0.84709064944572443</v>
      </c>
      <c r="B864" s="76">
        <v>0.16595719241424733</v>
      </c>
    </row>
    <row r="865" spans="1:5" x14ac:dyDescent="0.25">
      <c r="A865" s="76">
        <v>0.74748153152327479</v>
      </c>
      <c r="B865" s="76">
        <v>0.24708273722661578</v>
      </c>
    </row>
    <row r="866" spans="1:5" x14ac:dyDescent="0.25">
      <c r="A866" s="76">
        <v>0.42911364836804999</v>
      </c>
      <c r="B866" s="76">
        <v>0.52544507772959448</v>
      </c>
    </row>
    <row r="867" spans="1:5" x14ac:dyDescent="0.25">
      <c r="B867" s="76">
        <v>0.25686918602224607</v>
      </c>
    </row>
    <row r="868" spans="1:5" x14ac:dyDescent="0.25">
      <c r="A868" s="76">
        <v>0.45319651092935453</v>
      </c>
      <c r="B868" s="76">
        <v>8.7791347390297592E-2</v>
      </c>
    </row>
    <row r="869" spans="1:5" x14ac:dyDescent="0.25">
      <c r="A869" s="76">
        <v>0.28990182919009388</v>
      </c>
      <c r="B869" s="76">
        <v>0.16849355518666265</v>
      </c>
    </row>
    <row r="870" spans="1:5" x14ac:dyDescent="0.25">
      <c r="A870" s="76">
        <v>0.27740724451068255</v>
      </c>
      <c r="B870" s="76">
        <v>0.12813295209930353</v>
      </c>
    </row>
    <row r="871" spans="1:5" x14ac:dyDescent="0.25">
      <c r="A871" s="76">
        <v>2.3243069161408814</v>
      </c>
      <c r="B871" s="76">
        <v>0.11411330676742115</v>
      </c>
      <c r="C871" s="76">
        <v>0.5773153650348235</v>
      </c>
      <c r="E871" s="76">
        <v>0.71585704306657227</v>
      </c>
    </row>
    <row r="872" spans="1:5" x14ac:dyDescent="0.25">
      <c r="A872" s="76">
        <v>2.4128322979617263</v>
      </c>
      <c r="B872" s="76">
        <v>0.15728547863262987</v>
      </c>
      <c r="C872" s="76">
        <v>0.12877295628256924</v>
      </c>
      <c r="E872" s="76">
        <v>0.8558016194593181</v>
      </c>
    </row>
    <row r="873" spans="1:5" x14ac:dyDescent="0.25">
      <c r="A873" s="76">
        <v>2.4786936956032815</v>
      </c>
      <c r="B873" s="76">
        <v>0.12062798778861494</v>
      </c>
      <c r="C873" s="76">
        <v>2.7993300673709198E-2</v>
      </c>
      <c r="E873" s="76">
        <v>0.87380898878431612</v>
      </c>
    </row>
    <row r="874" spans="1:5" x14ac:dyDescent="0.25">
      <c r="A874" s="76">
        <v>2.5107521901186978</v>
      </c>
      <c r="B874" s="76">
        <v>5.3488684950986354E-2</v>
      </c>
      <c r="C874" s="76">
        <v>1.5165595559577922</v>
      </c>
      <c r="E874" s="76">
        <v>0.70943039681056863</v>
      </c>
    </row>
    <row r="875" spans="1:5" x14ac:dyDescent="0.25">
      <c r="A875" s="76">
        <v>2.6124021263799886</v>
      </c>
      <c r="B875" s="76">
        <v>0.19867069479548416</v>
      </c>
      <c r="C875" s="76">
        <v>1.3753652905877005</v>
      </c>
      <c r="E875" s="76">
        <v>0.97373126088967599</v>
      </c>
    </row>
  </sheetData>
  <phoneticPr fontId="4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2DDB-BB29-4A9B-A42D-3289412256DA}">
  <dimension ref="A1:C30"/>
  <sheetViews>
    <sheetView workbookViewId="0">
      <selection activeCell="A28" sqref="A28"/>
    </sheetView>
  </sheetViews>
  <sheetFormatPr defaultRowHeight="14.4" x14ac:dyDescent="0.25"/>
  <cols>
    <col min="1" max="1" width="88.21875" style="30" customWidth="1"/>
    <col min="2" max="2" width="14.6640625" customWidth="1"/>
    <col min="3" max="3" width="18.88671875" customWidth="1"/>
  </cols>
  <sheetData>
    <row r="1" spans="1:3" ht="15.6" x14ac:dyDescent="0.25">
      <c r="B1" s="50" t="s">
        <v>2322</v>
      </c>
      <c r="C1" s="50"/>
    </row>
    <row r="2" spans="1:3" ht="15.6" x14ac:dyDescent="0.25">
      <c r="B2" s="50">
        <v>1</v>
      </c>
      <c r="C2" s="50" t="s">
        <v>2292</v>
      </c>
    </row>
    <row r="3" spans="1:3" ht="15.6" x14ac:dyDescent="0.25">
      <c r="A3" s="55" t="s">
        <v>2471</v>
      </c>
      <c r="B3" s="50">
        <v>2</v>
      </c>
      <c r="C3" s="50" t="s">
        <v>2294</v>
      </c>
    </row>
    <row r="4" spans="1:3" ht="55.2" x14ac:dyDescent="0.25">
      <c r="A4" s="73" t="s">
        <v>2329</v>
      </c>
      <c r="B4" s="50">
        <v>3</v>
      </c>
      <c r="C4" s="50" t="s">
        <v>2293</v>
      </c>
    </row>
    <row r="5" spans="1:3" ht="15.6" x14ac:dyDescent="0.25">
      <c r="B5" s="50">
        <v>4</v>
      </c>
      <c r="C5" s="50" t="s">
        <v>2291</v>
      </c>
    </row>
    <row r="6" spans="1:3" ht="15.6" x14ac:dyDescent="0.25">
      <c r="B6" s="50">
        <v>5</v>
      </c>
      <c r="C6" s="50" t="s">
        <v>2320</v>
      </c>
    </row>
    <row r="7" spans="1:3" ht="15.6" x14ac:dyDescent="0.25">
      <c r="B7" s="50">
        <v>6</v>
      </c>
      <c r="C7" s="50" t="s">
        <v>2321</v>
      </c>
    </row>
    <row r="8" spans="1:3" ht="15.6" x14ac:dyDescent="0.25">
      <c r="B8" s="56"/>
      <c r="C8" s="56"/>
    </row>
    <row r="9" spans="1:3" ht="15.6" x14ac:dyDescent="0.25">
      <c r="B9" s="50" t="s">
        <v>2330</v>
      </c>
      <c r="C9" s="56"/>
    </row>
    <row r="10" spans="1:3" ht="15.6" x14ac:dyDescent="0.25">
      <c r="B10" s="50">
        <v>1</v>
      </c>
      <c r="C10" s="56" t="s">
        <v>2323</v>
      </c>
    </row>
    <row r="11" spans="1:3" ht="15.6" x14ac:dyDescent="0.25">
      <c r="B11" s="50">
        <v>2</v>
      </c>
      <c r="C11" s="56" t="s">
        <v>2324</v>
      </c>
    </row>
    <row r="12" spans="1:3" ht="15.6" x14ac:dyDescent="0.25">
      <c r="B12" s="50">
        <v>3</v>
      </c>
      <c r="C12" s="56" t="s">
        <v>2325</v>
      </c>
    </row>
    <row r="13" spans="1:3" ht="15.6" x14ac:dyDescent="0.25">
      <c r="B13" s="56"/>
      <c r="C13" s="56"/>
    </row>
    <row r="14" spans="1:3" ht="15.6" x14ac:dyDescent="0.25">
      <c r="B14" s="56" t="s">
        <v>2331</v>
      </c>
      <c r="C14" s="56"/>
    </row>
    <row r="15" spans="1:3" ht="15.6" x14ac:dyDescent="0.25">
      <c r="B15" s="50">
        <v>1</v>
      </c>
      <c r="C15" s="56" t="s">
        <v>2326</v>
      </c>
    </row>
    <row r="16" spans="1:3" ht="24.6" customHeight="1" x14ac:dyDescent="0.25">
      <c r="B16" s="50">
        <v>2</v>
      </c>
      <c r="C16" s="56" t="s">
        <v>2327</v>
      </c>
    </row>
    <row r="17" spans="2:3" ht="15.6" x14ac:dyDescent="0.25">
      <c r="B17" s="50">
        <v>3</v>
      </c>
      <c r="C17" s="56" t="s">
        <v>2328</v>
      </c>
    </row>
    <row r="18" spans="2:3" ht="15.6" x14ac:dyDescent="0.25">
      <c r="B18" s="56"/>
      <c r="C18" s="56"/>
    </row>
    <row r="19" spans="2:3" ht="15.6" x14ac:dyDescent="0.25">
      <c r="B19" s="56" t="s">
        <v>2341</v>
      </c>
      <c r="C19" s="56"/>
    </row>
    <row r="20" spans="2:3" ht="15.6" x14ac:dyDescent="0.25">
      <c r="B20" s="50">
        <v>1</v>
      </c>
      <c r="C20" s="56" t="s">
        <v>2332</v>
      </c>
    </row>
    <row r="21" spans="2:3" ht="15.6" x14ac:dyDescent="0.25">
      <c r="B21" s="50">
        <v>2</v>
      </c>
      <c r="C21" s="56" t="s">
        <v>2333</v>
      </c>
    </row>
    <row r="22" spans="2:3" ht="15.6" x14ac:dyDescent="0.25">
      <c r="B22" s="56"/>
      <c r="C22" s="56"/>
    </row>
    <row r="23" spans="2:3" ht="15.6" x14ac:dyDescent="0.25">
      <c r="B23" s="56" t="s">
        <v>2340</v>
      </c>
      <c r="C23" s="56"/>
    </row>
    <row r="24" spans="2:3" ht="15.6" x14ac:dyDescent="0.25">
      <c r="B24" s="50">
        <v>1</v>
      </c>
      <c r="C24" s="50" t="s">
        <v>2334</v>
      </c>
    </row>
    <row r="25" spans="2:3" ht="15.6" x14ac:dyDescent="0.25">
      <c r="B25" s="50">
        <v>2</v>
      </c>
      <c r="C25" s="50" t="s">
        <v>2335</v>
      </c>
    </row>
    <row r="26" spans="2:3" ht="15.6" x14ac:dyDescent="0.25">
      <c r="B26" s="50">
        <v>3</v>
      </c>
      <c r="C26" s="50" t="s">
        <v>2336</v>
      </c>
    </row>
    <row r="27" spans="2:3" ht="15.6" x14ac:dyDescent="0.25">
      <c r="B27" s="50">
        <v>4</v>
      </c>
      <c r="C27" s="50" t="s">
        <v>2337</v>
      </c>
    </row>
    <row r="28" spans="2:3" ht="15.6" x14ac:dyDescent="0.25">
      <c r="B28" s="50">
        <v>5</v>
      </c>
      <c r="C28" s="50" t="s">
        <v>2338</v>
      </c>
    </row>
    <row r="29" spans="2:3" ht="15.6" x14ac:dyDescent="0.25">
      <c r="B29" s="50">
        <v>6</v>
      </c>
      <c r="C29" s="50" t="s">
        <v>2339</v>
      </c>
    </row>
    <row r="30" spans="2:3" ht="15.6" x14ac:dyDescent="0.25">
      <c r="B30" s="56"/>
      <c r="C30" s="56"/>
    </row>
  </sheetData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Dataset_s1</vt:lpstr>
      <vt:lpstr>relationship_effectsize</vt:lpstr>
      <vt:lpstr>Data_note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wangzheng</dc:creator>
  <cp:lastModifiedBy>Zhang Siwen</cp:lastModifiedBy>
  <dcterms:created xsi:type="dcterms:W3CDTF">2019-06-16T15:47:55Z</dcterms:created>
  <dcterms:modified xsi:type="dcterms:W3CDTF">2022-06-21T07:49:10Z</dcterms:modified>
</cp:coreProperties>
</file>