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ard/GitHub/Bilinear-Demand-Intensity/"/>
    </mc:Choice>
  </mc:AlternateContent>
  <bookViews>
    <workbookView xWindow="0" yWindow="460" windowWidth="33600" windowHeight="2054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" l="1"/>
  <c r="F17" i="2"/>
  <c r="F18" i="2"/>
  <c r="F14" i="2"/>
  <c r="F19" i="2"/>
  <c r="F20" i="2"/>
  <c r="B21" i="2"/>
  <c r="B24" i="2"/>
  <c r="F21" i="2"/>
  <c r="J5" i="2"/>
  <c r="B22" i="2"/>
  <c r="B25" i="2"/>
  <c r="F22" i="2"/>
  <c r="J4" i="2"/>
  <c r="F16" i="2"/>
  <c r="F15" i="2"/>
  <c r="F12" i="2"/>
  <c r="F11" i="2"/>
  <c r="F8" i="2"/>
  <c r="B23" i="2"/>
  <c r="B20" i="2"/>
  <c r="L5" i="2"/>
  <c r="J6" i="2"/>
  <c r="L6" i="2"/>
  <c r="F79" i="2"/>
  <c r="F78" i="2"/>
  <c r="B26" i="2"/>
  <c r="B65" i="2"/>
  <c r="A64" i="2"/>
  <c r="A65" i="2"/>
  <c r="E62" i="2"/>
  <c r="F62" i="2"/>
  <c r="E60" i="2"/>
  <c r="F60" i="2"/>
  <c r="B19" i="2"/>
  <c r="G66" i="2"/>
  <c r="E7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F51" i="2"/>
  <c r="S7" i="2"/>
  <c r="Y2" i="2"/>
  <c r="Y3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V2" i="2"/>
  <c r="V3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W7" i="2"/>
  <c r="V7" i="2"/>
  <c r="T2" i="2"/>
  <c r="T3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7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V4" i="2"/>
  <c r="T4" i="2"/>
  <c r="F72" i="2"/>
  <c r="F75" i="2"/>
  <c r="A66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4" i="2"/>
  <c r="B66" i="2"/>
  <c r="E75" i="2"/>
  <c r="E74" i="2"/>
  <c r="E78" i="2"/>
  <c r="E77" i="2"/>
  <c r="F50" i="2"/>
</calcChain>
</file>

<file path=xl/sharedStrings.xml><?xml version="1.0" encoding="utf-8"?>
<sst xmlns="http://schemas.openxmlformats.org/spreadsheetml/2006/main" count="92" uniqueCount="86">
  <si>
    <r>
      <t>k</t>
    </r>
    <r>
      <rPr>
        <vertAlign val="subscript"/>
        <sz val="12"/>
        <color theme="1"/>
        <rFont val="Calibri (Body)"/>
      </rPr>
      <t>0</t>
    </r>
  </si>
  <si>
    <r>
      <t>k</t>
    </r>
    <r>
      <rPr>
        <vertAlign val="subscript"/>
        <sz val="12"/>
        <color theme="1"/>
        <rFont val="Calibri (Body)"/>
      </rPr>
      <t>1</t>
    </r>
  </si>
  <si>
    <r>
      <t>k</t>
    </r>
    <r>
      <rPr>
        <vertAlign val="subscript"/>
        <sz val="12"/>
        <color theme="1"/>
        <rFont val="Calibri (Body)"/>
      </rPr>
      <t>2</t>
    </r>
  </si>
  <si>
    <t>λ</t>
  </si>
  <si>
    <t>Estimate the Annual Probability of Exceedance using the Second-Order Hazard Fit and Bilinear Demand-Intensity Model</t>
  </si>
  <si>
    <t>Demand-Intensity Model - Proposed</t>
  </si>
  <si>
    <r>
      <t>θ=as</t>
    </r>
    <r>
      <rPr>
        <vertAlign val="superscript"/>
        <sz val="12"/>
        <color theme="1"/>
        <rFont val="Calibri (Body)"/>
      </rPr>
      <t>b</t>
    </r>
  </si>
  <si>
    <r>
      <t>a</t>
    </r>
    <r>
      <rPr>
        <vertAlign val="subscript"/>
        <sz val="12"/>
        <color theme="1"/>
        <rFont val="Calibri (Body)"/>
      </rPr>
      <t>1</t>
    </r>
  </si>
  <si>
    <r>
      <t>b</t>
    </r>
    <r>
      <rPr>
        <vertAlign val="subscript"/>
        <sz val="12"/>
        <color theme="1"/>
        <rFont val="Calibri (Body)"/>
      </rPr>
      <t>1</t>
    </r>
  </si>
  <si>
    <r>
      <t>a</t>
    </r>
    <r>
      <rPr>
        <vertAlign val="subscript"/>
        <sz val="12"/>
        <color theme="1"/>
        <rFont val="Calibri (Body)"/>
      </rPr>
      <t>2</t>
    </r>
  </si>
  <si>
    <r>
      <t>b</t>
    </r>
    <r>
      <rPr>
        <vertAlign val="subscript"/>
        <sz val="12"/>
        <color theme="1"/>
        <rFont val="Calibri (Body)"/>
      </rPr>
      <t>2</t>
    </r>
  </si>
  <si>
    <t>Part 1 exponent</t>
  </si>
  <si>
    <t>Part 2 exponent</t>
  </si>
  <si>
    <r>
      <t>β</t>
    </r>
    <r>
      <rPr>
        <vertAlign val="subscript"/>
        <sz val="12"/>
        <color theme="1"/>
        <rFont val="Calibri (Body)"/>
      </rPr>
      <t>CR</t>
    </r>
  </si>
  <si>
    <r>
      <t>β</t>
    </r>
    <r>
      <rPr>
        <vertAlign val="subscript"/>
        <sz val="12"/>
        <color theme="1"/>
        <rFont val="Calibri (Body)"/>
      </rPr>
      <t>CU</t>
    </r>
  </si>
  <si>
    <r>
      <t>β</t>
    </r>
    <r>
      <rPr>
        <vertAlign val="subscript"/>
        <sz val="12"/>
        <color theme="1"/>
        <rFont val="Calibri (Body)"/>
      </rPr>
      <t>DR</t>
    </r>
  </si>
  <si>
    <r>
      <t>β</t>
    </r>
    <r>
      <rPr>
        <vertAlign val="subscript"/>
        <sz val="12"/>
        <color theme="1"/>
        <rFont val="Calibri (Body)"/>
      </rPr>
      <t>DU</t>
    </r>
  </si>
  <si>
    <t>Median Capacity</t>
  </si>
  <si>
    <r>
      <t>θ</t>
    </r>
    <r>
      <rPr>
        <vertAlign val="subscript"/>
        <sz val="12"/>
        <color theme="1"/>
        <rFont val="Calibri (Body)"/>
      </rPr>
      <t>C</t>
    </r>
  </si>
  <si>
    <t>Incorporation of Uncertainty</t>
  </si>
  <si>
    <t>Computation of Terms</t>
  </si>
  <si>
    <r>
      <t>μ</t>
    </r>
    <r>
      <rPr>
        <vertAlign val="subscript"/>
        <sz val="12"/>
        <color theme="1"/>
        <rFont val="Calibri (Body)"/>
      </rPr>
      <t>1</t>
    </r>
  </si>
  <si>
    <r>
      <t>μ</t>
    </r>
    <r>
      <rPr>
        <vertAlign val="subscript"/>
        <sz val="12"/>
        <color theme="1"/>
        <rFont val="Calibri (Body)"/>
      </rPr>
      <t>2</t>
    </r>
  </si>
  <si>
    <r>
      <t>σ</t>
    </r>
    <r>
      <rPr>
        <vertAlign val="subscript"/>
        <sz val="12"/>
        <color theme="1"/>
        <rFont val="Calibri (Body)"/>
      </rPr>
      <t>1</t>
    </r>
  </si>
  <si>
    <r>
      <t>σ</t>
    </r>
    <r>
      <rPr>
        <vertAlign val="subscript"/>
        <sz val="12"/>
        <color theme="1"/>
        <rFont val="Calibri (Body)"/>
      </rPr>
      <t>2</t>
    </r>
  </si>
  <si>
    <r>
      <t>φ'</t>
    </r>
    <r>
      <rPr>
        <vertAlign val="subscript"/>
        <sz val="12"/>
        <color theme="1"/>
        <rFont val="Calibri (Body)"/>
      </rPr>
      <t>1</t>
    </r>
  </si>
  <si>
    <r>
      <t>φ'</t>
    </r>
    <r>
      <rPr>
        <vertAlign val="subscript"/>
        <sz val="12"/>
        <color theme="1"/>
        <rFont val="Calibri (Body)"/>
      </rPr>
      <t>2</t>
    </r>
  </si>
  <si>
    <t>Limit intensity value [g]</t>
  </si>
  <si>
    <r>
      <t>s</t>
    </r>
    <r>
      <rPr>
        <vertAlign val="subscript"/>
        <sz val="12"/>
        <color theme="1"/>
        <rFont val="Calibri (Body)"/>
      </rPr>
      <t>lim</t>
    </r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</si>
  <si>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lim</t>
    </r>
    <r>
      <rPr>
        <sz val="12"/>
        <color theme="1"/>
        <rFont val="Calibri"/>
        <family val="2"/>
        <scheme val="minor"/>
      </rPr>
      <t>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</si>
  <si>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lim</t>
    </r>
    <r>
      <rPr>
        <sz val="12"/>
        <color theme="1"/>
        <rFont val="Calibri"/>
        <family val="2"/>
        <scheme val="minor"/>
      </rPr>
      <t>)</t>
    </r>
  </si>
  <si>
    <t>s</t>
  </si>
  <si>
    <r>
      <t>θ</t>
    </r>
    <r>
      <rPr>
        <vertAlign val="subscript"/>
        <sz val="12"/>
        <color theme="1"/>
        <rFont val="Calibri (Body)"/>
      </rPr>
      <t>lim</t>
    </r>
  </si>
  <si>
    <t>Demand at transition</t>
  </si>
  <si>
    <t>Intensity at median capacity</t>
  </si>
  <si>
    <r>
      <t>G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</si>
  <si>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r>
      <t>G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</si>
  <si>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t>Demand</t>
  </si>
  <si>
    <t>Intensity</t>
  </si>
  <si>
    <r>
      <t>s</t>
    </r>
    <r>
      <rPr>
        <vertAlign val="subscript"/>
        <sz val="12"/>
        <color theme="1"/>
        <rFont val="Calibri (Body)"/>
      </rPr>
      <t>med</t>
    </r>
  </si>
  <si>
    <r>
      <t>H(s</t>
    </r>
    <r>
      <rPr>
        <vertAlign val="subscript"/>
        <sz val="12"/>
        <color theme="1"/>
        <rFont val="Calibri (Body)"/>
      </rPr>
      <t>med</t>
    </r>
    <r>
      <rPr>
        <sz val="12"/>
        <color theme="1"/>
        <rFont val="Calibri"/>
        <family val="2"/>
        <scheme val="minor"/>
      </rPr>
      <t>)</t>
    </r>
  </si>
  <si>
    <t>Input Parameters</t>
  </si>
  <si>
    <t>Plot the demand-intensity model</t>
  </si>
  <si>
    <r>
      <t>H(s)=k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exp(-k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lns-k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ln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s)</t>
    </r>
  </si>
  <si>
    <t>Hazard model parameter</t>
  </si>
  <si>
    <t>Part 1 coefficient</t>
  </si>
  <si>
    <t>Part 2 coefficient</t>
  </si>
  <si>
    <t>MAFE of median Intensity</t>
  </si>
  <si>
    <t>Capacity aleatory uncertainty</t>
  </si>
  <si>
    <t>Capacity epistemic uncertainty</t>
  </si>
  <si>
    <t>Demand aleatory uncertainty</t>
  </si>
  <si>
    <t>Demand epistemic uncertainty</t>
  </si>
  <si>
    <t>Performance Evaluation</t>
  </si>
  <si>
    <t>MAFE (Part 1 only)</t>
  </si>
  <si>
    <t>MAFE (Bilinear model)</t>
  </si>
  <si>
    <t>MAFE (Part 2 only)</t>
  </si>
  <si>
    <r>
      <t>λ</t>
    </r>
    <r>
      <rPr>
        <vertAlign val="subscript"/>
        <sz val="12"/>
        <color theme="1"/>
        <rFont val="Calibri (Body)"/>
      </rPr>
      <t>LS</t>
    </r>
    <r>
      <rPr>
        <sz val="12"/>
        <color theme="1"/>
        <rFont val="Calibri"/>
        <family val="2"/>
        <scheme val="minor"/>
      </rPr>
      <t xml:space="preserve"> (x10</t>
    </r>
    <r>
      <rPr>
        <vertAlign val="superscript"/>
        <sz val="12"/>
        <color theme="1"/>
        <rFont val="Calibri (Body)"/>
      </rPr>
      <t>-3</t>
    </r>
    <r>
      <rPr>
        <sz val="12"/>
        <color theme="1"/>
        <rFont val="Calibri"/>
        <family val="2"/>
        <scheme val="minor"/>
      </rPr>
      <t>)</t>
    </r>
  </si>
  <si>
    <t>Mean</t>
  </si>
  <si>
    <t>Std. Dev.</t>
  </si>
  <si>
    <t>Median</t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</si>
  <si>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</si>
  <si>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</si>
  <si>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(s)</t>
    </r>
  </si>
  <si>
    <r>
      <t>F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(s)</t>
    </r>
  </si>
  <si>
    <t>Error</t>
  </si>
  <si>
    <t>Mismatch in demand at slim</t>
  </si>
  <si>
    <t>Total uncertainty</t>
  </si>
  <si>
    <r>
      <t>β</t>
    </r>
    <r>
      <rPr>
        <vertAlign val="subscript"/>
        <sz val="12"/>
        <color theme="1"/>
        <rFont val="Calibri (Body)"/>
      </rPr>
      <t>TOT</t>
    </r>
    <r>
      <rPr>
        <vertAlign val="superscript"/>
        <sz val="12"/>
        <color theme="1"/>
        <rFont val="Calibri (Body)"/>
      </rPr>
      <t>2</t>
    </r>
  </si>
  <si>
    <r>
      <t>dF</t>
    </r>
    <r>
      <rPr>
        <vertAlign val="subscript"/>
        <sz val="12"/>
        <color theme="1"/>
        <rFont val="Calibri (Body)"/>
      </rPr>
      <t>1</t>
    </r>
  </si>
  <si>
    <r>
      <t>dF</t>
    </r>
    <r>
      <rPr>
        <vertAlign val="subscript"/>
        <sz val="12"/>
        <color theme="1"/>
        <rFont val="Calibri (Body)"/>
      </rPr>
      <t>2</t>
    </r>
  </si>
  <si>
    <r>
      <t>s</t>
    </r>
    <r>
      <rPr>
        <vertAlign val="subscript"/>
        <sz val="12"/>
        <color theme="1"/>
        <rFont val="Calibri (Body)"/>
      </rPr>
      <t>med,1</t>
    </r>
  </si>
  <si>
    <t>Intensity at median capacity (Part 1 model)</t>
  </si>
  <si>
    <t>Intensity at median capacity (Part 2 model)</t>
  </si>
  <si>
    <r>
      <t>s</t>
    </r>
    <r>
      <rPr>
        <vertAlign val="subscript"/>
        <sz val="12"/>
        <color theme="1"/>
        <rFont val="Calibri (Body)"/>
      </rPr>
      <t>med,2</t>
    </r>
  </si>
  <si>
    <r>
      <t>H(s</t>
    </r>
    <r>
      <rPr>
        <vertAlign val="subscript"/>
        <sz val="12"/>
        <color theme="1"/>
        <rFont val="Calibri (Body)"/>
      </rPr>
      <t>med,1</t>
    </r>
    <r>
      <rPr>
        <sz val="12"/>
        <color theme="1"/>
        <rFont val="Calibri"/>
        <family val="2"/>
        <scheme val="minor"/>
      </rPr>
      <t>)</t>
    </r>
  </si>
  <si>
    <t>MAFE of median Intensity (Part 1 model)</t>
  </si>
  <si>
    <t>MAFE of median Intensity (Part 2 model)</t>
  </si>
  <si>
    <r>
      <t>H(s</t>
    </r>
    <r>
      <rPr>
        <vertAlign val="subscript"/>
        <sz val="12"/>
        <color theme="1"/>
        <rFont val="Calibri (Body)"/>
      </rPr>
      <t>med,2</t>
    </r>
    <r>
      <rPr>
        <sz val="12"/>
        <color theme="1"/>
        <rFont val="Calibri"/>
        <family val="2"/>
        <scheme val="minor"/>
      </rPr>
      <t>)</t>
    </r>
  </si>
  <si>
    <t>Second-Order Hazard Model Parameters</t>
  </si>
  <si>
    <t>Equation 30</t>
  </si>
  <si>
    <t>Equation 33</t>
  </si>
  <si>
    <t>Equation 32</t>
  </si>
  <si>
    <t>Equation 29</t>
  </si>
  <si>
    <t>Equation 34</t>
  </si>
  <si>
    <t>Part 2 weighting</t>
  </si>
  <si>
    <t>Part 1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</si>
</sst>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E+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4" xfId="0" applyBorder="1"/>
    <xf numFmtId="0" fontId="7" fillId="0" borderId="2" xfId="0" applyFont="1" applyBorder="1"/>
    <xf numFmtId="0" fontId="7" fillId="0" borderId="4" xfId="0" applyFont="1" applyBorder="1"/>
    <xf numFmtId="0" fontId="7" fillId="0" borderId="6" xfId="0" applyFont="1" applyBorder="1"/>
    <xf numFmtId="0" fontId="0" fillId="0" borderId="2" xfId="0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0" xfId="0" applyNumberFormat="1"/>
    <xf numFmtId="166" fontId="1" fillId="2" borderId="7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right"/>
    </xf>
    <xf numFmtId="0" fontId="8" fillId="0" borderId="4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Demand-Intensity Model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03649260556"/>
          <c:y val="0.14685773480663"/>
          <c:w val="0.814427888440291"/>
          <c:h val="0.677739320050463"/>
        </c:manualLayout>
      </c:layout>
      <c:scatterChart>
        <c:scatterStyle val="lineMarker"/>
        <c:varyColors val="0"/>
        <c:ser>
          <c:idx val="0"/>
          <c:order val="0"/>
          <c:tx>
            <c:v>Part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Sheet1!$F$50:$F$60</c:f>
              <c:numCache>
                <c:formatCode>0.00</c:formatCode>
                <c:ptCount val="11"/>
                <c:pt idx="0">
                  <c:v>0.0</c:v>
                </c:pt>
                <c:pt idx="1">
                  <c:v>0.0175944085283939</c:v>
                </c:pt>
                <c:pt idx="2">
                  <c:v>0.0354335746352631</c:v>
                </c:pt>
                <c:pt idx="3">
                  <c:v>0.0533663056177075</c:v>
                </c:pt>
                <c:pt idx="4">
                  <c:v>0.0713600692746542</c:v>
                </c:pt>
                <c:pt idx="5">
                  <c:v>0.0893993530767873</c:v>
                </c:pt>
                <c:pt idx="6">
                  <c:v>0.107474995255547</c:v>
                </c:pt>
                <c:pt idx="7">
                  <c:v>0.125580929192111</c:v>
                </c:pt>
                <c:pt idx="8">
                  <c:v>0.14371283561709</c:v>
                </c:pt>
                <c:pt idx="9">
                  <c:v>0.161867480267183</c:v>
                </c:pt>
                <c:pt idx="10">
                  <c:v>0.180042349504302</c:v>
                </c:pt>
              </c:numCache>
            </c:numRef>
          </c:xVal>
          <c:yVal>
            <c:numRef>
              <c:f>Sheet1!$E$50:$E$60</c:f>
              <c:numCache>
                <c:formatCode>General</c:formatCode>
                <c:ptCount val="11"/>
                <c:pt idx="0" formatCode="0.000">
                  <c:v>0.0</c:v>
                </c:pt>
                <c:pt idx="1">
                  <c:v>0.082</c:v>
                </c:pt>
                <c:pt idx="2">
                  <c:v>0.164</c:v>
                </c:pt>
                <c:pt idx="3">
                  <c:v>0.246</c:v>
                </c:pt>
                <c:pt idx="4">
                  <c:v>0.328</c:v>
                </c:pt>
                <c:pt idx="5">
                  <c:v>0.41</c:v>
                </c:pt>
                <c:pt idx="6">
                  <c:v>0.492</c:v>
                </c:pt>
                <c:pt idx="7">
                  <c:v>0.574</c:v>
                </c:pt>
                <c:pt idx="8">
                  <c:v>0.656</c:v>
                </c:pt>
                <c:pt idx="9">
                  <c:v>0.738</c:v>
                </c:pt>
                <c:pt idx="10" formatCode="0.000">
                  <c:v>0.82</c:v>
                </c:pt>
              </c:numCache>
            </c:numRef>
          </c:yVal>
          <c:smooth val="0"/>
        </c:ser>
        <c:ser>
          <c:idx val="1"/>
          <c:order val="1"/>
          <c:tx>
            <c:v>Part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Sheet1!$F$62:$F$73</c:f>
              <c:numCache>
                <c:formatCode>0.0000</c:formatCode>
                <c:ptCount val="12"/>
                <c:pt idx="0">
                  <c:v>0.17867566192938</c:v>
                </c:pt>
                <c:pt idx="1">
                  <c:v>0.250139097332295</c:v>
                </c:pt>
                <c:pt idx="2">
                  <c:v>0.340075384869275</c:v>
                </c:pt>
                <c:pt idx="3">
                  <c:v>0.451113094229548</c:v>
                </c:pt>
                <c:pt idx="4">
                  <c:v>0.58599966214231</c:v>
                </c:pt>
                <c:pt idx="5">
                  <c:v>0.747596990015515</c:v>
                </c:pt>
                <c:pt idx="6">
                  <c:v>0.93887751523661</c:v>
                </c:pt>
                <c:pt idx="7">
                  <c:v>1.1629206762033</c:v>
                </c:pt>
                <c:pt idx="8">
                  <c:v>1.422909708917851</c:v>
                </c:pt>
                <c:pt idx="9">
                  <c:v>1.722128725957167</c:v>
                </c:pt>
                <c:pt idx="10">
                  <c:v>2.06396003831311</c:v>
                </c:pt>
              </c:numCache>
            </c:numRef>
          </c:xVal>
          <c:yVal>
            <c:numRef>
              <c:f>Sheet1!$E$62:$E$73</c:f>
              <c:numCache>
                <c:formatCode>General</c:formatCode>
                <c:ptCount val="12"/>
                <c:pt idx="0" formatCode="0.000">
                  <c:v>0.82</c:v>
                </c:pt>
                <c:pt idx="1">
                  <c:v>0.902</c:v>
                </c:pt>
                <c:pt idx="2">
                  <c:v>0.984</c:v>
                </c:pt>
                <c:pt idx="3">
                  <c:v>1.066</c:v>
                </c:pt>
                <c:pt idx="4">
                  <c:v>1.148</c:v>
                </c:pt>
                <c:pt idx="5">
                  <c:v>1.23</c:v>
                </c:pt>
                <c:pt idx="6">
                  <c:v>1.312</c:v>
                </c:pt>
                <c:pt idx="7">
                  <c:v>1.394</c:v>
                </c:pt>
                <c:pt idx="8">
                  <c:v>1.476</c:v>
                </c:pt>
                <c:pt idx="9">
                  <c:v>1.558</c:v>
                </c:pt>
                <c:pt idx="10" formatCode="0.000">
                  <c:v>1.64</c:v>
                </c:pt>
              </c:numCache>
            </c:numRef>
          </c:yVal>
          <c:smooth val="0"/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Sheet1!$E$77:$E$79</c:f>
              <c:numCache>
                <c:formatCode>General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0.0</c:v>
                </c:pt>
              </c:numCache>
            </c:numRef>
          </c:xVal>
          <c:yVal>
            <c:numRef>
              <c:f>Sheet1!$F$77:$F$79</c:f>
              <c:numCache>
                <c:formatCode>0.000</c:formatCode>
                <c:ptCount val="3"/>
                <c:pt idx="0" formatCode="General">
                  <c:v>0.0</c:v>
                </c:pt>
                <c:pt idx="1">
                  <c:v>0.94966198189825</c:v>
                </c:pt>
                <c:pt idx="2">
                  <c:v>0.94966198189825</c:v>
                </c:pt>
              </c:numCache>
            </c:numRef>
          </c:yVal>
          <c:smooth val="0"/>
        </c:ser>
        <c:ser>
          <c:idx val="3"/>
          <c:order val="3"/>
          <c:tx>
            <c:v>slim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Sheet1!$F$74:$F$75</c:f>
              <c:numCache>
                <c:formatCode>0.0000</c:formatCode>
                <c:ptCount val="2"/>
                <c:pt idx="0" formatCode="General">
                  <c:v>0.0</c:v>
                </c:pt>
                <c:pt idx="1">
                  <c:v>2.06396003831311</c:v>
                </c:pt>
              </c:numCache>
            </c:numRef>
          </c:xVal>
          <c:yVal>
            <c:numRef>
              <c:f>Sheet1!$E$74:$E$75</c:f>
              <c:numCache>
                <c:formatCode>0.0000</c:formatCode>
                <c:ptCount val="2"/>
                <c:pt idx="0">
                  <c:v>0.82</c:v>
                </c:pt>
                <c:pt idx="1">
                  <c:v>0.82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81008"/>
        <c:axId val="1794455040"/>
      </c:scatterChart>
      <c:valAx>
        <c:axId val="18161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Demand, </a:t>
                </a:r>
                <a:r>
                  <a:rPr lang="el-GR" sz="1600"/>
                  <a:t>θ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55040"/>
        <c:crosses val="autoZero"/>
        <c:crossBetween val="midCat"/>
      </c:valAx>
      <c:valAx>
        <c:axId val="1794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Intensity,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8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000579356132"/>
          <c:y val="0.160655617912691"/>
          <c:w val="0.397505357142857"/>
          <c:h val="0.1353058479532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Hazard Model</a:t>
            </a:r>
            <a:endParaRPr lang="el-GR" sz="1600"/>
          </a:p>
        </c:rich>
      </c:tx>
      <c:layout>
        <c:manualLayout>
          <c:xMode val="edge"/>
          <c:yMode val="edge"/>
          <c:x val="0.444687445319335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814960629921"/>
          <c:y val="0.125"/>
          <c:w val="0.747962817147856"/>
          <c:h val="0.678904199475066"/>
        </c:manualLayout>
      </c:layout>
      <c:scatterChart>
        <c:scatterStyle val="lineMarker"/>
        <c:varyColors val="0"/>
        <c:ser>
          <c:idx val="0"/>
          <c:order val="0"/>
          <c:tx>
            <c:v>Hazard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Sheet1!$A$49:$A$62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</c:numCache>
            </c:numRef>
          </c:xVal>
          <c:yVal>
            <c:numRef>
              <c:f>Sheet1!$B$49:$B$62</c:f>
              <c:numCache>
                <c:formatCode>0.00E+00</c:formatCode>
                <c:ptCount val="14"/>
                <c:pt idx="0">
                  <c:v>0.00360065246164953</c:v>
                </c:pt>
                <c:pt idx="1">
                  <c:v>0.00282336771857743</c:v>
                </c:pt>
                <c:pt idx="2">
                  <c:v>0.00136929049036493</c:v>
                </c:pt>
                <c:pt idx="3">
                  <c:v>0.000717679155335983</c:v>
                </c:pt>
                <c:pt idx="4">
                  <c:v>0.000410738721025492</c:v>
                </c:pt>
                <c:pt idx="5">
                  <c:v>0.00025166390545901</c:v>
                </c:pt>
                <c:pt idx="6">
                  <c:v>0.000162533627116653</c:v>
                </c:pt>
                <c:pt idx="7">
                  <c:v>0.000109431171200861</c:v>
                </c:pt>
                <c:pt idx="8">
                  <c:v>7.6203971885059E-5</c:v>
                </c:pt>
                <c:pt idx="9">
                  <c:v>5.45659783806392E-5</c:v>
                </c:pt>
                <c:pt idx="10">
                  <c:v>4.0E-5</c:v>
                </c:pt>
                <c:pt idx="11">
                  <c:v>3.93224852279703E-6</c:v>
                </c:pt>
                <c:pt idx="12">
                  <c:v>8.10234236467184E-7</c:v>
                </c:pt>
                <c:pt idx="13">
                  <c:v>2.39091332168997E-7</c:v>
                </c:pt>
              </c:numCache>
            </c:numRef>
          </c:yVal>
          <c:smooth val="0"/>
        </c:ser>
        <c:ser>
          <c:idx val="1"/>
          <c:order val="1"/>
          <c:tx>
            <c:v>Intensity at median 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Sheet1!$A$64:$A$66</c:f>
              <c:numCache>
                <c:formatCode>0.000</c:formatCode>
                <c:ptCount val="3"/>
                <c:pt idx="0">
                  <c:v>0.94966198189825</c:v>
                </c:pt>
                <c:pt idx="1">
                  <c:v>0.94966198189825</c:v>
                </c:pt>
                <c:pt idx="2" formatCode="General">
                  <c:v>0.05</c:v>
                </c:pt>
              </c:numCache>
            </c:numRef>
          </c:xVal>
          <c:yVal>
            <c:numRef>
              <c:f>Sheet1!$B$64:$B$66</c:f>
              <c:numCache>
                <c:formatCode>0.00E+00</c:formatCode>
                <c:ptCount val="3"/>
                <c:pt idx="0">
                  <c:v>2.39091332168997E-7</c:v>
                </c:pt>
                <c:pt idx="1">
                  <c:v>4.66416134257109E-5</c:v>
                </c:pt>
                <c:pt idx="2">
                  <c:v>4.66416134257109E-5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26960"/>
        <c:axId val="1812328736"/>
      </c:scatterChart>
      <c:valAx>
        <c:axId val="181232696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Intensity, s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28736"/>
        <c:crosses val="autoZero"/>
        <c:crossBetween val="midCat"/>
      </c:valAx>
      <c:valAx>
        <c:axId val="18123287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baseline="0">
                    <a:effectLst/>
                  </a:rPr>
                  <a:t>MAFE, λ</a:t>
                </a:r>
                <a:endParaRPr lang="el-GR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943650793651"/>
          <c:y val="0.150738888888889"/>
          <c:w val="0.720813293650794"/>
          <c:h val="0.0902868421052631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PDF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Sheet1!$T$7:$T$66</c:f>
            </c:numRef>
          </c:yVal>
          <c:smooth val="1"/>
        </c:ser>
        <c:ser>
          <c:idx val="1"/>
          <c:order val="1"/>
          <c:tx>
            <c:v>PDF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Sheet1!$V$7:$V$66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89648"/>
        <c:axId val="1815627968"/>
      </c:scatterChart>
      <c:scatterChart>
        <c:scatterStyle val="smoothMarker"/>
        <c:varyColors val="0"/>
        <c:ser>
          <c:idx val="2"/>
          <c:order val="2"/>
          <c:tx>
            <c:v>CDF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Sheet1!$U$7:$U$66</c:f>
            </c:numRef>
          </c:yVal>
          <c:smooth val="1"/>
        </c:ser>
        <c:ser>
          <c:idx val="3"/>
          <c:order val="3"/>
          <c:tx>
            <c:v>CDF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Sheet1!$S$7:$S$66</c:f>
            </c:numRef>
          </c:xVal>
          <c:yVal>
            <c:numRef>
              <c:f>Sheet1!$W$7:$W$66</c:f>
            </c:numRef>
          </c:yVal>
          <c:smooth val="1"/>
        </c:ser>
        <c:ser>
          <c:idx val="4"/>
          <c:order val="4"/>
          <c:tx>
            <c:v>slim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Sheet1!$Y$2:$Y$3</c:f>
            </c:numRef>
          </c:xVal>
          <c:yVal>
            <c:numRef>
              <c:f>Sheet1!$Z$2:$Z$3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33920"/>
        <c:axId val="1815630864"/>
      </c:scatterChart>
      <c:valAx>
        <c:axId val="18158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Intensity,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27968"/>
        <c:crosses val="autoZero"/>
        <c:crossBetween val="midCat"/>
      </c:valAx>
      <c:valAx>
        <c:axId val="18156279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 Density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89648"/>
        <c:crosses val="autoZero"/>
        <c:crossBetween val="midCat"/>
      </c:valAx>
      <c:valAx>
        <c:axId val="1815630864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Cumulative Density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3920"/>
        <c:crosses val="max"/>
        <c:crossBetween val="midCat"/>
      </c:valAx>
      <c:valAx>
        <c:axId val="18156339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8156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238489</xdr:colOff>
      <xdr:row>15</xdr:row>
      <xdr:rowOff>126093</xdr:rowOff>
    </xdr:from>
    <xdr:to>
      <xdr:col>13</xdr:col>
      <xdr:colOff>210912</xdr:colOff>
      <xdr:row>31</xdr:row>
      <xdr:rowOff>127545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226785</xdr:colOff>
      <xdr:row>0</xdr:row>
      <xdr:rowOff>68037</xdr:rowOff>
    </xdr:from>
    <xdr:to>
      <xdr:col>17</xdr:col>
      <xdr:colOff>73932</xdr:colOff>
      <xdr:row>14</xdr:row>
      <xdr:rowOff>202818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143782</xdr:colOff>
      <xdr:row>9</xdr:row>
      <xdr:rowOff>214539</xdr:rowOff>
    </xdr:from>
    <xdr:to>
      <xdr:col>26</xdr:col>
      <xdr:colOff>175533</xdr:colOff>
      <xdr:row>29</xdr:row>
      <xdr:rowOff>189139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zoomScale="112" workbookViewId="0">
      <selection activeCell="G29" sqref="G29"/>
    </sheetView>
  </sheetViews>
  <sheetFormatPr baseColWidth="10" defaultRowHeight="16" x14ac:dyDescent="0.2"/>
  <cols>
    <col min="1" max="1" width="13.5" style="12" customWidth="1"/>
    <col min="2" max="2" width="12.83203125" customWidth="1"/>
    <col min="3" max="3" width="37.33203125" customWidth="1"/>
    <col min="4" max="4" width="5.1640625" customWidth="1"/>
    <col min="7" max="7" width="31" customWidth="1"/>
    <col min="8" max="8" width="4.83203125" customWidth="1"/>
    <col min="11" max="11" width="19.1640625" customWidth="1"/>
    <col min="19" max="19" width="0" hidden="1" customWidth="1"/>
    <col min="20" max="20" width="9.6640625" hidden="1" customWidth="1"/>
    <col min="21" max="27" width="0" hidden="1" customWidth="1"/>
  </cols>
  <sheetData>
    <row r="1" spans="1:26" ht="24" customHeight="1" x14ac:dyDescent="0.2">
      <c r="A1" s="49" t="s">
        <v>4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26" x14ac:dyDescent="0.2">
      <c r="S2" t="s">
        <v>57</v>
      </c>
      <c r="T2" s="50">
        <f>F13</f>
        <v>-0.53124297285995026</v>
      </c>
      <c r="U2" s="50"/>
      <c r="V2" s="50">
        <f>F14</f>
        <v>-0.1313934315181701</v>
      </c>
      <c r="W2" s="50"/>
      <c r="Y2">
        <f>B5</f>
        <v>0.82</v>
      </c>
      <c r="Z2">
        <v>0</v>
      </c>
    </row>
    <row r="3" spans="1:26" x14ac:dyDescent="0.2">
      <c r="A3" s="46" t="s">
        <v>41</v>
      </c>
      <c r="B3" s="47"/>
      <c r="C3" s="48"/>
      <c r="E3" s="43" t="s">
        <v>19</v>
      </c>
      <c r="F3" s="44"/>
      <c r="G3" s="45"/>
      <c r="I3" s="46" t="s">
        <v>52</v>
      </c>
      <c r="J3" s="47"/>
      <c r="K3" s="48"/>
      <c r="S3" t="s">
        <v>58</v>
      </c>
      <c r="T3" s="51">
        <f>F15</f>
        <v>0.29632825619396053</v>
      </c>
      <c r="U3" s="51"/>
      <c r="V3" s="51">
        <f>F16</f>
        <v>9.6794145904314857E-2</v>
      </c>
      <c r="W3" s="51"/>
      <c r="Y3">
        <f>Y2</f>
        <v>0.82</v>
      </c>
      <c r="Z3">
        <v>1</v>
      </c>
    </row>
    <row r="4" spans="1:26" ht="20" x14ac:dyDescent="0.25">
      <c r="A4" s="21" t="s">
        <v>18</v>
      </c>
      <c r="B4" s="18">
        <v>0.3</v>
      </c>
      <c r="C4" s="8" t="s">
        <v>17</v>
      </c>
      <c r="E4" s="21" t="s">
        <v>13</v>
      </c>
      <c r="F4" s="18">
        <v>0.2</v>
      </c>
      <c r="G4" s="4" t="s">
        <v>48</v>
      </c>
      <c r="I4" s="21" t="s">
        <v>56</v>
      </c>
      <c r="J4" s="34">
        <f>1000*(F18*F21+F20*F22)</f>
        <v>8.4732213356927877E-2</v>
      </c>
      <c r="K4" s="7" t="s">
        <v>54</v>
      </c>
      <c r="S4" t="s">
        <v>59</v>
      </c>
      <c r="T4" s="51">
        <f>EXP(T2)</f>
        <v>0.58787380417938528</v>
      </c>
      <c r="U4" s="51"/>
      <c r="V4" s="51">
        <f>EXP(V2)</f>
        <v>0.87687271715294657</v>
      </c>
      <c r="W4" s="51"/>
    </row>
    <row r="5" spans="1:26" ht="20" x14ac:dyDescent="0.25">
      <c r="A5" s="23" t="s">
        <v>28</v>
      </c>
      <c r="B5" s="17">
        <v>0.82</v>
      </c>
      <c r="C5" s="10" t="s">
        <v>27</v>
      </c>
      <c r="E5" s="22" t="s">
        <v>14</v>
      </c>
      <c r="F5" s="19">
        <v>0.2</v>
      </c>
      <c r="G5" s="5" t="s">
        <v>49</v>
      </c>
      <c r="I5" s="22" t="s">
        <v>56</v>
      </c>
      <c r="J5" s="27">
        <f>F21*1000</f>
        <v>5.2484079798743304E-2</v>
      </c>
      <c r="K5" s="3" t="s">
        <v>53</v>
      </c>
      <c r="L5" s="1">
        <f>J4/J5</f>
        <v>1.6144364859180924</v>
      </c>
    </row>
    <row r="6" spans="1:26" ht="20" x14ac:dyDescent="0.25">
      <c r="E6" s="22" t="s">
        <v>15</v>
      </c>
      <c r="F6" s="19">
        <v>0.42</v>
      </c>
      <c r="G6" s="5" t="s">
        <v>50</v>
      </c>
      <c r="I6" s="23" t="s">
        <v>56</v>
      </c>
      <c r="J6" s="28">
        <f>F22*1000</f>
        <v>5.1745650518399813E-2</v>
      </c>
      <c r="K6" s="11" t="s">
        <v>55</v>
      </c>
      <c r="L6" s="1">
        <f>J4/J6</f>
        <v>1.637475082602327</v>
      </c>
      <c r="S6" s="12" t="s">
        <v>31</v>
      </c>
      <c r="T6" t="s">
        <v>60</v>
      </c>
      <c r="U6" t="s">
        <v>61</v>
      </c>
      <c r="V6" t="s">
        <v>62</v>
      </c>
      <c r="W6" t="s">
        <v>63</v>
      </c>
    </row>
    <row r="7" spans="1:26" ht="18" x14ac:dyDescent="0.25">
      <c r="A7" s="43" t="s">
        <v>78</v>
      </c>
      <c r="B7" s="44"/>
      <c r="C7" s="45"/>
      <c r="E7" s="22" t="s">
        <v>16</v>
      </c>
      <c r="F7" s="19">
        <v>0.3</v>
      </c>
      <c r="G7" s="5" t="s">
        <v>51</v>
      </c>
      <c r="S7" s="25">
        <f>B5/20</f>
        <v>4.0999999999999995E-2</v>
      </c>
      <c r="T7" s="37">
        <f t="shared" ref="T7:T38" si="0">_xlfn.LOGNORM.DIST(S7,$T$2,$T$3,FALSE)</f>
        <v>9.5572601682708023E-17</v>
      </c>
      <c r="U7" s="29">
        <f t="shared" ref="U7:U38" si="1">_xlfn.LOGNORM.DIST(S7,$T$2,$T$3,TRUE)</f>
        <v>1.2766776704118542E-19</v>
      </c>
      <c r="V7" s="37">
        <f t="shared" ref="V7:V38" si="2">_xlfn.LOGNORM.DIST(S7,$V$2,$V$3,FALSE)</f>
        <v>3.8616531761210222E-216</v>
      </c>
      <c r="W7" s="29">
        <f t="shared" ref="W7:W38" si="3">_xlfn.LOGNORM.DIST(S7,$V$2,$V$3,TRUE)</f>
        <v>4.8384408569251482E-220</v>
      </c>
    </row>
    <row r="8" spans="1:26" ht="20" x14ac:dyDescent="0.25">
      <c r="A8" s="52" t="s">
        <v>43</v>
      </c>
      <c r="B8" s="53"/>
      <c r="C8" s="54"/>
      <c r="E8" s="23" t="s">
        <v>67</v>
      </c>
      <c r="F8" s="55">
        <f>F4^2+F5^2+F6^2+F7^2</f>
        <v>0.34639999999999993</v>
      </c>
      <c r="G8" s="10" t="s">
        <v>66</v>
      </c>
      <c r="S8" s="25">
        <f>S7+1.5*$B$5/60</f>
        <v>6.1499999999999999E-2</v>
      </c>
      <c r="T8" s="37">
        <f t="shared" si="0"/>
        <v>5.4681007594510075E-12</v>
      </c>
      <c r="U8" s="29">
        <f t="shared" si="1"/>
        <v>1.2866176413775443E-14</v>
      </c>
      <c r="V8" s="37">
        <f t="shared" si="2"/>
        <v>1.4625862307593426E-162</v>
      </c>
      <c r="W8" s="29">
        <f t="shared" si="3"/>
        <v>3.1672025100595012E-166</v>
      </c>
    </row>
    <row r="9" spans="1:26" ht="18" x14ac:dyDescent="0.25">
      <c r="A9" s="21" t="s">
        <v>0</v>
      </c>
      <c r="B9" s="30">
        <v>4.0000000000000003E-5</v>
      </c>
      <c r="C9" s="8" t="s">
        <v>44</v>
      </c>
      <c r="S9" s="25">
        <f t="shared" ref="S9:S66" si="4">S8+1.5*$B$5/60</f>
        <v>8.2000000000000003E-2</v>
      </c>
      <c r="T9" s="37">
        <f t="shared" si="0"/>
        <v>4.1708606970850519E-9</v>
      </c>
      <c r="U9" s="29">
        <f t="shared" si="1"/>
        <v>1.4922406882940261E-11</v>
      </c>
      <c r="V9" s="37">
        <f t="shared" si="2"/>
        <v>3.6136229504313815E-129</v>
      </c>
      <c r="W9" s="29">
        <f t="shared" si="3"/>
        <v>1.1696350947279473E-132</v>
      </c>
    </row>
    <row r="10" spans="1:26" ht="18" x14ac:dyDescent="0.25">
      <c r="A10" s="22" t="s">
        <v>1</v>
      </c>
      <c r="B10" s="19">
        <v>3</v>
      </c>
      <c r="C10" s="9" t="s">
        <v>44</v>
      </c>
      <c r="E10" s="46" t="s">
        <v>20</v>
      </c>
      <c r="F10" s="47"/>
      <c r="G10" s="48"/>
      <c r="S10" s="25">
        <f t="shared" si="4"/>
        <v>0.10250000000000001</v>
      </c>
      <c r="T10" s="37">
        <f t="shared" si="0"/>
        <v>3.7505919494902515E-7</v>
      </c>
      <c r="U10" s="29">
        <f t="shared" si="1"/>
        <v>1.8812933364947459E-9</v>
      </c>
      <c r="V10" s="37">
        <f t="shared" si="2"/>
        <v>6.5697220290357623E-106</v>
      </c>
      <c r="W10" s="29">
        <f t="shared" si="3"/>
        <v>2.9333215033931976E-109</v>
      </c>
    </row>
    <row r="11" spans="1:26" ht="18" x14ac:dyDescent="0.25">
      <c r="A11" s="23" t="s">
        <v>2</v>
      </c>
      <c r="B11" s="20">
        <v>0.5</v>
      </c>
      <c r="C11" s="10" t="s">
        <v>44</v>
      </c>
      <c r="E11" s="21" t="s">
        <v>25</v>
      </c>
      <c r="F11" s="33">
        <f>1/(1+2*B11*F8/(B17^2))</f>
        <v>0.74650567142334434</v>
      </c>
      <c r="G11" s="56" t="s">
        <v>79</v>
      </c>
      <c r="S11" s="25">
        <f t="shared" si="4"/>
        <v>0.12300000000000001</v>
      </c>
      <c r="T11" s="37">
        <f t="shared" si="0"/>
        <v>9.7212325304411697E-6</v>
      </c>
      <c r="U11" s="29">
        <f t="shared" si="1"/>
        <v>6.4932145214749413E-8</v>
      </c>
      <c r="V11" s="37">
        <f t="shared" si="2"/>
        <v>1.2843140907022893E-88</v>
      </c>
      <c r="W11" s="29">
        <f t="shared" si="3"/>
        <v>7.5170157438996077E-92</v>
      </c>
    </row>
    <row r="12" spans="1:26" ht="18" x14ac:dyDescent="0.25">
      <c r="E12" s="22" t="s">
        <v>26</v>
      </c>
      <c r="F12" s="27">
        <f>1/(1+2*B11*F8/(B18^2))</f>
        <v>0.9729529252847986</v>
      </c>
      <c r="G12" s="57"/>
      <c r="S12" s="25">
        <f t="shared" si="4"/>
        <v>0.14350000000000002</v>
      </c>
      <c r="T12" s="37">
        <f t="shared" si="0"/>
        <v>1.1341169926084914E-4</v>
      </c>
      <c r="U12" s="29">
        <f t="shared" si="1"/>
        <v>9.7356769820198434E-7</v>
      </c>
      <c r="V12" s="37">
        <f t="shared" si="2"/>
        <v>3.3572232654195635E-75</v>
      </c>
      <c r="W12" s="29">
        <f t="shared" si="3"/>
        <v>2.48663523770727E-78</v>
      </c>
    </row>
    <row r="13" spans="1:26" ht="18" x14ac:dyDescent="0.25">
      <c r="A13" s="43" t="s">
        <v>5</v>
      </c>
      <c r="B13" s="44"/>
      <c r="C13" s="45"/>
      <c r="E13" s="22" t="s">
        <v>21</v>
      </c>
      <c r="F13" s="27">
        <f>F11*((LN(B4)-LN(B15))/B17-B10*F8/(B17^2))</f>
        <v>-0.53124297285995026</v>
      </c>
      <c r="G13" s="57" t="s">
        <v>80</v>
      </c>
      <c r="S13" s="25">
        <f t="shared" si="4"/>
        <v>0.16400000000000001</v>
      </c>
      <c r="T13" s="37">
        <f t="shared" si="0"/>
        <v>7.6539306794309024E-4</v>
      </c>
      <c r="U13" s="29">
        <f t="shared" si="1"/>
        <v>8.2288632915433505E-6</v>
      </c>
      <c r="V13" s="37">
        <f t="shared" si="2"/>
        <v>1.812379967473636E-64</v>
      </c>
      <c r="W13" s="29">
        <f t="shared" si="3"/>
        <v>1.6555911171222388E-67</v>
      </c>
    </row>
    <row r="14" spans="1:26" ht="20" x14ac:dyDescent="0.25">
      <c r="A14" s="40" t="s">
        <v>6</v>
      </c>
      <c r="B14" s="41"/>
      <c r="C14" s="42"/>
      <c r="E14" s="22" t="s">
        <v>22</v>
      </c>
      <c r="F14" s="27">
        <f>F12*((LN(B4)-LN(B16))/B18-B10*F8/(B18^2))</f>
        <v>-0.1313934315181701</v>
      </c>
      <c r="G14" s="57"/>
      <c r="S14" s="25">
        <f t="shared" si="4"/>
        <v>0.1845</v>
      </c>
      <c r="T14" s="37">
        <f t="shared" si="0"/>
        <v>3.4842935895541623E-3</v>
      </c>
      <c r="U14" s="29">
        <f t="shared" si="1"/>
        <v>4.600683960709499E-5</v>
      </c>
      <c r="V14" s="37">
        <f t="shared" si="2"/>
        <v>1.0932779794516256E-55</v>
      </c>
      <c r="W14" s="29">
        <f t="shared" si="3"/>
        <v>1.2078145694844497E-58</v>
      </c>
    </row>
    <row r="15" spans="1:26" ht="18" x14ac:dyDescent="0.25">
      <c r="A15" s="21" t="s">
        <v>7</v>
      </c>
      <c r="B15" s="16">
        <v>0.22</v>
      </c>
      <c r="C15" s="4" t="s">
        <v>45</v>
      </c>
      <c r="E15" s="22" t="s">
        <v>23</v>
      </c>
      <c r="F15" s="31">
        <f>F8*SQRT(F11)/B17</f>
        <v>0.29632825619396053</v>
      </c>
      <c r="G15" s="57" t="s">
        <v>81</v>
      </c>
      <c r="S15" s="25">
        <f t="shared" si="4"/>
        <v>0.20499999999999999</v>
      </c>
      <c r="T15" s="37">
        <f t="shared" si="0"/>
        <v>1.1824488227287431E-2</v>
      </c>
      <c r="U15" s="29">
        <f t="shared" si="1"/>
        <v>1.8885526706765123E-4</v>
      </c>
      <c r="V15" s="37">
        <f t="shared" si="2"/>
        <v>2.2296508778401315E-48</v>
      </c>
      <c r="W15" s="29">
        <f t="shared" si="3"/>
        <v>2.9336795319845557E-51</v>
      </c>
    </row>
    <row r="16" spans="1:26" ht="18" x14ac:dyDescent="0.25">
      <c r="A16" s="22" t="s">
        <v>9</v>
      </c>
      <c r="B16" s="15">
        <v>0.36</v>
      </c>
      <c r="C16" s="5" t="s">
        <v>46</v>
      </c>
      <c r="E16" s="22" t="s">
        <v>24</v>
      </c>
      <c r="F16" s="31">
        <f>F8*SQRT(F12)/B18</f>
        <v>9.6794145904314857E-2</v>
      </c>
      <c r="G16" s="57"/>
      <c r="S16" s="25">
        <f t="shared" si="4"/>
        <v>0.22549999999999998</v>
      </c>
      <c r="T16" s="37">
        <f t="shared" si="0"/>
        <v>3.2028222413251962E-2</v>
      </c>
      <c r="U16" s="29">
        <f t="shared" si="1"/>
        <v>6.1131028098777927E-4</v>
      </c>
      <c r="V16" s="37">
        <f t="shared" si="2"/>
        <v>3.2900941258778715E-42</v>
      </c>
      <c r="W16" s="29">
        <f t="shared" si="3"/>
        <v>5.0928517626207317E-45</v>
      </c>
    </row>
    <row r="17" spans="1:23" ht="18" x14ac:dyDescent="0.25">
      <c r="A17" s="22" t="s">
        <v>8</v>
      </c>
      <c r="B17" s="13">
        <v>1.01</v>
      </c>
      <c r="C17" s="5" t="s">
        <v>11</v>
      </c>
      <c r="E17" s="22" t="s">
        <v>29</v>
      </c>
      <c r="F17" s="31">
        <f>_xlfn.LOGNORM.DIST(B5,F13,F15,TRUE)</f>
        <v>0.86929229007562725</v>
      </c>
      <c r="G17" s="5" t="s">
        <v>83</v>
      </c>
      <c r="S17" s="25">
        <f t="shared" si="4"/>
        <v>0.24599999999999997</v>
      </c>
      <c r="T17" s="37">
        <f t="shared" si="0"/>
        <v>7.2672937891954337E-2</v>
      </c>
      <c r="U17" s="29">
        <f t="shared" si="1"/>
        <v>1.6414956600671383E-3</v>
      </c>
      <c r="V17" s="37">
        <f t="shared" si="2"/>
        <v>6.044464928987934E-37</v>
      </c>
      <c r="W17" s="29">
        <f t="shared" si="3"/>
        <v>1.0898132718885067E-39</v>
      </c>
    </row>
    <row r="18" spans="1:23" ht="18" x14ac:dyDescent="0.25">
      <c r="A18" s="22" t="s">
        <v>10</v>
      </c>
      <c r="B18" s="13">
        <v>3.53</v>
      </c>
      <c r="C18" s="5" t="s">
        <v>12</v>
      </c>
      <c r="E18" s="22" t="s">
        <v>68</v>
      </c>
      <c r="F18" s="36">
        <f>F17</f>
        <v>0.86929229007562725</v>
      </c>
      <c r="G18" s="5" t="s">
        <v>85</v>
      </c>
      <c r="S18" s="25">
        <f t="shared" si="4"/>
        <v>0.26649999999999996</v>
      </c>
      <c r="T18" s="37">
        <f t="shared" si="0"/>
        <v>0.14310251492108172</v>
      </c>
      <c r="U18" s="29">
        <f t="shared" si="1"/>
        <v>3.7947882478069806E-3</v>
      </c>
      <c r="V18" s="37">
        <f t="shared" si="2"/>
        <v>2.0606129848943678E-32</v>
      </c>
      <c r="W18" s="29">
        <f t="shared" si="3"/>
        <v>4.2920215657895423E-35</v>
      </c>
    </row>
    <row r="19" spans="1:23" ht="18" x14ac:dyDescent="0.25">
      <c r="A19" s="22" t="s">
        <v>64</v>
      </c>
      <c r="B19" s="31">
        <f>F62-F60</f>
        <v>-1.3666875749227259E-3</v>
      </c>
      <c r="C19" s="5" t="s">
        <v>65</v>
      </c>
      <c r="E19" s="22" t="s">
        <v>30</v>
      </c>
      <c r="F19" s="31">
        <f>_xlfn.LOGNORM.DIST(B5,F14,F16,TRUE)</f>
        <v>0.24422232507715474</v>
      </c>
      <c r="G19" s="5" t="s">
        <v>83</v>
      </c>
      <c r="S19" s="25">
        <f t="shared" si="4"/>
        <v>0.28699999999999998</v>
      </c>
      <c r="T19" s="37">
        <f t="shared" si="0"/>
        <v>0.25110359807421045</v>
      </c>
      <c r="U19" s="29">
        <f t="shared" si="1"/>
        <v>7.7663259384801999E-3</v>
      </c>
      <c r="V19" s="37">
        <f t="shared" si="2"/>
        <v>1.7611472019298238E-28</v>
      </c>
      <c r="W19" s="29">
        <f t="shared" si="3"/>
        <v>4.2088802247421777E-31</v>
      </c>
    </row>
    <row r="20" spans="1:23" ht="18" x14ac:dyDescent="0.25">
      <c r="A20" s="22" t="s">
        <v>32</v>
      </c>
      <c r="B20" s="31">
        <f>B15*B5^B17</f>
        <v>0.18004234950430245</v>
      </c>
      <c r="C20" s="5" t="s">
        <v>33</v>
      </c>
      <c r="E20" s="22" t="s">
        <v>69</v>
      </c>
      <c r="F20" s="36">
        <f>1-F19</f>
        <v>0.75577767492284531</v>
      </c>
      <c r="G20" s="5" t="s">
        <v>84</v>
      </c>
      <c r="S20" s="25">
        <f t="shared" si="4"/>
        <v>0.3075</v>
      </c>
      <c r="T20" s="37">
        <f t="shared" si="0"/>
        <v>0.40067117042765293</v>
      </c>
      <c r="U20" s="29">
        <f t="shared" si="1"/>
        <v>1.4375287579453649E-2</v>
      </c>
      <c r="V20" s="37">
        <f t="shared" si="2"/>
        <v>4.7576079448967361E-25</v>
      </c>
      <c r="W20" s="29">
        <f t="shared" si="3"/>
        <v>1.2971432694561701E-27</v>
      </c>
    </row>
    <row r="21" spans="1:23" ht="18" x14ac:dyDescent="0.25">
      <c r="A21" s="22" t="s">
        <v>70</v>
      </c>
      <c r="B21" s="31">
        <f>POWER(B4/B15,1/B17)</f>
        <v>1.3594552763657377</v>
      </c>
      <c r="C21" s="5" t="s">
        <v>71</v>
      </c>
      <c r="E21" s="22" t="s">
        <v>35</v>
      </c>
      <c r="F21" s="14">
        <f>SQRT(F11)*POWER(B9,1-F11)*POWER(B24,F11)*EXP(B10^2*F11*F8/(2*B17^2))</f>
        <v>5.2484079798743305E-5</v>
      </c>
      <c r="G21" s="57" t="s">
        <v>82</v>
      </c>
      <c r="S21" s="25">
        <f t="shared" si="4"/>
        <v>0.32800000000000001</v>
      </c>
      <c r="T21" s="37">
        <f t="shared" si="0"/>
        <v>0.59062241775751978</v>
      </c>
      <c r="U21" s="29">
        <f t="shared" si="1"/>
        <v>2.4471050755845169E-2</v>
      </c>
      <c r="V21" s="37">
        <f t="shared" si="2"/>
        <v>4.8718344088231341E-22</v>
      </c>
      <c r="W21" s="29">
        <f t="shared" si="3"/>
        <v>1.5081573133521356E-24</v>
      </c>
    </row>
    <row r="22" spans="1:23" ht="18" x14ac:dyDescent="0.25">
      <c r="A22" s="22" t="s">
        <v>73</v>
      </c>
      <c r="B22" s="31">
        <f>POWER(B4/B16,1/B18)</f>
        <v>0.9496619818982498</v>
      </c>
      <c r="C22" s="5" t="s">
        <v>72</v>
      </c>
      <c r="E22" s="23" t="s">
        <v>36</v>
      </c>
      <c r="F22" s="32">
        <f>SQRT(F12)*POWER(B9,1-F12)*POWER(B25,F12)*EXP(B10^2*F12*F8/(2*B18^2))</f>
        <v>5.1745650518399815E-5</v>
      </c>
      <c r="G22" s="58"/>
      <c r="S22" s="25">
        <f t="shared" si="4"/>
        <v>0.34850000000000003</v>
      </c>
      <c r="T22" s="37">
        <f t="shared" si="0"/>
        <v>0.81441825282799363</v>
      </c>
      <c r="U22" s="29">
        <f t="shared" si="1"/>
        <v>3.8823103697145901E-2</v>
      </c>
      <c r="V22" s="37">
        <f t="shared" si="2"/>
        <v>2.1856088611605089E-19</v>
      </c>
      <c r="W22" s="29">
        <f t="shared" si="3"/>
        <v>7.6515178298406886E-22</v>
      </c>
    </row>
    <row r="23" spans="1:23" ht="18" x14ac:dyDescent="0.25">
      <c r="A23" s="22" t="s">
        <v>39</v>
      </c>
      <c r="B23" s="31">
        <f>IF(B4&lt;B20,B21,B22)</f>
        <v>0.9496619818982498</v>
      </c>
      <c r="C23" s="9" t="s">
        <v>34</v>
      </c>
      <c r="S23" s="25">
        <f t="shared" si="4"/>
        <v>0.36900000000000005</v>
      </c>
      <c r="T23" s="37">
        <f t="shared" si="0"/>
        <v>1.0611057653820737</v>
      </c>
      <c r="U23" s="29">
        <f t="shared" si="1"/>
        <v>5.8019255528792141E-2</v>
      </c>
      <c r="V23" s="37">
        <f t="shared" si="2"/>
        <v>4.8283351997492626E-17</v>
      </c>
      <c r="W23" s="29">
        <f t="shared" si="3"/>
        <v>1.9052470397928782E-19</v>
      </c>
    </row>
    <row r="24" spans="1:23" ht="18" x14ac:dyDescent="0.25">
      <c r="A24" s="22" t="s">
        <v>74</v>
      </c>
      <c r="B24" s="14">
        <f>B9*EXP(-B10*LN(B21)-B11*LN(B21)^2)</f>
        <v>1.5187563063921027E-5</v>
      </c>
      <c r="C24" s="5" t="s">
        <v>75</v>
      </c>
      <c r="S24" s="25">
        <f t="shared" si="4"/>
        <v>0.38950000000000007</v>
      </c>
      <c r="T24" s="37">
        <f t="shared" si="0"/>
        <v>1.3169948708153389</v>
      </c>
      <c r="U24" s="29">
        <f t="shared" si="1"/>
        <v>8.2391496787993082E-2</v>
      </c>
      <c r="V24" s="37">
        <f t="shared" si="2"/>
        <v>5.7791735401276367E-15</v>
      </c>
      <c r="W24" s="29">
        <f t="shared" si="3"/>
        <v>2.5633672179625712E-17</v>
      </c>
    </row>
    <row r="25" spans="1:23" ht="18" x14ac:dyDescent="0.25">
      <c r="A25" s="22" t="s">
        <v>77</v>
      </c>
      <c r="B25" s="14">
        <f>B9*EXP(-B10*LN(B22)-B11*LN(B22)^2)</f>
        <v>4.6641613425710858E-5</v>
      </c>
      <c r="C25" s="39" t="s">
        <v>76</v>
      </c>
      <c r="S25" s="25">
        <f t="shared" si="4"/>
        <v>0.41000000000000009</v>
      </c>
      <c r="T25" s="37">
        <f t="shared" si="0"/>
        <v>1.5675862750794802</v>
      </c>
      <c r="U25" s="29">
        <f t="shared" si="1"/>
        <v>0.1119796146955178</v>
      </c>
      <c r="V25" s="37">
        <f t="shared" si="2"/>
        <v>4.0556791026157481E-13</v>
      </c>
      <c r="W25" s="29">
        <f t="shared" si="3"/>
        <v>2.017618926270227E-15</v>
      </c>
    </row>
    <row r="26" spans="1:23" ht="18" x14ac:dyDescent="0.25">
      <c r="A26" s="23" t="s">
        <v>40</v>
      </c>
      <c r="B26" s="32">
        <f>B9*EXP(-B10*LN(B23)-B11*LN(B23)^2)</f>
        <v>4.6641613425710858E-5</v>
      </c>
      <c r="C26" s="6" t="s">
        <v>47</v>
      </c>
      <c r="S26" s="25">
        <f t="shared" si="4"/>
        <v>0.4305000000000001</v>
      </c>
      <c r="T26" s="37">
        <f t="shared" si="0"/>
        <v>1.7993339290867587</v>
      </c>
      <c r="U26" s="29">
        <f t="shared" si="1"/>
        <v>0.1465332333737632</v>
      </c>
      <c r="V26" s="37">
        <f t="shared" si="2"/>
        <v>1.7823430440883175E-11</v>
      </c>
      <c r="W26" s="29">
        <f t="shared" si="3"/>
        <v>9.9275530121085836E-14</v>
      </c>
    </row>
    <row r="27" spans="1:23" x14ac:dyDescent="0.2">
      <c r="S27" s="25">
        <f t="shared" si="4"/>
        <v>0.45100000000000012</v>
      </c>
      <c r="T27" s="37">
        <f t="shared" si="0"/>
        <v>2.000974084942023</v>
      </c>
      <c r="U27" s="29">
        <f t="shared" si="1"/>
        <v>0.18554585738756188</v>
      </c>
      <c r="V27" s="37">
        <f t="shared" si="2"/>
        <v>5.1845716598535396E-10</v>
      </c>
      <c r="W27" s="29">
        <f t="shared" si="3"/>
        <v>3.2290444304578607E-12</v>
      </c>
    </row>
    <row r="28" spans="1:23" x14ac:dyDescent="0.2">
      <c r="S28" s="25">
        <f t="shared" si="4"/>
        <v>0.47150000000000014</v>
      </c>
      <c r="T28" s="37">
        <f t="shared" si="0"/>
        <v>2.1643135099477275</v>
      </c>
      <c r="U28" s="29">
        <f t="shared" si="1"/>
        <v>0.22831067724423304</v>
      </c>
      <c r="V28" s="37">
        <f t="shared" si="2"/>
        <v>1.0462465460611534E-8</v>
      </c>
      <c r="W28" s="29">
        <f t="shared" si="3"/>
        <v>7.2797940254123969E-11</v>
      </c>
    </row>
    <row r="29" spans="1:23" x14ac:dyDescent="0.2">
      <c r="S29" s="25">
        <f t="shared" si="4"/>
        <v>0.49200000000000016</v>
      </c>
      <c r="T29" s="37">
        <f t="shared" si="0"/>
        <v>2.2844973907797468</v>
      </c>
      <c r="U29" s="29">
        <f t="shared" si="1"/>
        <v>0.27398708165441749</v>
      </c>
      <c r="V29" s="37">
        <f t="shared" si="2"/>
        <v>1.5246892019364834E-7</v>
      </c>
      <c r="W29" s="29">
        <f t="shared" si="3"/>
        <v>1.1846104888875108E-9</v>
      </c>
    </row>
    <row r="30" spans="1:23" x14ac:dyDescent="0.2">
      <c r="S30" s="25">
        <f t="shared" si="4"/>
        <v>0.51250000000000018</v>
      </c>
      <c r="T30" s="37">
        <f t="shared" si="0"/>
        <v>2.3598566023396699</v>
      </c>
      <c r="U30" s="29">
        <f t="shared" si="1"/>
        <v>0.32166813896900764</v>
      </c>
      <c r="V30" s="37">
        <f t="shared" si="2"/>
        <v>1.6608624098102564E-6</v>
      </c>
      <c r="W30" s="29">
        <f t="shared" si="3"/>
        <v>1.4407550407007746E-8</v>
      </c>
    </row>
    <row r="31" spans="1:23" x14ac:dyDescent="0.2">
      <c r="S31" s="25">
        <f t="shared" si="4"/>
        <v>0.53300000000000014</v>
      </c>
      <c r="T31" s="37">
        <f t="shared" si="0"/>
        <v>2.3914669864032709</v>
      </c>
      <c r="U31" s="29">
        <f t="shared" si="1"/>
        <v>0.37044176170519039</v>
      </c>
      <c r="V31" s="37">
        <f t="shared" si="2"/>
        <v>1.3932934271594794E-5</v>
      </c>
      <c r="W31" s="29">
        <f t="shared" si="3"/>
        <v>1.3498374779955127E-7</v>
      </c>
    </row>
    <row r="32" spans="1:23" x14ac:dyDescent="0.2">
      <c r="S32" s="25">
        <f t="shared" si="4"/>
        <v>0.5535000000000001</v>
      </c>
      <c r="T32" s="37">
        <f t="shared" si="0"/>
        <v>2.3825520378788525</v>
      </c>
      <c r="U32" s="29">
        <f t="shared" si="1"/>
        <v>0.41944102084210599</v>
      </c>
      <c r="V32" s="37">
        <f t="shared" si="2"/>
        <v>9.2377861658751999E-5</v>
      </c>
      <c r="W32" s="29">
        <f t="shared" si="3"/>
        <v>1.0001815395239369E-6</v>
      </c>
    </row>
    <row r="33" spans="1:23" x14ac:dyDescent="0.2">
      <c r="S33" s="25">
        <f t="shared" si="4"/>
        <v>0.57400000000000007</v>
      </c>
      <c r="T33" s="37">
        <f t="shared" si="0"/>
        <v>2.337838880042761</v>
      </c>
      <c r="U33" s="29">
        <f t="shared" si="1"/>
        <v>0.46788157315249279</v>
      </c>
      <c r="V33" s="37">
        <f t="shared" si="2"/>
        <v>4.9516271775384014E-4</v>
      </c>
      <c r="W33" s="29">
        <f t="shared" si="3"/>
        <v>5.9978468087475895E-6</v>
      </c>
    </row>
    <row r="34" spans="1:23" x14ac:dyDescent="0.2">
      <c r="S34" s="25">
        <f t="shared" si="4"/>
        <v>0.59450000000000003</v>
      </c>
      <c r="T34" s="37">
        <f t="shared" si="0"/>
        <v>2.2629474752487702</v>
      </c>
      <c r="U34" s="29">
        <f t="shared" si="1"/>
        <v>0.51508611672710991</v>
      </c>
      <c r="V34" s="37">
        <f t="shared" si="2"/>
        <v>2.188865655084523E-3</v>
      </c>
      <c r="W34" s="29">
        <f t="shared" si="3"/>
        <v>2.9706450721423651E-5</v>
      </c>
    </row>
    <row r="35" spans="1:23" x14ac:dyDescent="0.2">
      <c r="S35" s="25">
        <f t="shared" si="4"/>
        <v>0.61499999999999999</v>
      </c>
      <c r="T35" s="37">
        <f t="shared" si="0"/>
        <v>2.1638628968076628</v>
      </c>
      <c r="U35" s="29">
        <f t="shared" si="1"/>
        <v>0.56049711532325897</v>
      </c>
      <c r="V35" s="37">
        <f t="shared" si="2"/>
        <v>8.1207392736790656E-3</v>
      </c>
      <c r="W35" s="29">
        <f t="shared" si="3"/>
        <v>1.2372404253631746E-4</v>
      </c>
    </row>
    <row r="36" spans="1:23" x14ac:dyDescent="0.2">
      <c r="S36" s="25">
        <f t="shared" si="4"/>
        <v>0.63549999999999995</v>
      </c>
      <c r="T36" s="37">
        <f t="shared" si="0"/>
        <v>2.046514854059216</v>
      </c>
      <c r="U36" s="29">
        <f t="shared" si="1"/>
        <v>0.60367978084513918</v>
      </c>
      <c r="V36" s="37">
        <f t="shared" si="2"/>
        <v>2.5681314317501373E-2</v>
      </c>
      <c r="W36" s="29">
        <f t="shared" si="3"/>
        <v>4.4030677613983763E-4</v>
      </c>
    </row>
    <row r="37" spans="1:23" x14ac:dyDescent="0.2">
      <c r="S37" s="25">
        <f t="shared" si="4"/>
        <v>0.65599999999999992</v>
      </c>
      <c r="T37" s="37">
        <f t="shared" si="0"/>
        <v>1.9164694146182057</v>
      </c>
      <c r="U37" s="29">
        <f t="shared" si="1"/>
        <v>0.64431759050646642</v>
      </c>
      <c r="V37" s="37">
        <f t="shared" si="2"/>
        <v>7.0189578023706872E-2</v>
      </c>
      <c r="W37" s="29">
        <f t="shared" si="3"/>
        <v>1.3582261003867648E-3</v>
      </c>
    </row>
    <row r="38" spans="1:23" x14ac:dyDescent="0.2">
      <c r="S38" s="25">
        <f t="shared" si="4"/>
        <v>0.67649999999999988</v>
      </c>
      <c r="T38" s="37">
        <f t="shared" si="0"/>
        <v>1.7787250813361275</v>
      </c>
      <c r="U38" s="29">
        <f t="shared" si="1"/>
        <v>0.68220257506028537</v>
      </c>
      <c r="V38" s="37">
        <f t="shared" si="2"/>
        <v>0.16784222756853073</v>
      </c>
      <c r="W38" s="29">
        <f t="shared" si="3"/>
        <v>3.6787127731343306E-3</v>
      </c>
    </row>
    <row r="39" spans="1:23" x14ac:dyDescent="0.2">
      <c r="S39" s="25">
        <f t="shared" si="4"/>
        <v>0.69699999999999984</v>
      </c>
      <c r="T39" s="37">
        <f t="shared" ref="T39:T70" si="5">_xlfn.LOGNORM.DIST(S39,$T$2,$T$3,FALSE)</f>
        <v>1.6375981394400985</v>
      </c>
      <c r="U39" s="29">
        <f t="shared" ref="U39:U66" si="6">_xlfn.LOGNORM.DIST(S39,$T$2,$T$3,TRUE)</f>
        <v>0.71722237107467701</v>
      </c>
      <c r="V39" s="37">
        <f t="shared" ref="V39:V66" si="7">_xlfn.LOGNORM.DIST(S39,$V$2,$V$3,FALSE)</f>
        <v>0.35504188235002054</v>
      </c>
      <c r="W39" s="29">
        <f t="shared" ref="W39:W66" si="8">_xlfn.LOGNORM.DIST(S39,$V$2,$V$3,TRUE)</f>
        <v>8.8508146924526545E-3</v>
      </c>
    </row>
    <row r="40" spans="1:23" x14ac:dyDescent="0.2">
      <c r="S40" s="25">
        <f t="shared" si="4"/>
        <v>0.7174999999999998</v>
      </c>
      <c r="T40" s="37">
        <f t="shared" si="5"/>
        <v>1.4966791840935947</v>
      </c>
      <c r="U40" s="29">
        <f t="shared" si="6"/>
        <v>0.74934568412315672</v>
      </c>
      <c r="V40" s="37">
        <f t="shared" si="7"/>
        <v>0.6709556228510507</v>
      </c>
      <c r="W40" s="29">
        <f t="shared" si="8"/>
        <v>1.9117585001953256E-2</v>
      </c>
    </row>
    <row r="41" spans="1:23" x14ac:dyDescent="0.2">
      <c r="S41" s="25">
        <f t="shared" si="4"/>
        <v>0.73799999999999977</v>
      </c>
      <c r="T41" s="37">
        <f t="shared" si="5"/>
        <v>1.3588426498445445</v>
      </c>
      <c r="U41" s="29">
        <f t="shared" si="6"/>
        <v>0.77860743407207456</v>
      </c>
      <c r="V41" s="37">
        <f t="shared" si="7"/>
        <v>1.1428811571005335</v>
      </c>
      <c r="W41" s="29">
        <f t="shared" si="8"/>
        <v>3.7432898982777262E-2</v>
      </c>
    </row>
    <row r="42" spans="1:23" x14ac:dyDescent="0.2">
      <c r="S42" s="25">
        <f t="shared" si="4"/>
        <v>0.75849999999999973</v>
      </c>
      <c r="T42" s="37">
        <f t="shared" si="5"/>
        <v>1.2262928555161121</v>
      </c>
      <c r="U42" s="29">
        <f t="shared" si="6"/>
        <v>0.80509449612214445</v>
      </c>
      <c r="V42" s="37">
        <f t="shared" si="7"/>
        <v>1.7688139115523664</v>
      </c>
      <c r="W42" s="29">
        <f t="shared" si="8"/>
        <v>6.7037884956581292E-2</v>
      </c>
    </row>
    <row r="43" spans="1:23" x14ac:dyDescent="0.2">
      <c r="S43" s="25">
        <f t="shared" si="4"/>
        <v>0.77899999999999969</v>
      </c>
      <c r="T43" s="37">
        <f t="shared" si="5"/>
        <v>1.1006326748480073</v>
      </c>
      <c r="U43" s="29">
        <f t="shared" si="6"/>
        <v>0.82893263896388436</v>
      </c>
      <c r="V43" s="37">
        <f t="shared" si="7"/>
        <v>2.5054522221879196</v>
      </c>
      <c r="W43" s="29">
        <f t="shared" si="8"/>
        <v>0.11072034362203022</v>
      </c>
    </row>
    <row r="44" spans="1:23" x14ac:dyDescent="0.2">
      <c r="S44" s="25">
        <f t="shared" si="4"/>
        <v>0.79949999999999966</v>
      </c>
      <c r="T44" s="37">
        <f t="shared" si="5"/>
        <v>0.9829438283298626</v>
      </c>
      <c r="U44" s="29">
        <f t="shared" si="6"/>
        <v>0.85027500614616502</v>
      </c>
      <c r="V44" s="37">
        <f t="shared" si="7"/>
        <v>3.2694074793852206</v>
      </c>
      <c r="W44" s="29">
        <f t="shared" si="8"/>
        <v>0.16995371842709611</v>
      </c>
    </row>
    <row r="45" spans="1:23" x14ac:dyDescent="0.2">
      <c r="S45" s="25">
        <f t="shared" si="4"/>
        <v>0.81999999999999962</v>
      </c>
      <c r="T45" s="37">
        <f t="shared" si="5"/>
        <v>0.87387057205618357</v>
      </c>
      <c r="U45" s="29">
        <f t="shared" si="6"/>
        <v>0.86929229007562703</v>
      </c>
      <c r="V45" s="37">
        <f t="shared" si="7"/>
        <v>3.9539133905267008</v>
      </c>
      <c r="W45" s="29">
        <f t="shared" si="8"/>
        <v>0.24422232507715341</v>
      </c>
    </row>
    <row r="46" spans="1:23" x14ac:dyDescent="0.2">
      <c r="S46" s="25">
        <f t="shared" si="4"/>
        <v>0.84049999999999958</v>
      </c>
      <c r="T46" s="37">
        <f t="shared" si="5"/>
        <v>0.77370101496631694</v>
      </c>
      <c r="U46" s="29">
        <f t="shared" si="6"/>
        <v>0.88616460530745056</v>
      </c>
      <c r="V46" s="37">
        <f t="shared" si="7"/>
        <v>4.4557995440016098</v>
      </c>
      <c r="W46" s="29">
        <f t="shared" si="8"/>
        <v>0.3308090118198348</v>
      </c>
    </row>
    <row r="47" spans="1:23" x14ac:dyDescent="0.2">
      <c r="S47" s="25">
        <f t="shared" si="4"/>
        <v>0.86099999999999954</v>
      </c>
      <c r="T47" s="37">
        <f t="shared" si="5"/>
        <v>0.68244232976439678</v>
      </c>
      <c r="U47" s="29">
        <f t="shared" si="6"/>
        <v>0.90107497113202673</v>
      </c>
      <c r="V47" s="37">
        <f t="shared" si="7"/>
        <v>4.7024455299701735</v>
      </c>
      <c r="W47" s="29">
        <f t="shared" si="8"/>
        <v>0.42515471330407634</v>
      </c>
    </row>
    <row r="48" spans="1:23" x14ac:dyDescent="0.2">
      <c r="A48" t="s">
        <v>38</v>
      </c>
      <c r="B48" t="s">
        <v>3</v>
      </c>
      <c r="E48" t="s">
        <v>42</v>
      </c>
      <c r="S48" s="25">
        <f t="shared" si="4"/>
        <v>0.88149999999999951</v>
      </c>
      <c r="T48" s="37">
        <f t="shared" si="5"/>
        <v>0.59988771930867213</v>
      </c>
      <c r="U48" s="29">
        <f t="shared" si="6"/>
        <v>0.91420425399528704</v>
      </c>
      <c r="V48" s="37">
        <f t="shared" si="7"/>
        <v>4.6687071961292341</v>
      </c>
      <c r="W48" s="29">
        <f t="shared" si="8"/>
        <v>0.52168168936309334</v>
      </c>
    </row>
    <row r="49" spans="1:23" x14ac:dyDescent="0.2">
      <c r="A49">
        <v>0.05</v>
      </c>
      <c r="B49" s="29">
        <f>$B$9*EXP(-$B$10*LN(A49)-$B$11*LN(A49)^2)</f>
        <v>3.600652461649533E-3</v>
      </c>
      <c r="E49" s="12" t="s">
        <v>38</v>
      </c>
      <c r="F49" s="12" t="s">
        <v>37</v>
      </c>
      <c r="S49" s="25">
        <f t="shared" si="4"/>
        <v>0.90199999999999947</v>
      </c>
      <c r="T49" s="37">
        <f t="shared" si="5"/>
        <v>0.52567419143129401</v>
      </c>
      <c r="U49" s="29">
        <f t="shared" si="6"/>
        <v>0.92572738931559329</v>
      </c>
      <c r="V49" s="37">
        <f t="shared" si="7"/>
        <v>4.3787917195155055</v>
      </c>
      <c r="W49" s="29">
        <f t="shared" si="8"/>
        <v>0.61481238134347604</v>
      </c>
    </row>
    <row r="50" spans="1:23" x14ac:dyDescent="0.2">
      <c r="A50">
        <v>0.1</v>
      </c>
      <c r="B50" s="29">
        <f t="shared" ref="B50:B62" si="9">$B$9*EXP(-$B$10*LN(A50)-$B$11*LN(A50)^2)</f>
        <v>2.8233677185774356E-3</v>
      </c>
      <c r="E50" s="35">
        <v>0</v>
      </c>
      <c r="F50" s="36">
        <f>B15*POWER(E50,B17)</f>
        <v>0</v>
      </c>
      <c r="S50" s="25">
        <f t="shared" si="4"/>
        <v>0.92249999999999943</v>
      </c>
      <c r="T50" s="37">
        <f t="shared" si="5"/>
        <v>0.45933103735352865</v>
      </c>
      <c r="U50" s="29">
        <f t="shared" si="6"/>
        <v>0.93581069201999012</v>
      </c>
      <c r="V50" s="37">
        <f t="shared" si="7"/>
        <v>3.894560825371336</v>
      </c>
      <c r="W50" s="29">
        <f t="shared" si="8"/>
        <v>0.69988011672408279</v>
      </c>
    </row>
    <row r="51" spans="1:23" x14ac:dyDescent="0.2">
      <c r="A51">
        <v>0.2</v>
      </c>
      <c r="B51" s="29">
        <f t="shared" si="9"/>
        <v>1.3692904903649268E-3</v>
      </c>
      <c r="E51" s="12">
        <f t="shared" ref="E51:E59" si="10">E50+($E$60-$E$50)/10</f>
        <v>8.199999999999999E-2</v>
      </c>
      <c r="F51" s="36">
        <f>$B$15*POWER(E51,$B$17)</f>
        <v>1.7594408528393935E-2</v>
      </c>
      <c r="S51" s="25">
        <f t="shared" si="4"/>
        <v>0.94299999999999939</v>
      </c>
      <c r="T51" s="37">
        <f t="shared" si="5"/>
        <v>0.40031946684787295</v>
      </c>
      <c r="U51" s="29">
        <f t="shared" si="6"/>
        <v>0.94461006912275691</v>
      </c>
      <c r="V51" s="37">
        <f t="shared" si="7"/>
        <v>3.2963815543562744</v>
      </c>
      <c r="W51" s="29">
        <f t="shared" si="8"/>
        <v>0.77371107392013616</v>
      </c>
    </row>
    <row r="52" spans="1:23" x14ac:dyDescent="0.2">
      <c r="A52">
        <v>0.3</v>
      </c>
      <c r="B52" s="29">
        <f t="shared" si="9"/>
        <v>7.1767915533598305E-4</v>
      </c>
      <c r="E52" s="12">
        <f t="shared" si="10"/>
        <v>0.16399999999999998</v>
      </c>
      <c r="F52" s="36">
        <f t="shared" ref="F52:F59" si="11">$B$15*POWER(E52,$B$17)</f>
        <v>3.5433574635263067E-2</v>
      </c>
      <c r="S52" s="25">
        <f t="shared" si="4"/>
        <v>0.96349999999999936</v>
      </c>
      <c r="T52" s="37">
        <f t="shared" si="5"/>
        <v>0.34806419047206905</v>
      </c>
      <c r="U52" s="29">
        <f t="shared" si="6"/>
        <v>0.95226996074098291</v>
      </c>
      <c r="V52" s="37">
        <f t="shared" si="7"/>
        <v>2.6637836690309782</v>
      </c>
      <c r="W52" s="29">
        <f t="shared" si="8"/>
        <v>0.83480019401453631</v>
      </c>
    </row>
    <row r="53" spans="1:23" x14ac:dyDescent="0.2">
      <c r="A53">
        <v>0.4</v>
      </c>
      <c r="B53" s="29">
        <f t="shared" si="9"/>
        <v>4.1073872102549241E-4</v>
      </c>
      <c r="E53" s="12">
        <f t="shared" si="10"/>
        <v>0.24599999999999997</v>
      </c>
      <c r="F53" s="36">
        <f t="shared" si="11"/>
        <v>5.336630561770752E-2</v>
      </c>
      <c r="S53" s="25">
        <f t="shared" si="4"/>
        <v>0.98399999999999932</v>
      </c>
      <c r="T53" s="37">
        <f t="shared" si="5"/>
        <v>0.30197791229158161</v>
      </c>
      <c r="U53" s="29">
        <f t="shared" si="6"/>
        <v>0.95892285415430434</v>
      </c>
      <c r="V53" s="37">
        <f t="shared" si="7"/>
        <v>2.0613020486548037</v>
      </c>
      <c r="W53" s="29">
        <f t="shared" si="8"/>
        <v>0.88313715163578743</v>
      </c>
    </row>
    <row r="54" spans="1:23" x14ac:dyDescent="0.2">
      <c r="A54">
        <v>0.5</v>
      </c>
      <c r="B54" s="29">
        <f t="shared" si="9"/>
        <v>2.516639054590097E-4</v>
      </c>
      <c r="E54" s="12">
        <f t="shared" si="10"/>
        <v>0.32799999999999996</v>
      </c>
      <c r="F54" s="36">
        <f t="shared" si="11"/>
        <v>7.1360069274654256E-2</v>
      </c>
      <c r="S54" s="25">
        <f t="shared" si="4"/>
        <v>1.0044999999999993</v>
      </c>
      <c r="T54" s="37">
        <f t="shared" si="5"/>
        <v>0.26147975323575784</v>
      </c>
      <c r="U54" s="29">
        <f t="shared" si="6"/>
        <v>0.96468923601064382</v>
      </c>
      <c r="V54" s="37">
        <f t="shared" si="7"/>
        <v>1.5316708960081622</v>
      </c>
      <c r="W54" s="29">
        <f t="shared" si="8"/>
        <v>0.91981650857086594</v>
      </c>
    </row>
    <row r="55" spans="1:23" x14ac:dyDescent="0.2">
      <c r="A55">
        <v>0.6</v>
      </c>
      <c r="B55" s="29">
        <f t="shared" si="9"/>
        <v>1.6253362711665323E-4</v>
      </c>
      <c r="E55" s="12">
        <f t="shared" si="10"/>
        <v>0.40999999999999992</v>
      </c>
      <c r="F55" s="36">
        <f t="shared" si="11"/>
        <v>8.9399353076787341E-2</v>
      </c>
      <c r="S55" s="25">
        <f t="shared" si="4"/>
        <v>1.0249999999999992</v>
      </c>
      <c r="T55" s="37">
        <f t="shared" si="5"/>
        <v>0.22600860385203392</v>
      </c>
      <c r="U55" s="29">
        <f t="shared" si="6"/>
        <v>0.96967786857932148</v>
      </c>
      <c r="V55" s="37">
        <f t="shared" si="7"/>
        <v>1.0956722860232666</v>
      </c>
      <c r="W55" s="29">
        <f t="shared" si="8"/>
        <v>0.9465795690170824</v>
      </c>
    </row>
    <row r="56" spans="1:23" x14ac:dyDescent="0.2">
      <c r="A56">
        <v>0.7</v>
      </c>
      <c r="B56" s="29">
        <f t="shared" si="9"/>
        <v>1.0943117120086086E-4</v>
      </c>
      <c r="E56" s="12">
        <f t="shared" si="10"/>
        <v>0.49199999999999988</v>
      </c>
      <c r="F56" s="36">
        <f t="shared" si="11"/>
        <v>0.10747499525554728</v>
      </c>
      <c r="S56" s="25">
        <f t="shared" si="4"/>
        <v>1.0454999999999992</v>
      </c>
      <c r="T56" s="37">
        <f t="shared" si="5"/>
        <v>0.19503233514996213</v>
      </c>
      <c r="U56" s="29">
        <f t="shared" si="6"/>
        <v>0.97398629577174334</v>
      </c>
      <c r="V56" s="37">
        <f t="shared" si="7"/>
        <v>0.75633804766568036</v>
      </c>
      <c r="W56" s="29">
        <f t="shared" si="8"/>
        <v>0.96540228457713939</v>
      </c>
    </row>
    <row r="57" spans="1:23" x14ac:dyDescent="0.2">
      <c r="A57">
        <v>0.8</v>
      </c>
      <c r="B57" s="29">
        <f t="shared" si="9"/>
        <v>7.6203971885058978E-5</v>
      </c>
      <c r="E57" s="12">
        <f t="shared" si="10"/>
        <v>0.57399999999999984</v>
      </c>
      <c r="F57" s="36">
        <f t="shared" si="11"/>
        <v>0.12558092919211061</v>
      </c>
      <c r="S57" s="25">
        <f t="shared" si="4"/>
        <v>1.0659999999999992</v>
      </c>
      <c r="T57" s="37">
        <f t="shared" si="5"/>
        <v>0.16805369921087687</v>
      </c>
      <c r="U57" s="29">
        <f t="shared" si="6"/>
        <v>0.97770150272472378</v>
      </c>
      <c r="V57" s="37">
        <f t="shared" si="7"/>
        <v>0.50492350968351141</v>
      </c>
      <c r="W57" s="29">
        <f t="shared" si="8"/>
        <v>0.97819154650649232</v>
      </c>
    </row>
    <row r="58" spans="1:23" x14ac:dyDescent="0.2">
      <c r="A58">
        <v>0.9</v>
      </c>
      <c r="B58" s="29">
        <f t="shared" si="9"/>
        <v>5.4565978380639231E-5</v>
      </c>
      <c r="E58" s="12">
        <f t="shared" si="10"/>
        <v>0.65599999999999981</v>
      </c>
      <c r="F58" s="36">
        <f t="shared" si="11"/>
        <v>0.14371283561709003</v>
      </c>
      <c r="S58" s="25">
        <f t="shared" si="4"/>
        <v>1.0864999999999991</v>
      </c>
      <c r="T58" s="37">
        <f t="shared" si="5"/>
        <v>0.14461364270962443</v>
      </c>
      <c r="U58" s="29">
        <f t="shared" si="6"/>
        <v>0.98090066868781334</v>
      </c>
      <c r="V58" s="37">
        <f t="shared" si="7"/>
        <v>0.3266600786804677</v>
      </c>
      <c r="W58" s="29">
        <f t="shared" si="8"/>
        <v>0.98660433058558794</v>
      </c>
    </row>
    <row r="59" spans="1:23" x14ac:dyDescent="0.2">
      <c r="A59">
        <v>1</v>
      </c>
      <c r="B59" s="29">
        <f t="shared" si="9"/>
        <v>4.0000000000000003E-5</v>
      </c>
      <c r="E59" s="12">
        <f t="shared" si="10"/>
        <v>0.73799999999999977</v>
      </c>
      <c r="F59" s="36">
        <f t="shared" si="11"/>
        <v>0.16186748026718303</v>
      </c>
      <c r="S59" s="25">
        <f t="shared" si="4"/>
        <v>1.1069999999999991</v>
      </c>
      <c r="T59" s="37">
        <f t="shared" si="5"/>
        <v>0.12429264688945843</v>
      </c>
      <c r="U59" s="29">
        <f t="shared" si="6"/>
        <v>0.98365196665220134</v>
      </c>
      <c r="V59" s="37">
        <f t="shared" si="7"/>
        <v>0.20518790729340106</v>
      </c>
      <c r="W59" s="29">
        <f t="shared" si="8"/>
        <v>0.99197236734765093</v>
      </c>
    </row>
    <row r="60" spans="1:23" x14ac:dyDescent="0.2">
      <c r="A60">
        <v>2</v>
      </c>
      <c r="B60" s="29">
        <f t="shared" si="9"/>
        <v>3.9322485227970274E-6</v>
      </c>
      <c r="E60" s="35">
        <f>B5</f>
        <v>0.82</v>
      </c>
      <c r="F60" s="36">
        <f>$B$15*POWER(E60,$B$17)</f>
        <v>0.18004234950430245</v>
      </c>
      <c r="S60" s="25">
        <f t="shared" si="4"/>
        <v>1.1274999999999991</v>
      </c>
      <c r="T60" s="37">
        <f t="shared" si="5"/>
        <v>0.10671060348523301</v>
      </c>
      <c r="U60" s="29">
        <f t="shared" si="6"/>
        <v>0.98601537465637124</v>
      </c>
      <c r="V60" s="37">
        <f t="shared" si="7"/>
        <v>0.1253603724820273</v>
      </c>
      <c r="W60" s="29">
        <f t="shared" si="8"/>
        <v>0.99530098981037152</v>
      </c>
    </row>
    <row r="61" spans="1:23" x14ac:dyDescent="0.2">
      <c r="A61">
        <v>3</v>
      </c>
      <c r="B61" s="29">
        <f t="shared" si="9"/>
        <v>8.1023423646718408E-7</v>
      </c>
      <c r="S61" s="25">
        <f t="shared" si="4"/>
        <v>1.147999999999999</v>
      </c>
      <c r="T61" s="37">
        <f t="shared" si="5"/>
        <v>9.152564144281887E-2</v>
      </c>
      <c r="U61" s="29">
        <f t="shared" si="6"/>
        <v>0.98804347316004804</v>
      </c>
      <c r="V61" s="37">
        <f t="shared" si="7"/>
        <v>7.4616876722259654E-2</v>
      </c>
      <c r="W61" s="29">
        <f t="shared" si="8"/>
        <v>0.99731019833765489</v>
      </c>
    </row>
    <row r="62" spans="1:23" x14ac:dyDescent="0.2">
      <c r="A62">
        <v>4</v>
      </c>
      <c r="B62" s="29">
        <f t="shared" si="9"/>
        <v>2.3909133216899712E-7</v>
      </c>
      <c r="E62" s="24">
        <f>B5</f>
        <v>0.82</v>
      </c>
      <c r="F62" s="38">
        <f>$B$16*POWER(E62,$B$18)</f>
        <v>0.17867566192937973</v>
      </c>
      <c r="S62" s="25">
        <f t="shared" si="4"/>
        <v>1.168499999999999</v>
      </c>
      <c r="T62" s="37">
        <f t="shared" si="5"/>
        <v>7.8432235892010732E-2</v>
      </c>
      <c r="U62" s="29">
        <f t="shared" si="6"/>
        <v>0.9897822105076044</v>
      </c>
      <c r="V62" s="37">
        <f t="shared" si="7"/>
        <v>4.3336092045095767E-2</v>
      </c>
      <c r="W62" s="29">
        <f t="shared" si="8"/>
        <v>0.99849265604244608</v>
      </c>
    </row>
    <row r="63" spans="1:23" x14ac:dyDescent="0.2">
      <c r="A63"/>
      <c r="E63" s="12">
        <f t="shared" ref="E63:E71" si="12">E62+($E$72-$E$62)/10</f>
        <v>0.90199999999999991</v>
      </c>
      <c r="F63" s="38">
        <f t="shared" ref="F63:F71" si="13">$B$16*POWER(E63,$B$18)</f>
        <v>0.25013909733229489</v>
      </c>
      <c r="S63" s="25">
        <f t="shared" si="4"/>
        <v>1.1889999999999989</v>
      </c>
      <c r="T63" s="37">
        <f t="shared" si="5"/>
        <v>6.7158859207178762E-2</v>
      </c>
      <c r="U63" s="29">
        <f t="shared" si="6"/>
        <v>0.9912716245428187</v>
      </c>
      <c r="V63" s="37">
        <f t="shared" si="7"/>
        <v>2.4593587828467624E-2</v>
      </c>
      <c r="W63" s="29">
        <f t="shared" si="8"/>
        <v>0.99917215630984457</v>
      </c>
    </row>
    <row r="64" spans="1:23" x14ac:dyDescent="0.2">
      <c r="A64" s="1">
        <f>B23</f>
        <v>0.9496619818982498</v>
      </c>
      <c r="B64" s="29">
        <f>MIN(B49:B62)</f>
        <v>2.3909133216899712E-7</v>
      </c>
      <c r="E64" s="12">
        <f t="shared" si="12"/>
        <v>0.98399999999999987</v>
      </c>
      <c r="F64" s="38">
        <f t="shared" si="13"/>
        <v>0.34007538486927524</v>
      </c>
      <c r="S64" s="25">
        <f t="shared" si="4"/>
        <v>1.2094999999999989</v>
      </c>
      <c r="T64" s="37">
        <f t="shared" si="5"/>
        <v>5.7465373778313393E-2</v>
      </c>
      <c r="U64" s="29">
        <f t="shared" si="6"/>
        <v>0.99254651312744824</v>
      </c>
      <c r="V64" s="37">
        <f t="shared" si="7"/>
        <v>1.3656409712239897E-2</v>
      </c>
      <c r="W64" s="29">
        <f t="shared" si="8"/>
        <v>0.99955395856949447</v>
      </c>
    </row>
    <row r="65" spans="1:23" x14ac:dyDescent="0.2">
      <c r="A65" s="1">
        <f>A64</f>
        <v>0.9496619818982498</v>
      </c>
      <c r="B65" s="29">
        <f>B26</f>
        <v>4.6641613425710858E-5</v>
      </c>
      <c r="E65" s="12">
        <f t="shared" si="12"/>
        <v>1.0659999999999998</v>
      </c>
      <c r="F65" s="38">
        <f t="shared" si="13"/>
        <v>0.45111309422954826</v>
      </c>
      <c r="S65" s="25">
        <f t="shared" si="4"/>
        <v>1.2299999999999989</v>
      </c>
      <c r="T65" s="37">
        <f t="shared" si="5"/>
        <v>4.9140316441877968E-2</v>
      </c>
      <c r="U65" s="29">
        <f t="shared" si="6"/>
        <v>0.99363704988211188</v>
      </c>
      <c r="V65" s="37">
        <f t="shared" si="7"/>
        <v>7.4291534936113479E-3</v>
      </c>
      <c r="W65" s="29">
        <f t="shared" si="8"/>
        <v>0.99976399519457004</v>
      </c>
    </row>
    <row r="66" spans="1:23" x14ac:dyDescent="0.2">
      <c r="A66">
        <f>MIN(A49:A62)</f>
        <v>0.05</v>
      </c>
      <c r="B66" s="29">
        <f>B65</f>
        <v>4.6641613425710858E-5</v>
      </c>
      <c r="E66" s="12">
        <f t="shared" si="12"/>
        <v>1.1479999999999999</v>
      </c>
      <c r="F66" s="38">
        <f t="shared" si="13"/>
        <v>0.58599966214231036</v>
      </c>
      <c r="G66" s="2">
        <f>F62-F60</f>
        <v>-1.3666875749227259E-3</v>
      </c>
      <c r="S66" s="25">
        <f t="shared" si="4"/>
        <v>1.2504999999999988</v>
      </c>
      <c r="T66" s="37">
        <f t="shared" si="5"/>
        <v>4.199818424429818E-2</v>
      </c>
      <c r="U66" s="29">
        <f t="shared" si="6"/>
        <v>0.99456934411410192</v>
      </c>
      <c r="V66" s="37">
        <f t="shared" si="7"/>
        <v>3.96407067766796E-3</v>
      </c>
      <c r="W66" s="29">
        <f t="shared" si="8"/>
        <v>0.99987725776686576</v>
      </c>
    </row>
    <row r="67" spans="1:23" x14ac:dyDescent="0.2">
      <c r="E67" s="12">
        <f t="shared" si="12"/>
        <v>1.23</v>
      </c>
      <c r="F67" s="38">
        <f t="shared" si="13"/>
        <v>0.74759699001551483</v>
      </c>
    </row>
    <row r="68" spans="1:23" x14ac:dyDescent="0.2">
      <c r="E68" s="12">
        <f t="shared" si="12"/>
        <v>1.3120000000000001</v>
      </c>
      <c r="F68" s="38">
        <f t="shared" si="13"/>
        <v>0.93887751523661023</v>
      </c>
    </row>
    <row r="69" spans="1:23" x14ac:dyDescent="0.2">
      <c r="E69" s="12">
        <f t="shared" si="12"/>
        <v>1.3940000000000001</v>
      </c>
      <c r="F69" s="38">
        <f t="shared" si="13"/>
        <v>1.1629206762033</v>
      </c>
    </row>
    <row r="70" spans="1:23" x14ac:dyDescent="0.2">
      <c r="E70" s="12">
        <f t="shared" si="12"/>
        <v>1.4760000000000002</v>
      </c>
      <c r="F70" s="38">
        <f t="shared" si="13"/>
        <v>1.4229097089178508</v>
      </c>
    </row>
    <row r="71" spans="1:23" x14ac:dyDescent="0.2">
      <c r="E71" s="12">
        <f t="shared" si="12"/>
        <v>1.5580000000000003</v>
      </c>
      <c r="F71" s="38">
        <f t="shared" si="13"/>
        <v>1.7221287259571674</v>
      </c>
    </row>
    <row r="72" spans="1:23" x14ac:dyDescent="0.2">
      <c r="E72" s="24">
        <f>2*E62</f>
        <v>1.64</v>
      </c>
      <c r="F72" s="26">
        <f>B16*POWER(E72,B18)</f>
        <v>2.0639600383131098</v>
      </c>
    </row>
    <row r="74" spans="1:23" x14ac:dyDescent="0.2">
      <c r="E74" s="2">
        <f>B5</f>
        <v>0.82</v>
      </c>
      <c r="F74">
        <v>0</v>
      </c>
    </row>
    <row r="75" spans="1:23" x14ac:dyDescent="0.2">
      <c r="E75" s="2">
        <f>B5</f>
        <v>0.82</v>
      </c>
      <c r="F75" s="2">
        <f>F72</f>
        <v>2.0639600383131098</v>
      </c>
    </row>
    <row r="77" spans="1:23" x14ac:dyDescent="0.2">
      <c r="E77">
        <f>B4</f>
        <v>0.3</v>
      </c>
      <c r="F77">
        <v>0</v>
      </c>
    </row>
    <row r="78" spans="1:23" x14ac:dyDescent="0.2">
      <c r="E78">
        <f>B4</f>
        <v>0.3</v>
      </c>
      <c r="F78" s="1">
        <f>B23</f>
        <v>0.9496619818982498</v>
      </c>
    </row>
    <row r="79" spans="1:23" x14ac:dyDescent="0.2">
      <c r="E79">
        <v>0</v>
      </c>
      <c r="F79" s="1">
        <f>B23</f>
        <v>0.9496619818982498</v>
      </c>
    </row>
  </sheetData>
  <mergeCells count="19">
    <mergeCell ref="G15:G16"/>
    <mergeCell ref="G21:G22"/>
    <mergeCell ref="V2:W2"/>
    <mergeCell ref="V3:W3"/>
    <mergeCell ref="T4:U4"/>
    <mergeCell ref="V4:W4"/>
    <mergeCell ref="I3:K3"/>
    <mergeCell ref="A1:K1"/>
    <mergeCell ref="T2:U2"/>
    <mergeCell ref="T3:U3"/>
    <mergeCell ref="E10:G10"/>
    <mergeCell ref="A8:C8"/>
    <mergeCell ref="A14:C14"/>
    <mergeCell ref="A7:C7"/>
    <mergeCell ref="E3:G3"/>
    <mergeCell ref="A13:C13"/>
    <mergeCell ref="A3:C3"/>
    <mergeCell ref="G11:G12"/>
    <mergeCell ref="G13:G14"/>
  </mergeCells>
  <conditionalFormatting sqref="B1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 O'Reilly</cp:lastModifiedBy>
  <dcterms:created xsi:type="dcterms:W3CDTF">2016-09-22T21:05:17Z</dcterms:created>
  <dcterms:modified xsi:type="dcterms:W3CDTF">2018-07-05T10:46:16Z</dcterms:modified>
</cp:coreProperties>
</file>