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mc:AlternateContent xmlns:mc="http://schemas.openxmlformats.org/markup-compatibility/2006">
    <mc:Choice Requires="x15">
      <x15ac:absPath xmlns:x15ac="http://schemas.microsoft.com/office/spreadsheetml/2010/11/ac" url="/Users/moayadnafeaa/Downloads/"/>
    </mc:Choice>
  </mc:AlternateContent>
  <xr:revisionPtr revIDLastSave="0" documentId="13_ncr:1_{7190ED14-1EA7-394A-8D5E-1D5F95B3950E}" xr6:coauthVersionLast="46" xr6:coauthVersionMax="46" xr10:uidLastSave="{00000000-0000-0000-0000-000000000000}"/>
  <bookViews>
    <workbookView xWindow="0" yWindow="460" windowWidth="28800" windowHeight="16580" tabRatio="500" xr2:uid="{00000000-000D-0000-FFFF-FFFF00000000}"/>
  </bookViews>
  <sheets>
    <sheet name="Input" sheetId="1" r:id="rId1"/>
    <sheet name="Coefficients (Sa(T1))" sheetId="2" r:id="rId2"/>
    <sheet name="Output (Sa(T1))" sheetId="11" r:id="rId3"/>
    <sheet name="Coefficients (AvgSa)" sheetId="13" r:id="rId4"/>
    <sheet name="Output (AvgSa)" sheetId="14" r:id="rId5"/>
  </sheets>
  <definedNames>
    <definedName name="D_ystar">Input!$O$11</definedName>
    <definedName name="Delta_y">Input!$O$6</definedName>
    <definedName name="Delta_ystar">Input!$O$11</definedName>
    <definedName name="F_ystar">Input!$O$12</definedName>
    <definedName name="Gamma">Input!$O$10</definedName>
    <definedName name="m_star">Input!$O$9</definedName>
    <definedName name="m_total">Input!$O$8</definedName>
    <definedName name="Sa_y">Input!$O$14</definedName>
    <definedName name="Say">Input!$O$14</definedName>
    <definedName name="T">Input!#REF!</definedName>
    <definedName name="T_star">Input!$O$13</definedName>
    <definedName name="V_by">Input!$O$7</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3" i="1" l="1"/>
  <c r="G9" i="1" l="1"/>
  <c r="I9" i="1" s="1"/>
  <c r="F45" i="11" s="1"/>
  <c r="F46" i="11" s="1"/>
  <c r="O9" i="1"/>
  <c r="O10" i="1" s="1"/>
  <c r="O8" i="1"/>
  <c r="F6" i="14"/>
  <c r="O6" i="1"/>
  <c r="F5" i="1"/>
  <c r="H7" i="1" s="1"/>
  <c r="I6" i="1"/>
  <c r="F15" i="11" s="1"/>
  <c r="F7" i="11" s="1"/>
  <c r="I7" i="1"/>
  <c r="F25" i="11" s="1"/>
  <c r="I8" i="1"/>
  <c r="B35" i="14" s="1"/>
  <c r="J8" i="1"/>
  <c r="F33" i="1"/>
  <c r="I5" i="1"/>
  <c r="B25" i="14" l="1"/>
  <c r="B26" i="14" s="1"/>
  <c r="B27" i="14" s="1"/>
  <c r="B28" i="14" s="1"/>
  <c r="B29" i="14" s="1"/>
  <c r="B30" i="14" s="1"/>
  <c r="B31" i="14" s="1"/>
  <c r="B32" i="14" s="1"/>
  <c r="B33" i="14" s="1"/>
  <c r="B34" i="14" s="1"/>
  <c r="B36" i="14"/>
  <c r="F35" i="14"/>
  <c r="F35" i="11"/>
  <c r="F36" i="11" s="1"/>
  <c r="B45" i="14"/>
  <c r="J9" i="1"/>
  <c r="H5" i="1"/>
  <c r="F6" i="1"/>
  <c r="H9" i="1"/>
  <c r="B15" i="14"/>
  <c r="F16" i="11"/>
  <c r="F17" i="11" s="1"/>
  <c r="F26" i="11"/>
  <c r="F8" i="11"/>
  <c r="O7" i="1"/>
  <c r="O12" i="1" s="1"/>
  <c r="O4" i="1"/>
  <c r="H8" i="1"/>
  <c r="F25" i="14" l="1"/>
  <c r="F26" i="14" s="1"/>
  <c r="O5" i="1"/>
  <c r="J5" i="1" s="1"/>
  <c r="F36" i="14"/>
  <c r="B46" i="14"/>
  <c r="F45" i="14"/>
  <c r="B37" i="14"/>
  <c r="B38" i="14" s="1"/>
  <c r="B39" i="14" s="1"/>
  <c r="B40" i="14" s="1"/>
  <c r="B41" i="14" s="1"/>
  <c r="B42" i="14" s="1"/>
  <c r="B43" i="14" s="1"/>
  <c r="B44" i="14" s="1"/>
  <c r="J7" i="1"/>
  <c r="J6" i="1"/>
  <c r="H6" i="1"/>
  <c r="B7" i="14"/>
  <c r="F15" i="14"/>
  <c r="B16" i="14"/>
  <c r="B17" i="14" s="1"/>
  <c r="B18" i="14" s="1"/>
  <c r="B19" i="14" s="1"/>
  <c r="B20" i="14" s="1"/>
  <c r="B21" i="14" s="1"/>
  <c r="B22" i="14" s="1"/>
  <c r="B23" i="14" s="1"/>
  <c r="B24" i="14" s="1"/>
  <c r="M17" i="13"/>
  <c r="H17" i="13"/>
  <c r="C17" i="13"/>
  <c r="O11" i="1"/>
  <c r="F9" i="11"/>
  <c r="F27" i="11"/>
  <c r="F37" i="11"/>
  <c r="F18" i="11"/>
  <c r="S5" i="11" l="1"/>
  <c r="J5" i="14"/>
  <c r="J4" i="14"/>
  <c r="J6" i="14"/>
  <c r="J36" i="14"/>
  <c r="J35" i="14"/>
  <c r="J26" i="14"/>
  <c r="J25" i="14"/>
  <c r="F46" i="14"/>
  <c r="J46" i="14" s="1"/>
  <c r="J45" i="14"/>
  <c r="J15" i="14"/>
  <c r="F16" i="14"/>
  <c r="J16" i="14" s="1"/>
  <c r="B8" i="14"/>
  <c r="S35" i="11"/>
  <c r="S15" i="11"/>
  <c r="S46" i="11"/>
  <c r="S16" i="11"/>
  <c r="S17" i="11"/>
  <c r="S36" i="11"/>
  <c r="S26" i="11"/>
  <c r="S6" i="11"/>
  <c r="F38" i="11"/>
  <c r="S37" i="11"/>
  <c r="S25" i="11"/>
  <c r="S8" i="11"/>
  <c r="O13" i="1"/>
  <c r="O14" i="1" s="1"/>
  <c r="S27" i="11"/>
  <c r="F28" i="11"/>
  <c r="S4" i="11"/>
  <c r="S45" i="11"/>
  <c r="F19" i="11"/>
  <c r="S18" i="11"/>
  <c r="S9" i="11"/>
  <c r="F10" i="11"/>
  <c r="S7" i="11"/>
  <c r="M23" i="13" l="1"/>
  <c r="B23" i="13"/>
  <c r="M5" i="13"/>
  <c r="C5" i="13"/>
  <c r="G17" i="13"/>
  <c r="H5" i="13"/>
  <c r="C23" i="13"/>
  <c r="H23" i="13"/>
  <c r="L17" i="13"/>
  <c r="L5" i="13"/>
  <c r="B5" i="13"/>
  <c r="L23" i="13"/>
  <c r="G23" i="13"/>
  <c r="B17" i="13"/>
  <c r="G5" i="13"/>
  <c r="L11" i="13"/>
  <c r="H11" i="13"/>
  <c r="C11" i="13"/>
  <c r="B11" i="13"/>
  <c r="M11" i="13"/>
  <c r="G11" i="13"/>
  <c r="B9" i="14"/>
  <c r="F11" i="11"/>
  <c r="S10" i="11"/>
  <c r="S28" i="11"/>
  <c r="F29" i="11"/>
  <c r="E10" i="2"/>
  <c r="E17" i="2"/>
  <c r="J10" i="2"/>
  <c r="J20" i="2"/>
  <c r="O6" i="2"/>
  <c r="O16" i="2"/>
  <c r="L46" i="2"/>
  <c r="D27" i="11" s="1"/>
  <c r="E11" i="2"/>
  <c r="E18" i="2"/>
  <c r="J11" i="2"/>
  <c r="J21" i="2"/>
  <c r="O7" i="2"/>
  <c r="O17" i="2"/>
  <c r="B57" i="2"/>
  <c r="B38" i="11" s="1"/>
  <c r="E19" i="2"/>
  <c r="J22" i="2"/>
  <c r="O8" i="2"/>
  <c r="O18" i="2"/>
  <c r="B35" i="2"/>
  <c r="B17" i="11" s="1"/>
  <c r="G46" i="2"/>
  <c r="C27" i="11" s="1"/>
  <c r="L47" i="2"/>
  <c r="D28" i="11" s="1"/>
  <c r="E7" i="2"/>
  <c r="E22" i="2"/>
  <c r="J7" i="2"/>
  <c r="J17" i="2"/>
  <c r="O11" i="2"/>
  <c r="O21" i="2"/>
  <c r="B36" i="2"/>
  <c r="B18" i="11" s="1"/>
  <c r="G36" i="2"/>
  <c r="C18" i="11" s="1"/>
  <c r="L36" i="2"/>
  <c r="D18" i="11" s="1"/>
  <c r="G56" i="2"/>
  <c r="C37" i="11" s="1"/>
  <c r="L57" i="2"/>
  <c r="D38" i="11" s="1"/>
  <c r="J5" i="2"/>
  <c r="O19" i="2"/>
  <c r="L35" i="2"/>
  <c r="D17" i="11" s="1"/>
  <c r="E20" i="2"/>
  <c r="J6" i="2"/>
  <c r="O20" i="2"/>
  <c r="G47" i="2"/>
  <c r="C28" i="11" s="1"/>
  <c r="O22" i="2"/>
  <c r="E5" i="2"/>
  <c r="O9" i="2"/>
  <c r="G35" i="2"/>
  <c r="C17" i="11" s="1"/>
  <c r="L56" i="2"/>
  <c r="D37" i="11" s="1"/>
  <c r="J8" i="2"/>
  <c r="E16" i="2"/>
  <c r="J9" i="2"/>
  <c r="O5" i="2"/>
  <c r="B37" i="2"/>
  <c r="B19" i="11" s="1"/>
  <c r="L37" i="2"/>
  <c r="D19" i="11" s="1"/>
  <c r="G57" i="2"/>
  <c r="C38" i="11" s="1"/>
  <c r="B46" i="2"/>
  <c r="B27" i="11" s="1"/>
  <c r="E6" i="2"/>
  <c r="E21" i="2"/>
  <c r="J16" i="2"/>
  <c r="O10" i="2"/>
  <c r="J19" i="2"/>
  <c r="G37" i="2"/>
  <c r="C19" i="11" s="1"/>
  <c r="E8" i="2"/>
  <c r="J18" i="2"/>
  <c r="B47" i="2"/>
  <c r="B28" i="11" s="1"/>
  <c r="B56" i="2"/>
  <c r="B37" i="11" s="1"/>
  <c r="E9" i="2"/>
  <c r="F20" i="11"/>
  <c r="S19" i="11"/>
  <c r="F39" i="11"/>
  <c r="S38" i="11"/>
  <c r="D8" i="14" l="1"/>
  <c r="C8" i="14"/>
  <c r="E8" i="14"/>
  <c r="E18" i="14"/>
  <c r="E16" i="14"/>
  <c r="E25" i="14"/>
  <c r="E20" i="14"/>
  <c r="E24" i="14"/>
  <c r="E21" i="14"/>
  <c r="E17" i="14"/>
  <c r="E19" i="14"/>
  <c r="E22" i="14"/>
  <c r="E23" i="14"/>
  <c r="E45" i="14"/>
  <c r="E46" i="14" s="1"/>
  <c r="E39" i="14"/>
  <c r="E42" i="14"/>
  <c r="E43" i="14"/>
  <c r="E38" i="14"/>
  <c r="E37" i="14"/>
  <c r="E36" i="14"/>
  <c r="E40" i="14"/>
  <c r="E41" i="14"/>
  <c r="E44" i="14"/>
  <c r="M4" i="14"/>
  <c r="L5" i="14"/>
  <c r="K5" i="14"/>
  <c r="M5" i="14"/>
  <c r="L4" i="14"/>
  <c r="K4" i="14"/>
  <c r="C18" i="14"/>
  <c r="C20" i="14"/>
  <c r="C22" i="14"/>
  <c r="C21" i="14"/>
  <c r="C16" i="14"/>
  <c r="C24" i="14"/>
  <c r="C25" i="14"/>
  <c r="C23" i="14"/>
  <c r="C17" i="14"/>
  <c r="C19" i="14"/>
  <c r="D6" i="14"/>
  <c r="H6" i="14" s="1"/>
  <c r="L6" i="14" s="1"/>
  <c r="D15" i="14"/>
  <c r="D7" i="14"/>
  <c r="C6" i="14"/>
  <c r="G6" i="14" s="1"/>
  <c r="K6" i="14" s="1"/>
  <c r="C15" i="14"/>
  <c r="C7" i="14"/>
  <c r="C30" i="14"/>
  <c r="C33" i="14"/>
  <c r="C26" i="14"/>
  <c r="C29" i="14"/>
  <c r="C32" i="14"/>
  <c r="C27" i="14"/>
  <c r="C31" i="14"/>
  <c r="C34" i="14"/>
  <c r="C35" i="14"/>
  <c r="C28" i="14"/>
  <c r="E6" i="14"/>
  <c r="I6" i="14" s="1"/>
  <c r="M6" i="14" s="1"/>
  <c r="E15" i="14"/>
  <c r="E7" i="14"/>
  <c r="C40" i="14"/>
  <c r="C44" i="14"/>
  <c r="C38" i="14"/>
  <c r="C37" i="14"/>
  <c r="C41" i="14"/>
  <c r="C45" i="14"/>
  <c r="C46" i="14" s="1"/>
  <c r="C42" i="14"/>
  <c r="C36" i="14"/>
  <c r="C39" i="14"/>
  <c r="C43" i="14"/>
  <c r="D20" i="14"/>
  <c r="D22" i="14"/>
  <c r="D16" i="14"/>
  <c r="D19" i="14"/>
  <c r="D21" i="14"/>
  <c r="D17" i="14"/>
  <c r="D23" i="14"/>
  <c r="D25" i="14"/>
  <c r="D24" i="14"/>
  <c r="D18" i="14"/>
  <c r="D38" i="14"/>
  <c r="D42" i="14"/>
  <c r="D36" i="14"/>
  <c r="D37" i="14"/>
  <c r="D45" i="14"/>
  <c r="D46" i="14" s="1"/>
  <c r="D39" i="14"/>
  <c r="D43" i="14"/>
  <c r="D40" i="14"/>
  <c r="D44" i="14"/>
  <c r="D41" i="14"/>
  <c r="E27" i="14"/>
  <c r="E35" i="14"/>
  <c r="E26" i="14"/>
  <c r="E29" i="14"/>
  <c r="E30" i="14"/>
  <c r="E33" i="14"/>
  <c r="E32" i="14"/>
  <c r="E31" i="14"/>
  <c r="E28" i="14"/>
  <c r="E34" i="14"/>
  <c r="D26" i="14"/>
  <c r="D30" i="14"/>
  <c r="D29" i="14"/>
  <c r="D31" i="14"/>
  <c r="D34" i="14"/>
  <c r="D27" i="14"/>
  <c r="D28" i="14"/>
  <c r="D35" i="14"/>
  <c r="D32" i="14"/>
  <c r="D33" i="14"/>
  <c r="E9" i="14"/>
  <c r="C9" i="14"/>
  <c r="B10" i="14"/>
  <c r="D9" i="14"/>
  <c r="G16" i="11"/>
  <c r="G18" i="11"/>
  <c r="G25" i="11"/>
  <c r="G20" i="11"/>
  <c r="G19" i="11"/>
  <c r="G17" i="11"/>
  <c r="I38" i="11"/>
  <c r="I45" i="11"/>
  <c r="I37" i="11"/>
  <c r="I39" i="11"/>
  <c r="I36" i="11"/>
  <c r="M36" i="11" s="1"/>
  <c r="F40" i="11"/>
  <c r="G40" i="11" s="1"/>
  <c r="S39" i="11"/>
  <c r="F21" i="11"/>
  <c r="G21" i="11" s="1"/>
  <c r="S20" i="11"/>
  <c r="B13" i="2"/>
  <c r="B7" i="11" s="1"/>
  <c r="G13" i="2"/>
  <c r="C7" i="11" s="1"/>
  <c r="T4" i="11"/>
  <c r="U4" i="11"/>
  <c r="V5" i="11"/>
  <c r="V4" i="11"/>
  <c r="T5" i="11"/>
  <c r="U5" i="11"/>
  <c r="F30" i="11"/>
  <c r="H30" i="11" s="1"/>
  <c r="S29" i="11"/>
  <c r="H29" i="11"/>
  <c r="H28" i="11"/>
  <c r="H35" i="11"/>
  <c r="H27" i="11"/>
  <c r="H26" i="11"/>
  <c r="L26" i="11" s="1"/>
  <c r="L13" i="2"/>
  <c r="D7" i="11" s="1"/>
  <c r="G24" i="2"/>
  <c r="C8" i="11" s="1"/>
  <c r="H36" i="11"/>
  <c r="L36" i="11" s="1"/>
  <c r="H39" i="11"/>
  <c r="H37" i="11"/>
  <c r="H38" i="11"/>
  <c r="H45" i="11"/>
  <c r="I27" i="11"/>
  <c r="I29" i="11"/>
  <c r="I26" i="11"/>
  <c r="M26" i="11" s="1"/>
  <c r="I28" i="11"/>
  <c r="I35" i="11"/>
  <c r="B24" i="2"/>
  <c r="B8" i="11" s="1"/>
  <c r="L24" i="2"/>
  <c r="D8" i="11" s="1"/>
  <c r="G26" i="11"/>
  <c r="K26" i="11" s="1"/>
  <c r="G28" i="11"/>
  <c r="G35" i="11"/>
  <c r="G27" i="11"/>
  <c r="G29" i="11"/>
  <c r="G37" i="11"/>
  <c r="G36" i="11"/>
  <c r="K36" i="11" s="1"/>
  <c r="G39" i="11"/>
  <c r="G38" i="11"/>
  <c r="G45" i="11"/>
  <c r="S11" i="11"/>
  <c r="F12" i="11"/>
  <c r="H40" i="11" l="1"/>
  <c r="I15" i="14"/>
  <c r="H15" i="14"/>
  <c r="G15" i="14"/>
  <c r="D10" i="14"/>
  <c r="E10" i="14"/>
  <c r="C10" i="14"/>
  <c r="B11" i="14"/>
  <c r="H17" i="11"/>
  <c r="I17" i="11" s="1"/>
  <c r="H16" i="11"/>
  <c r="L16" i="11" s="1"/>
  <c r="K16" i="11"/>
  <c r="I30" i="11"/>
  <c r="G30" i="11"/>
  <c r="I8" i="11"/>
  <c r="I15" i="11"/>
  <c r="I7" i="11"/>
  <c r="I11" i="11"/>
  <c r="I6" i="11"/>
  <c r="M6" i="11" s="1"/>
  <c r="I9" i="11"/>
  <c r="I12" i="11"/>
  <c r="I10" i="11"/>
  <c r="H21" i="11"/>
  <c r="G46" i="11"/>
  <c r="I46" i="11"/>
  <c r="H12" i="11"/>
  <c r="H7" i="11"/>
  <c r="H9" i="11"/>
  <c r="H6" i="11"/>
  <c r="L6" i="11" s="1"/>
  <c r="H11" i="11"/>
  <c r="H10" i="11"/>
  <c r="H8" i="11"/>
  <c r="H15" i="11"/>
  <c r="F22" i="11"/>
  <c r="S21" i="11"/>
  <c r="S12" i="11"/>
  <c r="F13" i="11"/>
  <c r="H13" i="11" s="1"/>
  <c r="H19" i="11"/>
  <c r="F41" i="11"/>
  <c r="S40" i="11"/>
  <c r="H25" i="11"/>
  <c r="H18" i="11"/>
  <c r="I40" i="11"/>
  <c r="H20" i="11"/>
  <c r="H46" i="11"/>
  <c r="S30" i="11"/>
  <c r="F31" i="11"/>
  <c r="G7" i="11"/>
  <c r="G12" i="11"/>
  <c r="G11" i="11"/>
  <c r="G10" i="11"/>
  <c r="G9" i="11"/>
  <c r="G8" i="11"/>
  <c r="G15" i="11"/>
  <c r="G6" i="11"/>
  <c r="K6" i="11" s="1"/>
  <c r="O6" i="11" s="1"/>
  <c r="H16" i="14" l="1"/>
  <c r="L15" i="14"/>
  <c r="I16" i="14"/>
  <c r="M15" i="14"/>
  <c r="K15" i="14"/>
  <c r="G16" i="14"/>
  <c r="D11" i="14"/>
  <c r="E11" i="14"/>
  <c r="C11" i="14"/>
  <c r="B12" i="14"/>
  <c r="I16" i="11"/>
  <c r="M16" i="11" s="1"/>
  <c r="M17" i="11" s="1"/>
  <c r="K7" i="11"/>
  <c r="O7" i="11" s="1"/>
  <c r="T7" i="11" s="1"/>
  <c r="M7" i="11"/>
  <c r="Q7" i="11" s="1"/>
  <c r="V7" i="11" s="1"/>
  <c r="Q6" i="11"/>
  <c r="V6" i="11" s="1"/>
  <c r="L7" i="11"/>
  <c r="P7" i="11" s="1"/>
  <c r="U7" i="11" s="1"/>
  <c r="P6" i="11"/>
  <c r="U6" i="11" s="1"/>
  <c r="K17" i="11"/>
  <c r="L17" i="11"/>
  <c r="F32" i="11"/>
  <c r="S31" i="11"/>
  <c r="H31" i="11"/>
  <c r="I31" i="11"/>
  <c r="G31" i="11"/>
  <c r="S41" i="11"/>
  <c r="F42" i="11"/>
  <c r="G41" i="11"/>
  <c r="H41" i="11"/>
  <c r="I41" i="11"/>
  <c r="F14" i="11"/>
  <c r="S13" i="11"/>
  <c r="S22" i="11"/>
  <c r="F23" i="11"/>
  <c r="G22" i="11"/>
  <c r="I25" i="11"/>
  <c r="I20" i="11"/>
  <c r="I13" i="11"/>
  <c r="I18" i="11"/>
  <c r="G13" i="11"/>
  <c r="T6" i="11"/>
  <c r="I19" i="11"/>
  <c r="I21" i="11"/>
  <c r="M18" i="11" l="1"/>
  <c r="M19" i="11" s="1"/>
  <c r="M16" i="14"/>
  <c r="I25" i="14"/>
  <c r="K16" i="14"/>
  <c r="G25" i="14"/>
  <c r="L16" i="14"/>
  <c r="H25" i="14"/>
  <c r="C12" i="14"/>
  <c r="D12" i="14"/>
  <c r="B13" i="14"/>
  <c r="E12" i="14"/>
  <c r="M8" i="11"/>
  <c r="Q8" i="11" s="1"/>
  <c r="V8" i="11" s="1"/>
  <c r="K8" i="11"/>
  <c r="L18" i="11"/>
  <c r="K18" i="11"/>
  <c r="L8" i="11"/>
  <c r="S23" i="11"/>
  <c r="F24" i="11"/>
  <c r="G23" i="11"/>
  <c r="H23" i="11" s="1"/>
  <c r="I23" i="11" s="1"/>
  <c r="F33" i="11"/>
  <c r="S32" i="11"/>
  <c r="I32" i="11"/>
  <c r="H32" i="11"/>
  <c r="G32" i="11"/>
  <c r="S42" i="11"/>
  <c r="F43" i="11"/>
  <c r="G42" i="11"/>
  <c r="H42" i="11"/>
  <c r="I42" i="11"/>
  <c r="S14" i="11"/>
  <c r="H14" i="11"/>
  <c r="G14" i="11"/>
  <c r="I14" i="11"/>
  <c r="H22" i="11"/>
  <c r="G26" i="14" l="1"/>
  <c r="K25" i="14"/>
  <c r="I26" i="14"/>
  <c r="M25" i="14"/>
  <c r="L25" i="14"/>
  <c r="H26" i="14"/>
  <c r="E13" i="14"/>
  <c r="C13" i="14"/>
  <c r="B14" i="14"/>
  <c r="D13" i="14"/>
  <c r="M9" i="11"/>
  <c r="M10" i="11" s="1"/>
  <c r="O8" i="11"/>
  <c r="T8" i="11" s="1"/>
  <c r="K9" i="11"/>
  <c r="L9" i="11"/>
  <c r="P8" i="11"/>
  <c r="U8" i="11" s="1"/>
  <c r="K19" i="11"/>
  <c r="M20" i="11"/>
  <c r="L19" i="11"/>
  <c r="S43" i="11"/>
  <c r="F44" i="11"/>
  <c r="I43" i="11"/>
  <c r="G43" i="11"/>
  <c r="H43" i="11"/>
  <c r="S24" i="11"/>
  <c r="G24" i="11"/>
  <c r="H24" i="11" s="1"/>
  <c r="S33" i="11"/>
  <c r="F34" i="11"/>
  <c r="G33" i="11"/>
  <c r="I33" i="11"/>
  <c r="H33" i="11"/>
  <c r="I22" i="11"/>
  <c r="Q9" i="11" l="1"/>
  <c r="V9" i="11" s="1"/>
  <c r="I35" i="14"/>
  <c r="M26" i="14"/>
  <c r="H35" i="14"/>
  <c r="L26" i="14"/>
  <c r="G35" i="14"/>
  <c r="K26" i="14"/>
  <c r="E14" i="14"/>
  <c r="C14" i="14"/>
  <c r="D14" i="14"/>
  <c r="O9" i="11"/>
  <c r="T9" i="11" s="1"/>
  <c r="K10" i="11"/>
  <c r="K20" i="11"/>
  <c r="L20" i="11"/>
  <c r="L10" i="11"/>
  <c r="P9" i="11"/>
  <c r="U9" i="11" s="1"/>
  <c r="M21" i="11"/>
  <c r="M11" i="11"/>
  <c r="Q10" i="11"/>
  <c r="V10" i="11" s="1"/>
  <c r="S44" i="11"/>
  <c r="H44" i="11"/>
  <c r="G44" i="11"/>
  <c r="I44" i="11"/>
  <c r="S34" i="11"/>
  <c r="H34" i="11"/>
  <c r="G34" i="11"/>
  <c r="I34" i="11"/>
  <c r="I24" i="11"/>
  <c r="L35" i="14" l="1"/>
  <c r="H36" i="14"/>
  <c r="G36" i="14"/>
  <c r="K35" i="14"/>
  <c r="I36" i="14"/>
  <c r="M35" i="14"/>
  <c r="K11" i="11"/>
  <c r="O10" i="11"/>
  <c r="T10" i="11" s="1"/>
  <c r="L11" i="11"/>
  <c r="P10" i="11"/>
  <c r="U10" i="11" s="1"/>
  <c r="M12" i="11"/>
  <c r="Q11" i="11"/>
  <c r="V11" i="11" s="1"/>
  <c r="L21" i="11"/>
  <c r="M22" i="11"/>
  <c r="K21" i="11"/>
  <c r="H45" i="14" l="1"/>
  <c r="L36" i="14"/>
  <c r="G45" i="14"/>
  <c r="K36" i="14"/>
  <c r="I45" i="14"/>
  <c r="M36" i="14"/>
  <c r="K12" i="11"/>
  <c r="O11" i="11"/>
  <c r="T11" i="11" s="1"/>
  <c r="M23" i="11"/>
  <c r="L22" i="11"/>
  <c r="K22" i="11"/>
  <c r="M13" i="11"/>
  <c r="Q12" i="11"/>
  <c r="V12" i="11" s="1"/>
  <c r="L12" i="11"/>
  <c r="P11" i="11"/>
  <c r="U11" i="11" s="1"/>
  <c r="K45" i="14" l="1"/>
  <c r="G46" i="14"/>
  <c r="K46" i="14" s="1"/>
  <c r="M45" i="14"/>
  <c r="I46" i="14"/>
  <c r="M46" i="14" s="1"/>
  <c r="L45" i="14"/>
  <c r="T16" i="1" s="1"/>
  <c r="H46" i="14"/>
  <c r="L46" i="14" s="1"/>
  <c r="K13" i="11"/>
  <c r="O12" i="11"/>
  <c r="T12" i="11" s="1"/>
  <c r="K23" i="11"/>
  <c r="L13" i="11"/>
  <c r="P12" i="11"/>
  <c r="U12" i="11" s="1"/>
  <c r="M14" i="11"/>
  <c r="Q13" i="11"/>
  <c r="V13" i="11" s="1"/>
  <c r="L23" i="11"/>
  <c r="M24" i="11"/>
  <c r="T17" i="1" l="1"/>
  <c r="O13" i="11"/>
  <c r="T13" i="11" s="1"/>
  <c r="K14" i="11"/>
  <c r="M15" i="11"/>
  <c r="Q15" i="11" s="1"/>
  <c r="Q24" i="11" s="1"/>
  <c r="V24" i="11" s="1"/>
  <c r="Q14" i="11"/>
  <c r="V14" i="11" s="1"/>
  <c r="L24" i="11"/>
  <c r="M25" i="11"/>
  <c r="L14" i="11"/>
  <c r="P13" i="11"/>
  <c r="U13" i="11" s="1"/>
  <c r="K24" i="11"/>
  <c r="K15" i="11" l="1"/>
  <c r="O15" i="11" s="1"/>
  <c r="O24" i="11" s="1"/>
  <c r="T24" i="11" s="1"/>
  <c r="O14" i="11"/>
  <c r="T14" i="11" s="1"/>
  <c r="M27" i="11"/>
  <c r="Q25" i="11"/>
  <c r="K27" i="11"/>
  <c r="K25" i="11"/>
  <c r="L15" i="11"/>
  <c r="P15" i="11" s="1"/>
  <c r="P14" i="11"/>
  <c r="U14" i="11" s="1"/>
  <c r="L25" i="11"/>
  <c r="Q16" i="11"/>
  <c r="V16" i="11" s="1"/>
  <c r="V15" i="11"/>
  <c r="Q17" i="11"/>
  <c r="V17" i="11" s="1"/>
  <c r="Q18" i="11"/>
  <c r="V18" i="11" s="1"/>
  <c r="Q19" i="11"/>
  <c r="V19" i="11" s="1"/>
  <c r="Q20" i="11"/>
  <c r="V20" i="11" s="1"/>
  <c r="Q21" i="11"/>
  <c r="V21" i="11" s="1"/>
  <c r="Q22" i="11"/>
  <c r="V22" i="11" s="1"/>
  <c r="Q23" i="11"/>
  <c r="V23" i="11" s="1"/>
  <c r="O25" i="11" l="1"/>
  <c r="O27" i="11" s="1"/>
  <c r="T27" i="11" s="1"/>
  <c r="O22" i="11"/>
  <c r="T22" i="11" s="1"/>
  <c r="T15" i="11"/>
  <c r="O19" i="11"/>
  <c r="T19" i="11" s="1"/>
  <c r="O23" i="11"/>
  <c r="T23" i="11" s="1"/>
  <c r="O16" i="11"/>
  <c r="T16" i="11" s="1"/>
  <c r="O20" i="11"/>
  <c r="T20" i="11" s="1"/>
  <c r="O17" i="11"/>
  <c r="T17" i="11" s="1"/>
  <c r="O21" i="11"/>
  <c r="T21" i="11" s="1"/>
  <c r="O18" i="11"/>
  <c r="T18" i="11" s="1"/>
  <c r="P16" i="11"/>
  <c r="U16" i="11" s="1"/>
  <c r="P17" i="11"/>
  <c r="U17" i="11" s="1"/>
  <c r="U15" i="11"/>
  <c r="P18" i="11"/>
  <c r="U18" i="11" s="1"/>
  <c r="P19" i="11"/>
  <c r="U19" i="11" s="1"/>
  <c r="P20" i="11"/>
  <c r="U20" i="11" s="1"/>
  <c r="P21" i="11"/>
  <c r="U21" i="11" s="1"/>
  <c r="P22" i="11"/>
  <c r="U22" i="11" s="1"/>
  <c r="P23" i="11"/>
  <c r="U23" i="11" s="1"/>
  <c r="Q26" i="11"/>
  <c r="V26" i="11" s="1"/>
  <c r="V25" i="11"/>
  <c r="L27" i="11"/>
  <c r="P25" i="11"/>
  <c r="K28" i="11"/>
  <c r="P24" i="11"/>
  <c r="U24" i="11" s="1"/>
  <c r="M28" i="11"/>
  <c r="Q27" i="11"/>
  <c r="V27" i="11" s="1"/>
  <c r="T25" i="11" l="1"/>
  <c r="O26" i="11"/>
  <c r="T26" i="11" s="1"/>
  <c r="K29" i="11"/>
  <c r="O28" i="11"/>
  <c r="T28" i="11" s="1"/>
  <c r="P26" i="11"/>
  <c r="U26" i="11" s="1"/>
  <c r="U25" i="11"/>
  <c r="L28" i="11"/>
  <c r="P27" i="11"/>
  <c r="U27" i="11" s="1"/>
  <c r="M29" i="11"/>
  <c r="Q28" i="11"/>
  <c r="V28" i="11" s="1"/>
  <c r="M30" i="11" l="1"/>
  <c r="Q29" i="11"/>
  <c r="V29" i="11" s="1"/>
  <c r="L29" i="11"/>
  <c r="P28" i="11"/>
  <c r="U28" i="11" s="1"/>
  <c r="K30" i="11"/>
  <c r="O29" i="11"/>
  <c r="T29" i="11" s="1"/>
  <c r="K31" i="11" l="1"/>
  <c r="O30" i="11"/>
  <c r="T30" i="11" s="1"/>
  <c r="L30" i="11"/>
  <c r="P29" i="11"/>
  <c r="U29" i="11" s="1"/>
  <c r="M31" i="11"/>
  <c r="Q30" i="11"/>
  <c r="V30" i="11" s="1"/>
  <c r="M32" i="11" l="1"/>
  <c r="Q31" i="11"/>
  <c r="V31" i="11" s="1"/>
  <c r="L31" i="11"/>
  <c r="P30" i="11"/>
  <c r="U30" i="11" s="1"/>
  <c r="K32" i="11"/>
  <c r="O31" i="11"/>
  <c r="T31" i="11" s="1"/>
  <c r="K33" i="11" l="1"/>
  <c r="O32" i="11"/>
  <c r="T32" i="11" s="1"/>
  <c r="L32" i="11"/>
  <c r="P31" i="11"/>
  <c r="U31" i="11" s="1"/>
  <c r="M33" i="11"/>
  <c r="Q32" i="11"/>
  <c r="V32" i="11" s="1"/>
  <c r="L33" i="11" l="1"/>
  <c r="P32" i="11"/>
  <c r="U32" i="11" s="1"/>
  <c r="M34" i="11"/>
  <c r="Q33" i="11"/>
  <c r="V33" i="11" s="1"/>
  <c r="K34" i="11"/>
  <c r="O33" i="11"/>
  <c r="T33" i="11" s="1"/>
  <c r="K35" i="11" l="1"/>
  <c r="O34" i="11"/>
  <c r="T34" i="11" s="1"/>
  <c r="M35" i="11"/>
  <c r="Q34" i="11"/>
  <c r="V34" i="11" s="1"/>
  <c r="L34" i="11"/>
  <c r="P33" i="11"/>
  <c r="U33" i="11" s="1"/>
  <c r="L35" i="11" l="1"/>
  <c r="P34" i="11"/>
  <c r="U34" i="11" s="1"/>
  <c r="M37" i="11"/>
  <c r="Q35" i="11"/>
  <c r="K37" i="11"/>
  <c r="O35" i="11"/>
  <c r="O36" i="11" l="1"/>
  <c r="T36" i="11" s="1"/>
  <c r="T35" i="11"/>
  <c r="K38" i="11"/>
  <c r="O37" i="11"/>
  <c r="T37" i="11" s="1"/>
  <c r="Q36" i="11"/>
  <c r="V36" i="11" s="1"/>
  <c r="V35" i="11"/>
  <c r="M38" i="11"/>
  <c r="Q37" i="11"/>
  <c r="V37" i="11" s="1"/>
  <c r="L37" i="11"/>
  <c r="P35" i="11"/>
  <c r="M39" i="11" l="1"/>
  <c r="Q38" i="11"/>
  <c r="V38" i="11" s="1"/>
  <c r="P36" i="11"/>
  <c r="U36" i="11" s="1"/>
  <c r="U35" i="11"/>
  <c r="K39" i="11"/>
  <c r="O38" i="11"/>
  <c r="T38" i="11" s="1"/>
  <c r="L38" i="11"/>
  <c r="P37" i="11"/>
  <c r="U37" i="11" s="1"/>
  <c r="L39" i="11" l="1"/>
  <c r="P38" i="11"/>
  <c r="U38" i="11" s="1"/>
  <c r="K40" i="11"/>
  <c r="O39" i="11"/>
  <c r="T39" i="11" s="1"/>
  <c r="Q39" i="11"/>
  <c r="V39" i="11" s="1"/>
  <c r="M40" i="11"/>
  <c r="Q40" i="11" s="1"/>
  <c r="V40" i="11" s="1"/>
  <c r="K41" i="11" l="1"/>
  <c r="O40" i="11"/>
  <c r="T40" i="11" s="1"/>
  <c r="M41" i="11"/>
  <c r="L40" i="11"/>
  <c r="P39" i="11"/>
  <c r="U39" i="11" s="1"/>
  <c r="M42" i="11" l="1"/>
  <c r="Q41" i="11"/>
  <c r="V41" i="11" s="1"/>
  <c r="L41" i="11"/>
  <c r="P40" i="11"/>
  <c r="U40" i="11" s="1"/>
  <c r="K42" i="11"/>
  <c r="O41" i="11"/>
  <c r="T41" i="11" s="1"/>
  <c r="L42" i="11" l="1"/>
  <c r="P41" i="11"/>
  <c r="U41" i="11" s="1"/>
  <c r="K43" i="11"/>
  <c r="O42" i="11"/>
  <c r="T42" i="11" s="1"/>
  <c r="M43" i="11"/>
  <c r="Q42" i="11"/>
  <c r="V42" i="11" s="1"/>
  <c r="K44" i="11" l="1"/>
  <c r="O43" i="11"/>
  <c r="T43" i="11" s="1"/>
  <c r="M44" i="11"/>
  <c r="Q43" i="11"/>
  <c r="V43" i="11" s="1"/>
  <c r="L43" i="11"/>
  <c r="P42" i="11"/>
  <c r="U42" i="11" s="1"/>
  <c r="M45" i="11" l="1"/>
  <c r="Q44" i="11"/>
  <c r="V44" i="11" s="1"/>
  <c r="L44" i="11"/>
  <c r="P43" i="11"/>
  <c r="U43" i="11" s="1"/>
  <c r="K45" i="11"/>
  <c r="O44" i="11"/>
  <c r="T44" i="11" s="1"/>
  <c r="K46" i="11" l="1"/>
  <c r="O45" i="11"/>
  <c r="L45" i="11"/>
  <c r="P44" i="11"/>
  <c r="U44" i="11" s="1"/>
  <c r="M46" i="11"/>
  <c r="Q45" i="11"/>
  <c r="Q46" i="11" l="1"/>
  <c r="V46" i="11" s="1"/>
  <c r="V45" i="11"/>
  <c r="L46" i="11"/>
  <c r="P45" i="11"/>
  <c r="T45" i="11"/>
  <c r="O46" i="11"/>
  <c r="T46" i="11" s="1"/>
  <c r="O17" i="1" l="1"/>
  <c r="P46" i="11"/>
  <c r="U45" i="11"/>
  <c r="U46" i="11" l="1"/>
  <c r="O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Moayad Nafeaa</author>
  </authors>
  <commentList>
    <comment ref="G1" authorId="0" shapeId="0" xr:uid="{4ED8C6B6-410F-9748-9947-829FC30C5B01}">
      <text>
        <r>
          <rPr>
            <b/>
            <sz val="10"/>
            <color rgb="FF000000"/>
            <rFont val="Tahoma"/>
            <family val="2"/>
          </rPr>
          <t>Moayad Nafeaa:</t>
        </r>
        <r>
          <rPr>
            <sz val="10"/>
            <color rgb="FF000000"/>
            <rFont val="Tahoma"/>
            <family val="2"/>
          </rPr>
          <t xml:space="preserve">
</t>
        </r>
        <r>
          <rPr>
            <sz val="10"/>
            <color rgb="FF000000"/>
            <rFont val="Tahoma"/>
            <family val="2"/>
          </rPr>
          <t>The fitting parameters corresponding to the IM = AvgSa are obtained for each capacity coordinate of the normalized pushover curve. Thus, there is no actual need for the monotonic increase check. Only the dynamic response points corresponding to the capacity coordinates will be plotted.</t>
        </r>
      </text>
    </comment>
  </commentList>
</comments>
</file>

<file path=xl/sharedStrings.xml><?xml version="1.0" encoding="utf-8"?>
<sst xmlns="http://schemas.openxmlformats.org/spreadsheetml/2006/main" count="283" uniqueCount="125">
  <si>
    <t>s</t>
  </si>
  <si>
    <t xml:space="preserve">Pushover Curve Data </t>
  </si>
  <si>
    <t>Yielding</t>
  </si>
  <si>
    <t>Hardening</t>
  </si>
  <si>
    <t>Softening</t>
  </si>
  <si>
    <t>Residual</t>
  </si>
  <si>
    <t>Degradation</t>
  </si>
  <si>
    <t>-</t>
  </si>
  <si>
    <t xml:space="preserve">𝛼₁ = </t>
  </si>
  <si>
    <t>a</t>
  </si>
  <si>
    <t>b</t>
  </si>
  <si>
    <t>c</t>
  </si>
  <si>
    <t>g</t>
  </si>
  <si>
    <t>𝛽₁ =</t>
  </si>
  <si>
    <t>Softening Branch Fits</t>
  </si>
  <si>
    <t>𝛾₂=</t>
  </si>
  <si>
    <t>𝛽₂ =</t>
  </si>
  <si>
    <t xml:space="preserve">𝛼₂ = </t>
  </si>
  <si>
    <t>Residual Plateau Branch Fits</t>
  </si>
  <si>
    <t>i</t>
  </si>
  <si>
    <t xml:space="preserve">𝛼₃ = </t>
  </si>
  <si>
    <t>𝛽₃ =</t>
  </si>
  <si>
    <t>Strength Degradation Branch Fits</t>
  </si>
  <si>
    <t xml:space="preserve">𝛼₄ = </t>
  </si>
  <si>
    <t>𝛽₄ =</t>
  </si>
  <si>
    <t>R</t>
  </si>
  <si>
    <t>Elastic</t>
  </si>
  <si>
    <t>𝝻</t>
  </si>
  <si>
    <t>Residual Plateau</t>
  </si>
  <si>
    <t>Strength Degradation</t>
  </si>
  <si>
    <t>Collapse</t>
  </si>
  <si>
    <t>kN</t>
  </si>
  <si>
    <t>Normalisation</t>
  </si>
  <si>
    <t>Equivalent Linearisation</t>
  </si>
  <si>
    <t>Description</t>
  </si>
  <si>
    <t>μ</t>
  </si>
  <si>
    <r>
      <t xml:space="preserve">Base Shear </t>
    </r>
    <r>
      <rPr>
        <i/>
        <sz val="12"/>
        <color theme="1"/>
        <rFont val="Calibri"/>
        <family val="2"/>
        <scheme val="minor"/>
      </rPr>
      <t>V</t>
    </r>
    <r>
      <rPr>
        <vertAlign val="subscript"/>
        <sz val="12"/>
        <color theme="1"/>
        <rFont val="Calibri (Body)"/>
      </rPr>
      <t>b</t>
    </r>
    <r>
      <rPr>
        <sz val="12"/>
        <color theme="1"/>
        <rFont val="Calibri"/>
        <family val="2"/>
        <scheme val="minor"/>
      </rPr>
      <t xml:space="preserve"> [kN]</t>
    </r>
  </si>
  <si>
    <t>Roof Displacement 𝛥 [m]</t>
  </si>
  <si>
    <t>Checks</t>
  </si>
  <si>
    <t>m</t>
  </si>
  <si>
    <t>Input data</t>
  </si>
  <si>
    <t>Force is taken as max of SPO. Displacement set to match the initial stiffness of SPO</t>
  </si>
  <si>
    <t>Force is equal to point 1. Displacement set visually by user</t>
  </si>
  <si>
    <t>Both set visually by user</t>
  </si>
  <si>
    <t>Force is taken as zero. Displacement taken as point of zero force.</t>
  </si>
  <si>
    <t>Zero point just for plotting</t>
  </si>
  <si>
    <t>Modal Analysis</t>
  </si>
  <si>
    <t>Level</t>
  </si>
  <si>
    <t>Mass [t]</t>
  </si>
  <si>
    <t>𝛷[-]</t>
  </si>
  <si>
    <t>Notes:</t>
  </si>
  <si>
    <t>Cells highlighted in yellow are to be inputted by the user</t>
  </si>
  <si>
    <t>Ensure that all of the checks are satisfied</t>
  </si>
  <si>
    <t>Modal analysis are used for the MDOF to SDOF conversion</t>
  </si>
  <si>
    <t xml:space="preserve">Initial stiffness (SPO) = </t>
  </si>
  <si>
    <t xml:space="preserve">Initial stiffness (Linearisation) = </t>
  </si>
  <si>
    <t>kN/m</t>
  </si>
  <si>
    <r>
      <t xml:space="preserve">% of </t>
    </r>
    <r>
      <rPr>
        <i/>
        <sz val="12"/>
        <color theme="1"/>
        <rFont val="Calibri"/>
        <family val="2"/>
        <scheme val="minor"/>
      </rPr>
      <t>V</t>
    </r>
    <r>
      <rPr>
        <vertAlign val="subscript"/>
        <sz val="12"/>
        <color theme="1"/>
        <rFont val="Calibri (Body)"/>
      </rPr>
      <t>b,max</t>
    </r>
    <r>
      <rPr>
        <sz val="12"/>
        <color theme="1"/>
        <rFont val="Calibri"/>
        <family val="2"/>
        <scheme val="minor"/>
      </rPr>
      <t xml:space="preserve"> to take secant =</t>
    </r>
  </si>
  <si>
    <t>Difference</t>
  </si>
  <si>
    <t>t</t>
  </si>
  <si>
    <t>Example of 3 storey infilled frame (weak single leaf) from O'Reilly &amp; Sullivan (2018)</t>
  </si>
  <si>
    <t>Mode shape should be normalised with top=1 since EDP is roof displacement</t>
  </si>
  <si>
    <r>
      <t xml:space="preserve">SDOF mass, </t>
    </r>
    <r>
      <rPr>
        <i/>
        <sz val="12"/>
        <rFont val="Calibri"/>
        <family val="2"/>
        <scheme val="minor"/>
      </rPr>
      <t>m</t>
    </r>
    <r>
      <rPr>
        <sz val="12"/>
        <rFont val="Calibri"/>
        <family val="2"/>
        <scheme val="minor"/>
      </rPr>
      <t xml:space="preserve">* = </t>
    </r>
  </si>
  <si>
    <r>
      <t xml:space="preserve">Total mass, </t>
    </r>
    <r>
      <rPr>
        <i/>
        <sz val="12"/>
        <color theme="1"/>
        <rFont val="Calibri (Body)"/>
      </rPr>
      <t>m</t>
    </r>
    <r>
      <rPr>
        <sz val="12"/>
        <color theme="1"/>
        <rFont val="Calibri"/>
        <family val="2"/>
        <scheme val="minor"/>
      </rPr>
      <t xml:space="preserve"> = </t>
    </r>
  </si>
  <si>
    <t xml:space="preserve">Transformation factor, 𝛤 = </t>
  </si>
  <si>
    <r>
      <t xml:space="preserve">Yield base shear, </t>
    </r>
    <r>
      <rPr>
        <i/>
        <sz val="12"/>
        <rFont val="Calibri"/>
        <family val="2"/>
        <scheme val="minor"/>
      </rPr>
      <t>V</t>
    </r>
    <r>
      <rPr>
        <vertAlign val="subscript"/>
        <sz val="12"/>
        <rFont val="Calibri (Body)"/>
      </rPr>
      <t>b,y</t>
    </r>
    <r>
      <rPr>
        <sz val="12"/>
        <rFont val="Calibri (Body)"/>
      </rPr>
      <t xml:space="preserve"> =  </t>
    </r>
  </si>
  <si>
    <r>
      <t xml:space="preserve">Yield displacement, </t>
    </r>
    <r>
      <rPr>
        <i/>
        <sz val="12"/>
        <rFont val="Calibri"/>
        <family val="2"/>
        <scheme val="minor"/>
      </rPr>
      <t>Δ</t>
    </r>
    <r>
      <rPr>
        <vertAlign val="subscript"/>
        <sz val="12"/>
        <rFont val="Calibri (Body)"/>
      </rPr>
      <t>y</t>
    </r>
    <r>
      <rPr>
        <sz val="12"/>
        <rFont val="Calibri (Body)"/>
      </rPr>
      <t xml:space="preserve"> =  </t>
    </r>
  </si>
  <si>
    <r>
      <t xml:space="preserve">SDOF Yield force, </t>
    </r>
    <r>
      <rPr>
        <i/>
        <sz val="12"/>
        <rFont val="Calibri"/>
        <family val="2"/>
        <scheme val="minor"/>
      </rPr>
      <t>F</t>
    </r>
    <r>
      <rPr>
        <vertAlign val="subscript"/>
        <sz val="12"/>
        <rFont val="Calibri (Body)"/>
      </rPr>
      <t>y</t>
    </r>
    <r>
      <rPr>
        <sz val="12"/>
        <rFont val="Calibri"/>
        <family val="2"/>
        <scheme val="minor"/>
      </rPr>
      <t xml:space="preserve">* = </t>
    </r>
  </si>
  <si>
    <r>
      <t xml:space="preserve">SDOF period, </t>
    </r>
    <r>
      <rPr>
        <i/>
        <sz val="12"/>
        <rFont val="Calibri"/>
        <family val="2"/>
        <scheme val="minor"/>
      </rPr>
      <t>T</t>
    </r>
    <r>
      <rPr>
        <sz val="12"/>
        <rFont val="Calibri"/>
        <family val="2"/>
        <scheme val="minor"/>
      </rPr>
      <t xml:space="preserve">* = </t>
    </r>
  </si>
  <si>
    <r>
      <t>SDOF yield acceleration,</t>
    </r>
    <r>
      <rPr>
        <i/>
        <sz val="12"/>
        <rFont val="Calibri"/>
        <family val="2"/>
        <scheme val="minor"/>
      </rPr>
      <t xml:space="preserve"> Sa</t>
    </r>
    <r>
      <rPr>
        <vertAlign val="subscript"/>
        <sz val="12"/>
        <rFont val="Calibri (Body)"/>
      </rPr>
      <t>y</t>
    </r>
    <r>
      <rPr>
        <sz val="12"/>
        <rFont val="Calibri"/>
        <family val="2"/>
        <scheme val="minor"/>
      </rPr>
      <t xml:space="preserve"> = </t>
    </r>
  </si>
  <si>
    <t>Hardening Branch Fits</t>
  </si>
  <si>
    <r>
      <rPr>
        <i/>
        <sz val="12"/>
        <color theme="1"/>
        <rFont val="Calibri"/>
        <family val="2"/>
        <scheme val="minor"/>
      </rPr>
      <t>a</t>
    </r>
    <r>
      <rPr>
        <vertAlign val="subscript"/>
        <sz val="12"/>
        <color theme="1"/>
        <rFont val="Calibri (Body)"/>
      </rPr>
      <t>α1</t>
    </r>
  </si>
  <si>
    <r>
      <rPr>
        <i/>
        <sz val="12"/>
        <color theme="1"/>
        <rFont val="Calibri"/>
        <family val="2"/>
        <scheme val="minor"/>
      </rPr>
      <t>b</t>
    </r>
    <r>
      <rPr>
        <vertAlign val="subscript"/>
        <sz val="12"/>
        <color theme="1"/>
        <rFont val="Calibri (Body)"/>
      </rPr>
      <t>α1</t>
    </r>
  </si>
  <si>
    <r>
      <rPr>
        <i/>
        <sz val="12"/>
        <color theme="1"/>
        <rFont val="Calibri"/>
        <family val="2"/>
        <scheme val="minor"/>
      </rPr>
      <t>c</t>
    </r>
    <r>
      <rPr>
        <vertAlign val="subscript"/>
        <sz val="12"/>
        <color theme="1"/>
        <rFont val="Calibri (Body)"/>
      </rPr>
      <t>α1</t>
    </r>
  </si>
  <si>
    <r>
      <rPr>
        <i/>
        <sz val="12"/>
        <color theme="1"/>
        <rFont val="Calibri"/>
        <family val="2"/>
        <scheme val="minor"/>
      </rPr>
      <t>a</t>
    </r>
    <r>
      <rPr>
        <vertAlign val="subscript"/>
        <sz val="12"/>
        <color theme="1"/>
        <rFont val="Calibri (Body)"/>
      </rPr>
      <t>β1</t>
    </r>
  </si>
  <si>
    <r>
      <rPr>
        <i/>
        <sz val="12"/>
        <color theme="1"/>
        <rFont val="Calibri"/>
        <family val="2"/>
        <scheme val="minor"/>
      </rPr>
      <t>b</t>
    </r>
    <r>
      <rPr>
        <vertAlign val="subscript"/>
        <sz val="12"/>
        <color theme="1"/>
        <rFont val="Calibri (Body)"/>
      </rPr>
      <t>β1</t>
    </r>
  </si>
  <si>
    <r>
      <rPr>
        <i/>
        <sz val="12"/>
        <color theme="1"/>
        <rFont val="Calibri"/>
        <family val="2"/>
        <scheme val="minor"/>
      </rPr>
      <t>c</t>
    </r>
    <r>
      <rPr>
        <vertAlign val="subscript"/>
        <sz val="12"/>
        <color theme="1"/>
        <rFont val="Calibri (Body)"/>
      </rPr>
      <t>β1</t>
    </r>
  </si>
  <si>
    <t xml:space="preserve">𝛼₂ </t>
  </si>
  <si>
    <t>𝛽₂</t>
  </si>
  <si>
    <t>𝛾₂</t>
  </si>
  <si>
    <t>d</t>
  </si>
  <si>
    <t>16th Percentile</t>
  </si>
  <si>
    <t>50th Percentile</t>
  </si>
  <si>
    <t>84th Percentile</t>
  </si>
  <si>
    <t>Collect the coefficients</t>
  </si>
  <si>
    <t>16th</t>
  </si>
  <si>
    <t>50th</t>
  </si>
  <si>
    <t>84th</t>
  </si>
  <si>
    <t>Adjust the R-μ curves</t>
  </si>
  <si>
    <t>Convert to MDOF</t>
  </si>
  <si>
    <r>
      <t xml:space="preserve">Base Shear  </t>
    </r>
    <r>
      <rPr>
        <i/>
        <sz val="12"/>
        <color theme="1"/>
        <rFont val="Calibri"/>
        <family val="2"/>
        <scheme val="minor"/>
      </rPr>
      <t>V</t>
    </r>
    <r>
      <rPr>
        <vertAlign val="subscript"/>
        <sz val="12"/>
        <color theme="1"/>
        <rFont val="Calibri (Body)"/>
      </rPr>
      <t>b</t>
    </r>
    <r>
      <rPr>
        <sz val="12"/>
        <color theme="1"/>
        <rFont val="Calibri"/>
        <family val="2"/>
        <scheme val="minor"/>
      </rPr>
      <t xml:space="preserve"> [kN]</t>
    </r>
  </si>
  <si>
    <t>Δ [m]</t>
  </si>
  <si>
    <r>
      <t xml:space="preserve">SDOF Yield displacement, </t>
    </r>
    <r>
      <rPr>
        <i/>
        <sz val="12"/>
        <rFont val="Calibri"/>
        <family val="2"/>
        <scheme val="minor"/>
      </rPr>
      <t>Δ</t>
    </r>
    <r>
      <rPr>
        <vertAlign val="subscript"/>
        <sz val="12"/>
        <rFont val="Calibri (Body)"/>
      </rPr>
      <t>y</t>
    </r>
    <r>
      <rPr>
        <sz val="12"/>
        <rFont val="Calibri (Body)"/>
      </rPr>
      <t xml:space="preserve">* =  </t>
    </r>
  </si>
  <si>
    <r>
      <rPr>
        <b/>
        <i/>
        <sz val="12"/>
        <color theme="1"/>
        <rFont val="Calibri"/>
        <family val="2"/>
        <scheme val="minor"/>
      </rPr>
      <t>Sa</t>
    </r>
    <r>
      <rPr>
        <b/>
        <sz val="12"/>
        <color theme="1"/>
        <rFont val="Calibri"/>
        <family val="2"/>
        <scheme val="minor"/>
      </rPr>
      <t>(</t>
    </r>
    <r>
      <rPr>
        <b/>
        <i/>
        <sz val="12"/>
        <color theme="1"/>
        <rFont val="Calibri"/>
        <family val="2"/>
        <scheme val="minor"/>
      </rPr>
      <t>T</t>
    </r>
    <r>
      <rPr>
        <b/>
        <vertAlign val="subscript"/>
        <sz val="12"/>
        <color theme="1"/>
        <rFont val="Calibri (Body)"/>
      </rPr>
      <t>1</t>
    </r>
    <r>
      <rPr>
        <b/>
        <sz val="12"/>
        <color theme="1"/>
        <rFont val="Calibri"/>
        <family val="2"/>
        <scheme val="minor"/>
      </rPr>
      <t>) [g]</t>
    </r>
  </si>
  <si>
    <t>Results</t>
  </si>
  <si>
    <t>Choose % to find secant but careful it is still finding a value in intial branch</t>
  </si>
  <si>
    <r>
      <t xml:space="preserve">Median collapse intensity, </t>
    </r>
    <r>
      <rPr>
        <i/>
        <sz val="12"/>
        <rFont val="Calibri"/>
        <family val="2"/>
        <scheme val="minor"/>
      </rPr>
      <t>Sa</t>
    </r>
    <r>
      <rPr>
        <sz val="12"/>
        <rFont val="Calibri"/>
        <family val="2"/>
        <scheme val="minor"/>
      </rPr>
      <t>(</t>
    </r>
    <r>
      <rPr>
        <i/>
        <sz val="12"/>
        <rFont val="Calibri"/>
        <family val="2"/>
        <scheme val="minor"/>
      </rPr>
      <t>T</t>
    </r>
    <r>
      <rPr>
        <vertAlign val="subscript"/>
        <sz val="12"/>
        <rFont val="Calibri (Body)"/>
      </rPr>
      <t>1</t>
    </r>
    <r>
      <rPr>
        <sz val="12"/>
        <rFont val="Calibri"/>
        <family val="2"/>
        <scheme val="minor"/>
      </rPr>
      <t>) =</t>
    </r>
  </si>
  <si>
    <r>
      <t>Dispersion, β</t>
    </r>
    <r>
      <rPr>
        <vertAlign val="subscript"/>
        <sz val="12"/>
        <rFont val="Calibri (Body)"/>
      </rPr>
      <t>RTR</t>
    </r>
    <r>
      <rPr>
        <sz val="12"/>
        <rFont val="Calibri"/>
        <family val="2"/>
        <scheme val="minor"/>
      </rPr>
      <t xml:space="preserve"> = </t>
    </r>
  </si>
  <si>
    <t>Make monotonically increasing</t>
  </si>
  <si>
    <t>a16,h</t>
  </si>
  <si>
    <t>b16,h</t>
  </si>
  <si>
    <t>a50,h</t>
  </si>
  <si>
    <t>b50,h</t>
  </si>
  <si>
    <t>a84,h</t>
  </si>
  <si>
    <t>b84,h</t>
  </si>
  <si>
    <t>a16,s</t>
  </si>
  <si>
    <t>b16,s</t>
  </si>
  <si>
    <t>a50,s</t>
  </si>
  <si>
    <t>b50,s</t>
  </si>
  <si>
    <t>a84,s</t>
  </si>
  <si>
    <t>b84,s</t>
  </si>
  <si>
    <t>a16,rp</t>
  </si>
  <si>
    <t>b16,rp</t>
  </si>
  <si>
    <t>a50,rp</t>
  </si>
  <si>
    <t>b50,rp</t>
  </si>
  <si>
    <t>a84,rp</t>
  </si>
  <si>
    <t>b84,rp</t>
  </si>
  <si>
    <t>a16,sd</t>
  </si>
  <si>
    <t>b16,sd</t>
  </si>
  <si>
    <t>a50,sd</t>
  </si>
  <si>
    <t>b50,sd</t>
  </si>
  <si>
    <t>a84,sd</t>
  </si>
  <si>
    <t>b84,sd</t>
  </si>
  <si>
    <t>Median collapse intensity, AvgSa=</t>
  </si>
  <si>
    <t>Modal analysis should be updated manually along with the formulas in cells O8, O9 and 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</si>
</sst>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3" x14ac:knownFonts="1">
    <font>
      <sz val="12"/>
      <color theme="1"/>
      <name val="Calibri"/>
      <family val="2"/>
      <scheme val="minor"/>
    </font>
    <font>
      <b/>
      <sz val="12"/>
      <name val="Arial"/>
      <family val="2"/>
    </font>
    <font>
      <b/>
      <sz val="10"/>
      <name val="Arial"/>
      <family val="2"/>
    </font>
    <font>
      <sz val="12"/>
      <name val="Calibri"/>
      <family val="2"/>
      <scheme val="minor"/>
    </font>
    <font>
      <i/>
      <sz val="12"/>
      <color theme="1"/>
      <name val="Calibri"/>
      <family val="2"/>
      <scheme val="minor"/>
    </font>
    <font>
      <sz val="10"/>
      <color theme="1"/>
      <name val="Courier"/>
      <family val="1"/>
    </font>
    <font>
      <u/>
      <sz val="12"/>
      <color theme="10"/>
      <name val="Calibri"/>
      <family val="2"/>
      <scheme val="minor"/>
    </font>
    <font>
      <u/>
      <sz val="12"/>
      <color theme="11"/>
      <name val="Calibri"/>
      <family val="2"/>
      <scheme val="minor"/>
    </font>
    <font>
      <b/>
      <sz val="12"/>
      <color theme="1"/>
      <name val="Calibri"/>
      <family val="2"/>
      <scheme val="minor"/>
    </font>
    <font>
      <sz val="12"/>
      <color rgb="FFFF0000"/>
      <name val="Calibri"/>
      <family val="2"/>
      <scheme val="minor"/>
    </font>
    <font>
      <vertAlign val="subscript"/>
      <sz val="12"/>
      <color theme="1"/>
      <name val="Calibri (Body)"/>
    </font>
    <font>
      <vertAlign val="subscript"/>
      <sz val="12"/>
      <name val="Calibri (Body)"/>
    </font>
    <font>
      <i/>
      <sz val="12"/>
      <name val="Calibri"/>
      <family val="2"/>
      <scheme val="minor"/>
    </font>
    <font>
      <i/>
      <sz val="12"/>
      <color theme="1"/>
      <name val="Calibri (Body)"/>
    </font>
    <font>
      <b/>
      <sz val="16"/>
      <color theme="1"/>
      <name val="Calibri"/>
      <family val="2"/>
      <scheme val="minor"/>
    </font>
    <font>
      <sz val="12"/>
      <name val="Calibri (Body)"/>
    </font>
    <font>
      <b/>
      <u/>
      <sz val="12"/>
      <color theme="1"/>
      <name val="Calibri"/>
      <family val="2"/>
      <scheme val="minor"/>
    </font>
    <font>
      <b/>
      <vertAlign val="subscript"/>
      <sz val="12"/>
      <color theme="1"/>
      <name val="Calibri (Body)"/>
    </font>
    <font>
      <b/>
      <i/>
      <sz val="12"/>
      <color theme="1"/>
      <name val="Calibri"/>
      <family val="2"/>
      <scheme val="minor"/>
    </font>
    <font>
      <sz val="12"/>
      <color rgb="FF000000"/>
      <name val="Calibri"/>
      <family val="2"/>
      <scheme val="minor"/>
    </font>
    <font>
      <b/>
      <sz val="12"/>
      <color rgb="FF000000"/>
      <name val="Calibri"/>
      <family val="2"/>
      <scheme val="minor"/>
    </font>
    <font>
      <sz val="10"/>
      <color rgb="FF000000"/>
      <name val="Tahoma"/>
      <family val="2"/>
    </font>
    <font>
      <b/>
      <sz val="10"/>
      <color rgb="FF000000"/>
      <name val="Tahoma"/>
      <family val="2"/>
    </font>
  </fonts>
  <fills count="3">
    <fill>
      <patternFill patternType="none"/>
    </fill>
    <fill>
      <patternFill patternType="gray125"/>
    </fill>
    <fill>
      <patternFill patternType="solid">
        <fgColor rgb="FFFFFF00"/>
        <bgColor indexed="64"/>
      </patternFill>
    </fill>
  </fills>
  <borders count="31">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bottom style="thin">
        <color indexed="64"/>
      </bottom>
      <diagonal/>
    </border>
    <border>
      <left/>
      <right style="thin">
        <color rgb="FF000000"/>
      </right>
      <top style="thin">
        <color auto="1"/>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24">
    <xf numFmtId="0" fontId="0" fillId="0" borderId="0" xfId="0"/>
    <xf numFmtId="0" fontId="0" fillId="0" borderId="0" xfId="0" applyAlignment="1">
      <alignment horizontal="center"/>
    </xf>
    <xf numFmtId="0" fontId="0" fillId="0" borderId="0" xfId="0" applyAlignment="1">
      <alignment horizontal="right"/>
    </xf>
    <xf numFmtId="165" fontId="0" fillId="0" borderId="0" xfId="0" applyNumberFormat="1" applyAlignment="1">
      <alignment horizontal="center"/>
    </xf>
    <xf numFmtId="0" fontId="0" fillId="0" borderId="0" xfId="0" applyBorder="1"/>
    <xf numFmtId="0" fontId="1" fillId="0" borderId="0" xfId="0" applyFont="1" applyBorder="1" applyAlignment="1">
      <alignment horizontal="center"/>
    </xf>
    <xf numFmtId="0" fontId="2" fillId="0" borderId="0" xfId="0" applyFont="1" applyBorder="1" applyAlignment="1">
      <alignment horizontal="center"/>
    </xf>
    <xf numFmtId="0" fontId="0" fillId="0" borderId="0" xfId="0" applyBorder="1" applyAlignment="1">
      <alignment horizontal="center"/>
    </xf>
    <xf numFmtId="1" fontId="0" fillId="0" borderId="0" xfId="0" applyNumberFormat="1" applyBorder="1" applyAlignment="1">
      <alignment horizontal="center"/>
    </xf>
    <xf numFmtId="11" fontId="0" fillId="0" borderId="0" xfId="0" applyNumberFormat="1" applyBorder="1" applyAlignment="1">
      <alignment horizontal="center"/>
    </xf>
    <xf numFmtId="2" fontId="0" fillId="0" borderId="0" xfId="0" applyNumberFormat="1" applyBorder="1" applyAlignment="1">
      <alignment horizontal="center"/>
    </xf>
    <xf numFmtId="11" fontId="0" fillId="0" borderId="0" xfId="0" applyNumberFormat="1" applyBorder="1"/>
    <xf numFmtId="0" fontId="0" fillId="0" borderId="0" xfId="0" applyFont="1" applyBorder="1" applyAlignment="1">
      <alignment horizontal="center"/>
    </xf>
    <xf numFmtId="1" fontId="0" fillId="0" borderId="0" xfId="0" applyNumberFormat="1" applyFont="1" applyBorder="1" applyAlignment="1">
      <alignment horizontal="center"/>
    </xf>
    <xf numFmtId="11" fontId="0" fillId="0" borderId="0" xfId="0" applyNumberFormat="1" applyFont="1" applyBorder="1" applyAlignment="1">
      <alignment horizontal="center"/>
    </xf>
    <xf numFmtId="2" fontId="0" fillId="0" borderId="0" xfId="0" applyNumberFormat="1" applyFont="1" applyBorder="1" applyAlignment="1">
      <alignment horizontal="center"/>
    </xf>
    <xf numFmtId="164" fontId="0" fillId="0" borderId="0" xfId="0" applyNumberFormat="1" applyFont="1" applyBorder="1" applyAlignment="1">
      <alignment horizontal="center"/>
    </xf>
    <xf numFmtId="3" fontId="0" fillId="0" borderId="0" xfId="0" applyNumberFormat="1" applyFont="1" applyBorder="1" applyAlignment="1">
      <alignment horizontal="center"/>
    </xf>
    <xf numFmtId="0" fontId="3" fillId="0" borderId="0" xfId="0" applyFont="1" applyBorder="1" applyAlignment="1">
      <alignment horizontal="center"/>
    </xf>
    <xf numFmtId="2" fontId="3" fillId="0" borderId="0" xfId="0" applyNumberFormat="1"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5" fillId="0" borderId="0" xfId="0" applyFont="1"/>
    <xf numFmtId="0" fontId="3" fillId="2" borderId="0" xfId="0" applyFont="1" applyFill="1" applyBorder="1" applyAlignment="1">
      <alignment horizontal="center"/>
    </xf>
    <xf numFmtId="0" fontId="0" fillId="2" borderId="0" xfId="0" applyFont="1" applyFill="1" applyBorder="1" applyAlignment="1">
      <alignment horizontal="center"/>
    </xf>
    <xf numFmtId="2" fontId="0" fillId="0" borderId="0" xfId="0" applyNumberFormat="1"/>
    <xf numFmtId="0" fontId="0" fillId="0" borderId="0" xfId="0" applyFont="1" applyBorder="1" applyAlignment="1">
      <alignment horizontal="center"/>
    </xf>
    <xf numFmtId="1" fontId="0" fillId="0" borderId="0" xfId="0" applyNumberFormat="1" applyAlignment="1">
      <alignment horizontal="center"/>
    </xf>
    <xf numFmtId="166" fontId="0" fillId="0" borderId="0" xfId="0" applyNumberFormat="1" applyAlignment="1">
      <alignment horizontal="center"/>
    </xf>
    <xf numFmtId="0" fontId="0" fillId="0" borderId="9" xfId="0" applyBorder="1"/>
    <xf numFmtId="0" fontId="9" fillId="0" borderId="0" xfId="0" applyFont="1" applyBorder="1" applyAlignment="1"/>
    <xf numFmtId="0" fontId="9" fillId="0" borderId="0" xfId="0" applyFont="1" applyFill="1" applyBorder="1"/>
    <xf numFmtId="0" fontId="8" fillId="0" borderId="10" xfId="0" applyFont="1" applyBorder="1" applyAlignment="1">
      <alignment horizontal="center"/>
    </xf>
    <xf numFmtId="0" fontId="14" fillId="0" borderId="0" xfId="0" applyFont="1"/>
    <xf numFmtId="0" fontId="4" fillId="0" borderId="9" xfId="0" applyFont="1" applyBorder="1" applyAlignment="1">
      <alignment horizontal="center"/>
    </xf>
    <xf numFmtId="0" fontId="0" fillId="0" borderId="12" xfId="0" applyBorder="1"/>
    <xf numFmtId="0" fontId="4" fillId="0" borderId="13" xfId="0" applyFont="1" applyBorder="1" applyAlignment="1">
      <alignment horizontal="right"/>
    </xf>
    <xf numFmtId="0" fontId="4" fillId="0" borderId="14" xfId="0" applyFont="1" applyBorder="1" applyAlignment="1">
      <alignment horizontal="right"/>
    </xf>
    <xf numFmtId="2" fontId="0" fillId="0" borderId="12" xfId="0" applyNumberFormat="1" applyBorder="1" applyAlignment="1">
      <alignment horizontal="center"/>
    </xf>
    <xf numFmtId="2" fontId="0" fillId="0" borderId="13" xfId="0" applyNumberFormat="1" applyFill="1" applyBorder="1" applyAlignment="1">
      <alignment horizontal="center"/>
    </xf>
    <xf numFmtId="2" fontId="0" fillId="0" borderId="13" xfId="0" applyNumberFormat="1" applyBorder="1" applyAlignment="1">
      <alignment horizontal="center"/>
    </xf>
    <xf numFmtId="2" fontId="0" fillId="2" borderId="13" xfId="0" applyNumberFormat="1" applyFill="1" applyBorder="1" applyAlignment="1">
      <alignment horizontal="center"/>
    </xf>
    <xf numFmtId="2" fontId="0" fillId="0" borderId="14" xfId="0" applyNumberFormat="1" applyFill="1" applyBorder="1" applyAlignment="1">
      <alignment horizontal="center"/>
    </xf>
    <xf numFmtId="166" fontId="0" fillId="0" borderId="12" xfId="0" applyNumberFormat="1" applyBorder="1" applyAlignment="1">
      <alignment horizontal="center"/>
    </xf>
    <xf numFmtId="166" fontId="0" fillId="2" borderId="13" xfId="0" applyNumberFormat="1" applyFill="1" applyBorder="1" applyAlignment="1">
      <alignment horizontal="center"/>
    </xf>
    <xf numFmtId="2" fontId="0" fillId="0" borderId="14" xfId="0" applyNumberForma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3" xfId="0" applyBorder="1"/>
    <xf numFmtId="0" fontId="0" fillId="0" borderId="14" xfId="0" applyBorder="1"/>
    <xf numFmtId="0" fontId="4" fillId="0" borderId="14" xfId="0" applyFont="1" applyBorder="1" applyAlignment="1">
      <alignment horizontal="center"/>
    </xf>
    <xf numFmtId="0" fontId="0" fillId="0" borderId="9" xfId="0" applyFont="1" applyBorder="1" applyAlignment="1">
      <alignment horizontal="center"/>
    </xf>
    <xf numFmtId="0" fontId="3" fillId="0" borderId="9" xfId="0" applyFont="1" applyBorder="1" applyAlignment="1">
      <alignment horizontal="center"/>
    </xf>
    <xf numFmtId="0" fontId="0" fillId="0" borderId="0" xfId="0" applyFont="1" applyFill="1" applyBorder="1" applyAlignment="1">
      <alignment horizontal="center"/>
    </xf>
    <xf numFmtId="0" fontId="0" fillId="0" borderId="12" xfId="0" applyFont="1" applyBorder="1" applyAlignment="1">
      <alignment horizontal="center"/>
    </xf>
    <xf numFmtId="0" fontId="0" fillId="0" borderId="12" xfId="0" applyFont="1" applyBorder="1"/>
    <xf numFmtId="0" fontId="3" fillId="0" borderId="0" xfId="0" applyFont="1" applyBorder="1" applyAlignment="1">
      <alignment horizontal="right"/>
    </xf>
    <xf numFmtId="0" fontId="16" fillId="0" borderId="0" xfId="0" applyFont="1"/>
    <xf numFmtId="0" fontId="3" fillId="0" borderId="0" xfId="0" applyFont="1" applyFill="1" applyBorder="1" applyAlignment="1">
      <alignment horizontal="center"/>
    </xf>
    <xf numFmtId="2" fontId="3" fillId="0" borderId="0" xfId="0" applyNumberFormat="1" applyFont="1" applyFill="1" applyBorder="1" applyAlignment="1">
      <alignment horizontal="center"/>
    </xf>
    <xf numFmtId="0" fontId="0" fillId="0" borderId="15" xfId="0" applyBorder="1"/>
    <xf numFmtId="0" fontId="0" fillId="0" borderId="16" xfId="0" applyBorder="1" applyAlignment="1">
      <alignment horizontal="right"/>
    </xf>
    <xf numFmtId="9" fontId="0" fillId="2" borderId="16" xfId="0" applyNumberFormat="1" applyFill="1" applyBorder="1"/>
    <xf numFmtId="0" fontId="0" fillId="0" borderId="17" xfId="0" applyBorder="1"/>
    <xf numFmtId="0" fontId="0" fillId="0" borderId="18" xfId="0" applyBorder="1" applyAlignment="1">
      <alignment horizontal="right"/>
    </xf>
    <xf numFmtId="0" fontId="0" fillId="0" borderId="0" xfId="0" applyBorder="1" applyAlignment="1">
      <alignment horizontal="right"/>
    </xf>
    <xf numFmtId="1" fontId="0" fillId="0" borderId="0" xfId="0" applyNumberFormat="1" applyBorder="1"/>
    <xf numFmtId="0" fontId="0" fillId="0" borderId="19" xfId="0" applyBorder="1"/>
    <xf numFmtId="0" fontId="0" fillId="0" borderId="18" xfId="0" applyBorder="1"/>
    <xf numFmtId="0" fontId="0" fillId="0" borderId="20" xfId="0" applyBorder="1"/>
    <xf numFmtId="0" fontId="0" fillId="0" borderId="21" xfId="0" applyBorder="1" applyAlignment="1">
      <alignment horizontal="right"/>
    </xf>
    <xf numFmtId="10" fontId="0" fillId="0" borderId="21" xfId="0" applyNumberFormat="1" applyBorder="1"/>
    <xf numFmtId="0" fontId="0" fillId="0" borderId="22" xfId="0" applyBorder="1"/>
    <xf numFmtId="0" fontId="3" fillId="0" borderId="0" xfId="0" applyFont="1" applyFill="1" applyBorder="1" applyAlignment="1">
      <alignment horizontal="right"/>
    </xf>
    <xf numFmtId="0" fontId="3" fillId="0" borderId="16" xfId="0" applyFont="1" applyBorder="1" applyAlignment="1">
      <alignment horizontal="right"/>
    </xf>
    <xf numFmtId="166" fontId="0" fillId="0" borderId="16" xfId="0" applyNumberFormat="1" applyFont="1" applyBorder="1" applyAlignment="1">
      <alignment horizontal="center"/>
    </xf>
    <xf numFmtId="0" fontId="0" fillId="0" borderId="17" xfId="0" applyFont="1" applyBorder="1" applyAlignment="1">
      <alignment horizontal="left"/>
    </xf>
    <xf numFmtId="164" fontId="0" fillId="0" borderId="0" xfId="0" applyNumberFormat="1" applyBorder="1" applyAlignment="1">
      <alignment horizontal="center"/>
    </xf>
    <xf numFmtId="0" fontId="0" fillId="0" borderId="19" xfId="0" applyFill="1" applyBorder="1"/>
    <xf numFmtId="0" fontId="0" fillId="0" borderId="19" xfId="0" applyBorder="1" applyAlignment="1">
      <alignment horizontal="left"/>
    </xf>
    <xf numFmtId="0" fontId="0" fillId="0" borderId="19" xfId="0" applyFont="1" applyBorder="1" applyAlignment="1">
      <alignment horizontal="left"/>
    </xf>
    <xf numFmtId="166" fontId="0" fillId="0" borderId="0" xfId="0" applyNumberFormat="1" applyBorder="1" applyAlignment="1">
      <alignment horizontal="center"/>
    </xf>
    <xf numFmtId="0" fontId="0" fillId="0" borderId="19" xfId="0" applyFont="1" applyFill="1" applyBorder="1" applyAlignment="1">
      <alignment horizontal="left"/>
    </xf>
    <xf numFmtId="2" fontId="0" fillId="0" borderId="21" xfId="0" applyNumberFormat="1" applyFont="1" applyBorder="1" applyAlignment="1">
      <alignment horizontal="center"/>
    </xf>
    <xf numFmtId="0" fontId="0" fillId="0" borderId="22" xfId="0" applyFont="1" applyBorder="1" applyAlignment="1">
      <alignment horizontal="left"/>
    </xf>
    <xf numFmtId="0" fontId="0" fillId="0" borderId="10" xfId="0" applyBorder="1"/>
    <xf numFmtId="0" fontId="0" fillId="0" borderId="11" xfId="0" applyBorder="1"/>
    <xf numFmtId="0" fontId="3" fillId="0" borderId="21" xfId="0" applyFont="1" applyBorder="1" applyAlignment="1">
      <alignment horizontal="right"/>
    </xf>
    <xf numFmtId="166" fontId="3" fillId="2" borderId="13" xfId="0" applyNumberFormat="1" applyFont="1" applyFill="1" applyBorder="1" applyAlignment="1">
      <alignment horizontal="center"/>
    </xf>
    <xf numFmtId="0" fontId="0" fillId="0" borderId="10" xfId="0" applyBorder="1" applyAlignment="1">
      <alignment horizontal="center"/>
    </xf>
    <xf numFmtId="0" fontId="0" fillId="0" borderId="23" xfId="0" applyBorder="1" applyAlignment="1">
      <alignment horizontal="center"/>
    </xf>
    <xf numFmtId="0" fontId="0" fillId="0" borderId="11"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11" fontId="0" fillId="0" borderId="5" xfId="0" applyNumberFormat="1" applyBorder="1" applyAlignment="1">
      <alignment horizontal="center"/>
    </xf>
    <xf numFmtId="0" fontId="4" fillId="0" borderId="10" xfId="0" applyFont="1" applyBorder="1" applyAlignment="1">
      <alignment horizontal="center"/>
    </xf>
    <xf numFmtId="0" fontId="4" fillId="0" borderId="23" xfId="0" applyFont="1" applyBorder="1" applyAlignment="1">
      <alignment horizontal="center"/>
    </xf>
    <xf numFmtId="0" fontId="4" fillId="0" borderId="11" xfId="0" applyFont="1" applyBorder="1" applyAlignment="1">
      <alignment horizontal="center"/>
    </xf>
    <xf numFmtId="0" fontId="4" fillId="0" borderId="0" xfId="0" applyFont="1" applyAlignment="1">
      <alignment horizontal="center"/>
    </xf>
    <xf numFmtId="0" fontId="0" fillId="0" borderId="4" xfId="0" applyBorder="1"/>
    <xf numFmtId="0" fontId="0" fillId="0" borderId="5" xfId="0" applyBorder="1"/>
    <xf numFmtId="0" fontId="4" fillId="0" borderId="4" xfId="0" applyFont="1" applyBorder="1" applyAlignment="1">
      <alignment horizontal="center"/>
    </xf>
    <xf numFmtId="0" fontId="5" fillId="0" borderId="5" xfId="0" applyFont="1" applyBorder="1"/>
    <xf numFmtId="0" fontId="0" fillId="0" borderId="4" xfId="0" applyBorder="1" applyAlignment="1">
      <alignment horizontal="right"/>
    </xf>
    <xf numFmtId="165" fontId="0" fillId="0" borderId="0" xfId="0" applyNumberFormat="1" applyBorder="1" applyAlignment="1">
      <alignment horizontal="center"/>
    </xf>
    <xf numFmtId="0" fontId="4" fillId="0" borderId="24" xfId="0" applyFon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6" xfId="0" applyBorder="1" applyAlignment="1">
      <alignment horizontal="right"/>
    </xf>
    <xf numFmtId="0" fontId="0" fillId="0" borderId="7" xfId="0" applyBorder="1"/>
    <xf numFmtId="0" fontId="0" fillId="0" borderId="8" xfId="0" applyBorder="1"/>
    <xf numFmtId="2" fontId="0" fillId="0" borderId="23" xfId="0" applyNumberFormat="1" applyBorder="1" applyAlignment="1">
      <alignment horizontal="center"/>
    </xf>
    <xf numFmtId="2" fontId="0" fillId="0" borderId="11" xfId="0" applyNumberFormat="1" applyBorder="1" applyAlignment="1">
      <alignment horizontal="center"/>
    </xf>
    <xf numFmtId="2" fontId="0" fillId="0" borderId="16" xfId="0" applyNumberFormat="1" applyBorder="1" applyAlignment="1">
      <alignment horizontal="center"/>
    </xf>
    <xf numFmtId="2" fontId="0" fillId="0" borderId="17" xfId="0" applyNumberFormat="1" applyBorder="1" applyAlignment="1">
      <alignment horizontal="center"/>
    </xf>
    <xf numFmtId="2" fontId="0" fillId="0" borderId="19" xfId="0" applyNumberFormat="1" applyBorder="1" applyAlignment="1">
      <alignment horizontal="center"/>
    </xf>
    <xf numFmtId="2" fontId="0" fillId="0" borderId="21" xfId="0" applyNumberFormat="1" applyBorder="1" applyAlignment="1">
      <alignment horizontal="center"/>
    </xf>
    <xf numFmtId="2" fontId="0" fillId="0" borderId="22" xfId="0" applyNumberFormat="1" applyBorder="1" applyAlignment="1">
      <alignment horizontal="center"/>
    </xf>
    <xf numFmtId="9" fontId="0" fillId="0" borderId="10" xfId="0" applyNumberFormat="1" applyBorder="1" applyAlignment="1">
      <alignment horizontal="center"/>
    </xf>
    <xf numFmtId="9" fontId="0" fillId="0" borderId="23" xfId="0" applyNumberFormat="1" applyBorder="1" applyAlignment="1">
      <alignment horizontal="center"/>
    </xf>
    <xf numFmtId="9" fontId="0" fillId="0" borderId="11" xfId="0" applyNumberFormat="1" applyBorder="1" applyAlignment="1">
      <alignment horizontal="center"/>
    </xf>
    <xf numFmtId="2" fontId="0" fillId="0" borderId="15"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2" fontId="0" fillId="0" borderId="10" xfId="0" applyNumberFormat="1" applyBorder="1" applyAlignment="1">
      <alignment horizontal="center"/>
    </xf>
    <xf numFmtId="0" fontId="8" fillId="0" borderId="15" xfId="0" applyFont="1" applyBorder="1" applyAlignment="1">
      <alignment horizontal="center"/>
    </xf>
    <xf numFmtId="166" fontId="0" fillId="0" borderId="14" xfId="0" applyNumberFormat="1" applyFill="1" applyBorder="1" applyAlignment="1">
      <alignment horizontal="center"/>
    </xf>
    <xf numFmtId="9" fontId="0" fillId="0" borderId="16" xfId="0" applyNumberFormat="1" applyBorder="1" applyAlignment="1">
      <alignment horizontal="center"/>
    </xf>
    <xf numFmtId="9" fontId="0" fillId="0" borderId="17" xfId="0" applyNumberFormat="1" applyBorder="1" applyAlignment="1">
      <alignment horizontal="center"/>
    </xf>
    <xf numFmtId="0" fontId="0" fillId="0" borderId="0" xfId="0" applyNumberFormat="1" applyBorder="1" applyAlignment="1">
      <alignment horizontal="center"/>
    </xf>
    <xf numFmtId="0" fontId="0" fillId="0" borderId="19" xfId="0" applyNumberFormat="1" applyBorder="1" applyAlignment="1">
      <alignment horizontal="center"/>
    </xf>
    <xf numFmtId="0" fontId="0" fillId="0" borderId="21" xfId="0" applyBorder="1"/>
    <xf numFmtId="0" fontId="0" fillId="0" borderId="23" xfId="0" applyBorder="1"/>
    <xf numFmtId="0" fontId="0" fillId="0" borderId="16" xfId="0" applyBorder="1"/>
    <xf numFmtId="0" fontId="0" fillId="0" borderId="21" xfId="0" applyBorder="1" applyAlignment="1">
      <alignment horizontal="center"/>
    </xf>
    <xf numFmtId="166" fontId="0" fillId="0" borderId="15" xfId="0" applyNumberFormat="1" applyBorder="1" applyAlignment="1">
      <alignment horizontal="center"/>
    </xf>
    <xf numFmtId="166" fontId="0" fillId="0" borderId="20" xfId="0" applyNumberFormat="1" applyBorder="1" applyAlignment="1">
      <alignment horizontal="center"/>
    </xf>
    <xf numFmtId="166" fontId="0" fillId="0" borderId="18" xfId="0" applyNumberFormat="1" applyBorder="1" applyAlignment="1">
      <alignment horizontal="center"/>
    </xf>
    <xf numFmtId="166" fontId="0" fillId="0" borderId="10" xfId="0" applyNumberFormat="1" applyBorder="1" applyAlignment="1">
      <alignment horizontal="center"/>
    </xf>
    <xf numFmtId="0" fontId="3" fillId="0" borderId="16" xfId="0" applyFont="1" applyFill="1" applyBorder="1" applyAlignment="1">
      <alignment horizontal="right"/>
    </xf>
    <xf numFmtId="0" fontId="0" fillId="0" borderId="17" xfId="0" applyFont="1" applyFill="1" applyBorder="1" applyAlignment="1">
      <alignment horizontal="left"/>
    </xf>
    <xf numFmtId="0" fontId="3" fillId="0" borderId="21" xfId="0" applyFont="1" applyFill="1" applyBorder="1" applyAlignment="1">
      <alignment horizontal="right"/>
    </xf>
    <xf numFmtId="0" fontId="0" fillId="0" borderId="21" xfId="0" applyBorder="1" applyAlignment="1">
      <alignment horizontal="center"/>
    </xf>
    <xf numFmtId="9" fontId="0" fillId="0" borderId="0" xfId="0" applyNumberFormat="1" applyBorder="1" applyAlignment="1">
      <alignment horizontal="center"/>
    </xf>
    <xf numFmtId="0" fontId="8" fillId="0" borderId="0" xfId="0" applyFont="1" applyBorder="1" applyAlignment="1">
      <alignment horizontal="center"/>
    </xf>
    <xf numFmtId="0" fontId="0" fillId="0" borderId="27" xfId="0" applyBorder="1" applyAlignment="1">
      <alignment horizontal="center"/>
    </xf>
    <xf numFmtId="11" fontId="0" fillId="0" borderId="26" xfId="0" applyNumberFormat="1" applyBorder="1" applyAlignment="1">
      <alignment horizontal="center"/>
    </xf>
    <xf numFmtId="11" fontId="0" fillId="0" borderId="21" xfId="0" applyNumberFormat="1" applyBorder="1" applyAlignment="1">
      <alignment horizontal="center"/>
    </xf>
    <xf numFmtId="0" fontId="0" fillId="0" borderId="9" xfId="0" applyBorder="1" applyAlignment="1">
      <alignment horizontal="center"/>
    </xf>
    <xf numFmtId="0" fontId="0" fillId="0" borderId="27" xfId="0" applyBorder="1" applyAlignment="1">
      <alignment horizontal="right"/>
    </xf>
    <xf numFmtId="165" fontId="0" fillId="0" borderId="21" xfId="0" applyNumberFormat="1" applyBorder="1" applyAlignment="1">
      <alignment horizontal="center"/>
    </xf>
    <xf numFmtId="0" fontId="0" fillId="0" borderId="26" xfId="0" applyBorder="1"/>
    <xf numFmtId="0" fontId="19" fillId="0" borderId="0" xfId="0" applyFont="1"/>
    <xf numFmtId="9" fontId="19" fillId="0" borderId="10" xfId="0" applyNumberFormat="1" applyFont="1" applyBorder="1" applyAlignment="1">
      <alignment horizontal="center"/>
    </xf>
    <xf numFmtId="9" fontId="19" fillId="0" borderId="23" xfId="0" applyNumberFormat="1" applyFont="1" applyBorder="1" applyAlignment="1">
      <alignment horizontal="center"/>
    </xf>
    <xf numFmtId="9" fontId="19" fillId="0" borderId="11" xfId="0" applyNumberFormat="1" applyFont="1" applyBorder="1" applyAlignment="1">
      <alignment horizontal="center"/>
    </xf>
    <xf numFmtId="0" fontId="19" fillId="0" borderId="10" xfId="0" applyFont="1" applyBorder="1" applyAlignment="1">
      <alignment horizontal="center"/>
    </xf>
    <xf numFmtId="0" fontId="19" fillId="0" borderId="18" xfId="0" applyFont="1" applyBorder="1" applyAlignment="1">
      <alignment horizontal="center"/>
    </xf>
    <xf numFmtId="0" fontId="19" fillId="0" borderId="15" xfId="0" applyFont="1" applyBorder="1" applyAlignment="1">
      <alignment horizontal="center"/>
    </xf>
    <xf numFmtId="0" fontId="19" fillId="0" borderId="16" xfId="0" applyFont="1" applyBorder="1" applyAlignment="1">
      <alignment horizontal="center"/>
    </xf>
    <xf numFmtId="0" fontId="19" fillId="0" borderId="17" xfId="0" applyFont="1" applyBorder="1" applyAlignment="1">
      <alignment horizontal="center"/>
    </xf>
    <xf numFmtId="0" fontId="19" fillId="0" borderId="20" xfId="0" applyFont="1" applyBorder="1" applyAlignment="1">
      <alignment horizontal="center"/>
    </xf>
    <xf numFmtId="2" fontId="19" fillId="0" borderId="18" xfId="0" applyNumberFormat="1" applyFont="1" applyBorder="1" applyAlignment="1">
      <alignment horizontal="center"/>
    </xf>
    <xf numFmtId="2" fontId="19" fillId="0" borderId="19" xfId="0" applyNumberFormat="1" applyFont="1" applyBorder="1" applyAlignment="1">
      <alignment horizontal="center"/>
    </xf>
    <xf numFmtId="2" fontId="19" fillId="0" borderId="20" xfId="0" applyNumberFormat="1" applyFont="1" applyBorder="1" applyAlignment="1">
      <alignment horizontal="center"/>
    </xf>
    <xf numFmtId="2" fontId="19" fillId="0" borderId="21" xfId="0" applyNumberFormat="1" applyFont="1" applyBorder="1" applyAlignment="1">
      <alignment horizontal="center"/>
    </xf>
    <xf numFmtId="2" fontId="19" fillId="0" borderId="22" xfId="0" applyNumberFormat="1" applyFont="1" applyBorder="1" applyAlignment="1">
      <alignment horizontal="center"/>
    </xf>
    <xf numFmtId="0" fontId="20" fillId="0" borderId="20" xfId="0" applyFont="1" applyBorder="1" applyAlignment="1">
      <alignment horizontal="center"/>
    </xf>
    <xf numFmtId="2" fontId="19" fillId="0" borderId="15" xfId="0" applyNumberFormat="1" applyFont="1" applyBorder="1" applyAlignment="1">
      <alignment horizontal="center"/>
    </xf>
    <xf numFmtId="0" fontId="19" fillId="0" borderId="0" xfId="0" applyFont="1" applyBorder="1" applyAlignment="1">
      <alignment horizontal="center"/>
    </xf>
    <xf numFmtId="0" fontId="19" fillId="0" borderId="19" xfId="0" applyFont="1" applyBorder="1" applyAlignment="1">
      <alignment horizontal="center"/>
    </xf>
    <xf numFmtId="2" fontId="19" fillId="0" borderId="0" xfId="0" applyNumberFormat="1" applyFont="1" applyBorder="1" applyAlignment="1">
      <alignment horizontal="center"/>
    </xf>
    <xf numFmtId="2" fontId="19" fillId="0" borderId="16" xfId="0" applyNumberFormat="1" applyFont="1" applyBorder="1" applyAlignment="1">
      <alignment horizontal="center"/>
    </xf>
    <xf numFmtId="2" fontId="19" fillId="0" borderId="17" xfId="0" applyNumberFormat="1" applyFont="1" applyBorder="1" applyAlignment="1">
      <alignment horizontal="center"/>
    </xf>
    <xf numFmtId="2" fontId="19" fillId="0" borderId="9" xfId="0" applyNumberFormat="1" applyFont="1" applyBorder="1" applyAlignment="1">
      <alignment horizontal="center"/>
    </xf>
    <xf numFmtId="166" fontId="0" fillId="0" borderId="14" xfId="0" applyNumberFormat="1" applyBorder="1" applyAlignment="1">
      <alignment horizontal="center"/>
    </xf>
    <xf numFmtId="166" fontId="0" fillId="0" borderId="13" xfId="0" applyNumberFormat="1" applyBorder="1" applyAlignment="1">
      <alignment horizontal="center"/>
    </xf>
    <xf numFmtId="166" fontId="0" fillId="0" borderId="9" xfId="0" applyNumberFormat="1" applyBorder="1" applyAlignment="1">
      <alignment horizontal="center"/>
    </xf>
    <xf numFmtId="166" fontId="0" fillId="0" borderId="22" xfId="0" applyNumberFormat="1" applyBorder="1" applyAlignment="1">
      <alignment horizontal="center"/>
    </xf>
    <xf numFmtId="166" fontId="0" fillId="0" borderId="19" xfId="0" applyNumberFormat="1" applyBorder="1" applyAlignment="1">
      <alignment horizontal="center"/>
    </xf>
    <xf numFmtId="166" fontId="0" fillId="0" borderId="17" xfId="0" applyNumberFormat="1" applyBorder="1" applyAlignment="1">
      <alignment horizontal="center"/>
    </xf>
    <xf numFmtId="2" fontId="3" fillId="2" borderId="0" xfId="0" applyNumberFormat="1" applyFont="1" applyFill="1" applyBorder="1" applyAlignment="1">
      <alignment horizontal="center"/>
    </xf>
    <xf numFmtId="0" fontId="14" fillId="0" borderId="0" xfId="0" applyFont="1" applyBorder="1" applyAlignment="1">
      <alignment horizontal="center"/>
    </xf>
    <xf numFmtId="0" fontId="0" fillId="0" borderId="9" xfId="0" applyFont="1" applyBorder="1" applyAlignment="1">
      <alignment horizontal="center"/>
    </xf>
    <xf numFmtId="0" fontId="0" fillId="0" borderId="0"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14" fillId="0" borderId="1" xfId="0" applyFont="1" applyBorder="1" applyAlignment="1">
      <alignment horizontal="center"/>
    </xf>
    <xf numFmtId="0" fontId="14" fillId="0" borderId="3" xfId="0" applyFont="1" applyBorder="1" applyAlignment="1">
      <alignment horizontal="center"/>
    </xf>
    <xf numFmtId="0" fontId="14" fillId="0" borderId="2" xfId="0" applyFont="1" applyBorder="1" applyAlignment="1">
      <alignment horizontal="center"/>
    </xf>
    <xf numFmtId="0" fontId="0" fillId="0" borderId="10" xfId="0" applyBorder="1" applyAlignment="1">
      <alignment horizontal="center"/>
    </xf>
    <xf numFmtId="0" fontId="0" fillId="0" borderId="23" xfId="0" applyBorder="1" applyAlignment="1">
      <alignment horizontal="center"/>
    </xf>
    <xf numFmtId="0" fontId="0" fillId="0" borderId="11" xfId="0"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8" fillId="0" borderId="17" xfId="0" applyFont="1" applyBorder="1" applyAlignment="1">
      <alignment horizontal="center"/>
    </xf>
    <xf numFmtId="0" fontId="0" fillId="0" borderId="21" xfId="0" applyBorder="1" applyAlignment="1">
      <alignment horizontal="center"/>
    </xf>
    <xf numFmtId="0" fontId="8" fillId="0" borderId="15"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15" xfId="0" applyFont="1" applyBorder="1" applyAlignment="1">
      <alignment horizontal="center" vertical="center"/>
    </xf>
    <xf numFmtId="0" fontId="8" fillId="0" borderId="20" xfId="0" applyFont="1" applyBorder="1" applyAlignment="1">
      <alignment horizontal="center" vertical="center"/>
    </xf>
    <xf numFmtId="0" fontId="8" fillId="0" borderId="18" xfId="0" applyFont="1" applyBorder="1" applyAlignment="1">
      <alignment horizontal="center" vertical="center"/>
    </xf>
    <xf numFmtId="0" fontId="20" fillId="0" borderId="10" xfId="0" applyFont="1" applyBorder="1" applyAlignment="1">
      <alignment horizontal="center"/>
    </xf>
    <xf numFmtId="0" fontId="20" fillId="0" borderId="23" xfId="0" applyFont="1" applyBorder="1" applyAlignment="1">
      <alignment horizontal="center"/>
    </xf>
    <xf numFmtId="0" fontId="8" fillId="0" borderId="10" xfId="0" applyFont="1" applyBorder="1" applyAlignment="1">
      <alignment horizontal="center"/>
    </xf>
    <xf numFmtId="0" fontId="8" fillId="0" borderId="23" xfId="0" applyFont="1" applyBorder="1" applyAlignment="1">
      <alignment horizontal="center"/>
    </xf>
    <xf numFmtId="0" fontId="8" fillId="0" borderId="11" xfId="0" applyFont="1" applyBorder="1" applyAlignment="1">
      <alignment horizontal="center"/>
    </xf>
    <xf numFmtId="0" fontId="20" fillId="0" borderId="28" xfId="0" applyFont="1" applyBorder="1" applyAlignment="1">
      <alignment horizontal="center"/>
    </xf>
    <xf numFmtId="0" fontId="20" fillId="0" borderId="12" xfId="0" applyFont="1" applyBorder="1" applyAlignment="1">
      <alignment horizontal="center" vertical="center"/>
    </xf>
    <xf numFmtId="0" fontId="20" fillId="0" borderId="29" xfId="0" applyFont="1" applyBorder="1" applyAlignment="1">
      <alignment horizontal="center" vertical="center"/>
    </xf>
    <xf numFmtId="0" fontId="20" fillId="0" borderId="30" xfId="0" applyFont="1" applyBorder="1" applyAlignment="1">
      <alignment horizontal="center" vertical="center"/>
    </xf>
    <xf numFmtId="0" fontId="20" fillId="0" borderId="13" xfId="0" applyFont="1" applyBorder="1" applyAlignment="1">
      <alignment horizontal="center" vertical="center"/>
    </xf>
    <xf numFmtId="0" fontId="20" fillId="0" borderId="30"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29" xfId="0" applyFont="1" applyBorder="1" applyAlignment="1">
      <alignment horizontal="center" vertic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colors>
    <mruColors>
      <color rgb="FFFF40FF"/>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81113592972"/>
          <c:y val="4.4811146653543299E-2"/>
          <c:w val="0.78324357038571402"/>
          <c:h val="0.74808788549868799"/>
        </c:manualLayout>
      </c:layout>
      <c:scatterChart>
        <c:scatterStyle val="lineMarker"/>
        <c:varyColors val="0"/>
        <c:ser>
          <c:idx val="1"/>
          <c:order val="1"/>
          <c:tx>
            <c:v>Linearisation</c:v>
          </c:tx>
          <c:spPr>
            <a:ln w="25400" cap="rnd">
              <a:solidFill>
                <a:schemeClr val="tx1"/>
              </a:solidFill>
              <a:prstDash val="dash"/>
              <a:round/>
            </a:ln>
            <a:effectLst/>
          </c:spPr>
          <c:marker>
            <c:symbol val="circle"/>
            <c:size val="10"/>
            <c:spPr>
              <a:solidFill>
                <a:schemeClr val="accent2"/>
              </a:solidFill>
              <a:ln w="9525">
                <a:solidFill>
                  <a:srgbClr val="FF0000"/>
                </a:solidFill>
              </a:ln>
              <a:effectLst/>
            </c:spPr>
          </c:marker>
          <c:xVal>
            <c:numRef>
              <c:f>Input!$G$4:$G$9</c:f>
              <c:numCache>
                <c:formatCode>0.000</c:formatCode>
                <c:ptCount val="6"/>
                <c:pt idx="0">
                  <c:v>0</c:v>
                </c:pt>
                <c:pt idx="1">
                  <c:v>0.04</c:v>
                </c:pt>
                <c:pt idx="2">
                  <c:v>0.1</c:v>
                </c:pt>
                <c:pt idx="3">
                  <c:v>0.17</c:v>
                </c:pt>
                <c:pt idx="4">
                  <c:v>0.28000000000000003</c:v>
                </c:pt>
                <c:pt idx="5">
                  <c:v>0.39994499999999999</c:v>
                </c:pt>
              </c:numCache>
            </c:numRef>
          </c:xVal>
          <c:yVal>
            <c:numRef>
              <c:f>Input!$F$4:$F$9</c:f>
              <c:numCache>
                <c:formatCode>0.00</c:formatCode>
                <c:ptCount val="6"/>
                <c:pt idx="0">
                  <c:v>0</c:v>
                </c:pt>
                <c:pt idx="1">
                  <c:v>3612.1361000000002</c:v>
                </c:pt>
                <c:pt idx="2">
                  <c:v>3612.1361000000002</c:v>
                </c:pt>
                <c:pt idx="3">
                  <c:v>3250</c:v>
                </c:pt>
                <c:pt idx="4">
                  <c:v>3250</c:v>
                </c:pt>
                <c:pt idx="5">
                  <c:v>0</c:v>
                </c:pt>
              </c:numCache>
            </c:numRef>
          </c:yVal>
          <c:smooth val="0"/>
          <c:extLst>
            <c:ext xmlns:c16="http://schemas.microsoft.com/office/drawing/2014/chart" uri="{C3380CC4-5D6E-409C-BE32-E72D297353CC}">
              <c16:uniqueId val="{00000000-EB47-3947-8B64-50AA9EDC5D93}"/>
            </c:ext>
          </c:extLst>
        </c:ser>
        <c:dLbls>
          <c:showLegendKey val="0"/>
          <c:showVal val="0"/>
          <c:showCatName val="0"/>
          <c:showSerName val="0"/>
          <c:showPercent val="0"/>
          <c:showBubbleSize val="0"/>
        </c:dLbls>
        <c:axId val="-1113891472"/>
        <c:axId val="-1111633440"/>
      </c:scatterChart>
      <c:scatterChart>
        <c:scatterStyle val="smoothMarker"/>
        <c:varyColors val="0"/>
        <c:ser>
          <c:idx val="0"/>
          <c:order val="0"/>
          <c:tx>
            <c:v>SPO Data</c:v>
          </c:tx>
          <c:spPr>
            <a:ln w="25400" cap="rnd">
              <a:solidFill>
                <a:schemeClr val="tx1"/>
              </a:solidFill>
              <a:round/>
            </a:ln>
            <a:effectLst/>
          </c:spPr>
          <c:marker>
            <c:symbol val="none"/>
          </c:marker>
          <c:xVal>
            <c:numRef>
              <c:f>Input!$C$3:$C$502</c:f>
              <c:numCache>
                <c:formatCode>0.000</c:formatCode>
                <c:ptCount val="500"/>
                <c:pt idx="0">
                  <c:v>0</c:v>
                </c:pt>
                <c:pt idx="1">
                  <c:v>1.54496E-3</c:v>
                </c:pt>
                <c:pt idx="2">
                  <c:v>2.3449600000000001E-3</c:v>
                </c:pt>
                <c:pt idx="3">
                  <c:v>3.14496E-3</c:v>
                </c:pt>
                <c:pt idx="4">
                  <c:v>3.94496E-3</c:v>
                </c:pt>
                <c:pt idx="5">
                  <c:v>4.7449600000000003E-3</c:v>
                </c:pt>
                <c:pt idx="6">
                  <c:v>5.5449599999999998E-3</c:v>
                </c:pt>
                <c:pt idx="7">
                  <c:v>6.3449600000000002E-3</c:v>
                </c:pt>
                <c:pt idx="8">
                  <c:v>7.1449599999999997E-3</c:v>
                </c:pt>
                <c:pt idx="9">
                  <c:v>7.9449599999999992E-3</c:v>
                </c:pt>
                <c:pt idx="10">
                  <c:v>8.7449599999999995E-3</c:v>
                </c:pt>
                <c:pt idx="11">
                  <c:v>9.5449599999999999E-3</c:v>
                </c:pt>
                <c:pt idx="12">
                  <c:v>1.0345E-2</c:v>
                </c:pt>
                <c:pt idx="13">
                  <c:v>1.1145E-2</c:v>
                </c:pt>
                <c:pt idx="14">
                  <c:v>1.1945000000000001E-2</c:v>
                </c:pt>
                <c:pt idx="15">
                  <c:v>1.2744999999999999E-2</c:v>
                </c:pt>
                <c:pt idx="16">
                  <c:v>1.3545E-2</c:v>
                </c:pt>
                <c:pt idx="17">
                  <c:v>1.4345E-2</c:v>
                </c:pt>
                <c:pt idx="18">
                  <c:v>1.5145E-2</c:v>
                </c:pt>
                <c:pt idx="19">
                  <c:v>1.5945000000000001E-2</c:v>
                </c:pt>
                <c:pt idx="20">
                  <c:v>1.6744999999999999E-2</c:v>
                </c:pt>
                <c:pt idx="21">
                  <c:v>1.7545000000000002E-2</c:v>
                </c:pt>
                <c:pt idx="22">
                  <c:v>1.8345E-2</c:v>
                </c:pt>
                <c:pt idx="23">
                  <c:v>1.9144999999999999E-2</c:v>
                </c:pt>
                <c:pt idx="24">
                  <c:v>1.9945000000000001E-2</c:v>
                </c:pt>
                <c:pt idx="25">
                  <c:v>2.0745E-2</c:v>
                </c:pt>
                <c:pt idx="26">
                  <c:v>2.1545000000000002E-2</c:v>
                </c:pt>
                <c:pt idx="27">
                  <c:v>2.2345E-2</c:v>
                </c:pt>
                <c:pt idx="28">
                  <c:v>2.3144999999999999E-2</c:v>
                </c:pt>
                <c:pt idx="29">
                  <c:v>2.3945000000000001E-2</c:v>
                </c:pt>
                <c:pt idx="30">
                  <c:v>2.4745E-2</c:v>
                </c:pt>
                <c:pt idx="31">
                  <c:v>2.5545000000000002E-2</c:v>
                </c:pt>
                <c:pt idx="32">
                  <c:v>2.6345E-2</c:v>
                </c:pt>
                <c:pt idx="33">
                  <c:v>2.7144999999999999E-2</c:v>
                </c:pt>
                <c:pt idx="34">
                  <c:v>2.7945000000000001E-2</c:v>
                </c:pt>
                <c:pt idx="35">
                  <c:v>2.8745E-2</c:v>
                </c:pt>
                <c:pt idx="36">
                  <c:v>2.9544999999999998E-2</c:v>
                </c:pt>
                <c:pt idx="37">
                  <c:v>3.0345E-2</c:v>
                </c:pt>
                <c:pt idx="38">
                  <c:v>3.1144999999999999E-2</c:v>
                </c:pt>
                <c:pt idx="39">
                  <c:v>3.1945000000000001E-2</c:v>
                </c:pt>
                <c:pt idx="40">
                  <c:v>3.2745000000000003E-2</c:v>
                </c:pt>
                <c:pt idx="41">
                  <c:v>3.3544999999999998E-2</c:v>
                </c:pt>
                <c:pt idx="42">
                  <c:v>3.4345000000000001E-2</c:v>
                </c:pt>
                <c:pt idx="43">
                  <c:v>3.5145000000000003E-2</c:v>
                </c:pt>
                <c:pt idx="44">
                  <c:v>3.5944999999999998E-2</c:v>
                </c:pt>
                <c:pt idx="45">
                  <c:v>3.6745E-2</c:v>
                </c:pt>
                <c:pt idx="46">
                  <c:v>3.7545000000000002E-2</c:v>
                </c:pt>
                <c:pt idx="47">
                  <c:v>3.8344999999999997E-2</c:v>
                </c:pt>
                <c:pt idx="48">
                  <c:v>3.9144999999999999E-2</c:v>
                </c:pt>
                <c:pt idx="49">
                  <c:v>3.9945000000000001E-2</c:v>
                </c:pt>
                <c:pt idx="50">
                  <c:v>4.0745000000000003E-2</c:v>
                </c:pt>
                <c:pt idx="51">
                  <c:v>4.1544999999999999E-2</c:v>
                </c:pt>
                <c:pt idx="52">
                  <c:v>4.2345000000000001E-2</c:v>
                </c:pt>
                <c:pt idx="53">
                  <c:v>4.3145000000000003E-2</c:v>
                </c:pt>
                <c:pt idx="54">
                  <c:v>4.3944999999999998E-2</c:v>
                </c:pt>
                <c:pt idx="55">
                  <c:v>4.4745E-2</c:v>
                </c:pt>
                <c:pt idx="56">
                  <c:v>4.5545000000000002E-2</c:v>
                </c:pt>
                <c:pt idx="57">
                  <c:v>4.6344999999999997E-2</c:v>
                </c:pt>
                <c:pt idx="58">
                  <c:v>4.7144999999999999E-2</c:v>
                </c:pt>
                <c:pt idx="59">
                  <c:v>4.7945000000000002E-2</c:v>
                </c:pt>
                <c:pt idx="60">
                  <c:v>4.8744999999999997E-2</c:v>
                </c:pt>
                <c:pt idx="61">
                  <c:v>4.9544999999999999E-2</c:v>
                </c:pt>
                <c:pt idx="62">
                  <c:v>5.0345000000000001E-2</c:v>
                </c:pt>
                <c:pt idx="63">
                  <c:v>5.1145000000000003E-2</c:v>
                </c:pt>
                <c:pt idx="64">
                  <c:v>5.1944999999999998E-2</c:v>
                </c:pt>
                <c:pt idx="65">
                  <c:v>5.2745E-2</c:v>
                </c:pt>
                <c:pt idx="66">
                  <c:v>5.3545000000000002E-2</c:v>
                </c:pt>
                <c:pt idx="67">
                  <c:v>5.4344999999999997E-2</c:v>
                </c:pt>
                <c:pt idx="68">
                  <c:v>5.5145E-2</c:v>
                </c:pt>
                <c:pt idx="69">
                  <c:v>5.5945000000000002E-2</c:v>
                </c:pt>
                <c:pt idx="70">
                  <c:v>5.6744999999999997E-2</c:v>
                </c:pt>
                <c:pt idx="71">
                  <c:v>5.7544999999999999E-2</c:v>
                </c:pt>
                <c:pt idx="72">
                  <c:v>5.8345000000000001E-2</c:v>
                </c:pt>
                <c:pt idx="73">
                  <c:v>5.9145000000000003E-2</c:v>
                </c:pt>
                <c:pt idx="74">
                  <c:v>5.9944999999999998E-2</c:v>
                </c:pt>
                <c:pt idx="75">
                  <c:v>6.0745E-2</c:v>
                </c:pt>
                <c:pt idx="76">
                  <c:v>6.1545000000000002E-2</c:v>
                </c:pt>
                <c:pt idx="77">
                  <c:v>6.2344999999999998E-2</c:v>
                </c:pt>
                <c:pt idx="78">
                  <c:v>6.3145000000000007E-2</c:v>
                </c:pt>
                <c:pt idx="79">
                  <c:v>6.3945000000000002E-2</c:v>
                </c:pt>
                <c:pt idx="80">
                  <c:v>6.4744999999999997E-2</c:v>
                </c:pt>
                <c:pt idx="81">
                  <c:v>6.5545000000000006E-2</c:v>
                </c:pt>
                <c:pt idx="82">
                  <c:v>6.6345000000000001E-2</c:v>
                </c:pt>
                <c:pt idx="83">
                  <c:v>6.7144999999999996E-2</c:v>
                </c:pt>
                <c:pt idx="84">
                  <c:v>6.7945000000000005E-2</c:v>
                </c:pt>
                <c:pt idx="85">
                  <c:v>6.8745000000000001E-2</c:v>
                </c:pt>
                <c:pt idx="86">
                  <c:v>6.9544999999999996E-2</c:v>
                </c:pt>
                <c:pt idx="87">
                  <c:v>7.0345000000000005E-2</c:v>
                </c:pt>
                <c:pt idx="88">
                  <c:v>7.1145E-2</c:v>
                </c:pt>
                <c:pt idx="89">
                  <c:v>7.1944999999999995E-2</c:v>
                </c:pt>
                <c:pt idx="90">
                  <c:v>7.2745000000000004E-2</c:v>
                </c:pt>
                <c:pt idx="91">
                  <c:v>7.3544999999999999E-2</c:v>
                </c:pt>
                <c:pt idx="92">
                  <c:v>7.4344999999999994E-2</c:v>
                </c:pt>
                <c:pt idx="93">
                  <c:v>7.5145000000000003E-2</c:v>
                </c:pt>
                <c:pt idx="94">
                  <c:v>7.5944999999999999E-2</c:v>
                </c:pt>
                <c:pt idx="95">
                  <c:v>7.6744999999999994E-2</c:v>
                </c:pt>
                <c:pt idx="96">
                  <c:v>7.7545000000000003E-2</c:v>
                </c:pt>
                <c:pt idx="97">
                  <c:v>7.8344999999999998E-2</c:v>
                </c:pt>
                <c:pt idx="98">
                  <c:v>7.9144999999999993E-2</c:v>
                </c:pt>
                <c:pt idx="99">
                  <c:v>7.9945000000000002E-2</c:v>
                </c:pt>
                <c:pt idx="100">
                  <c:v>8.0744999999999997E-2</c:v>
                </c:pt>
                <c:pt idx="101">
                  <c:v>8.1545000000000006E-2</c:v>
                </c:pt>
                <c:pt idx="102">
                  <c:v>8.2345000000000002E-2</c:v>
                </c:pt>
                <c:pt idx="103">
                  <c:v>8.3144999999999997E-2</c:v>
                </c:pt>
                <c:pt idx="104">
                  <c:v>8.3945000000000006E-2</c:v>
                </c:pt>
                <c:pt idx="105">
                  <c:v>8.4745000000000001E-2</c:v>
                </c:pt>
                <c:pt idx="106">
                  <c:v>8.5544999999999996E-2</c:v>
                </c:pt>
                <c:pt idx="107">
                  <c:v>8.6345000000000005E-2</c:v>
                </c:pt>
                <c:pt idx="108">
                  <c:v>8.7145E-2</c:v>
                </c:pt>
                <c:pt idx="109">
                  <c:v>8.7944999999999995E-2</c:v>
                </c:pt>
                <c:pt idx="110">
                  <c:v>8.8745000000000004E-2</c:v>
                </c:pt>
                <c:pt idx="111">
                  <c:v>8.9545E-2</c:v>
                </c:pt>
                <c:pt idx="112">
                  <c:v>9.0344999999999995E-2</c:v>
                </c:pt>
                <c:pt idx="113">
                  <c:v>9.1145000000000004E-2</c:v>
                </c:pt>
                <c:pt idx="114">
                  <c:v>9.1944999999999999E-2</c:v>
                </c:pt>
                <c:pt idx="115">
                  <c:v>9.2744999999999994E-2</c:v>
                </c:pt>
                <c:pt idx="116">
                  <c:v>9.3545000000000003E-2</c:v>
                </c:pt>
                <c:pt idx="117">
                  <c:v>9.4344999999999998E-2</c:v>
                </c:pt>
                <c:pt idx="118">
                  <c:v>9.5144999999999993E-2</c:v>
                </c:pt>
                <c:pt idx="119">
                  <c:v>9.5945000000000003E-2</c:v>
                </c:pt>
                <c:pt idx="120">
                  <c:v>9.6744999999999998E-2</c:v>
                </c:pt>
                <c:pt idx="121">
                  <c:v>9.7545000000000007E-2</c:v>
                </c:pt>
                <c:pt idx="122">
                  <c:v>9.8345000000000002E-2</c:v>
                </c:pt>
                <c:pt idx="123">
                  <c:v>9.9144999999999997E-2</c:v>
                </c:pt>
                <c:pt idx="124">
                  <c:v>9.9945000000000006E-2</c:v>
                </c:pt>
                <c:pt idx="125">
                  <c:v>0.100745</c:v>
                </c:pt>
                <c:pt idx="126">
                  <c:v>0.101545</c:v>
                </c:pt>
                <c:pt idx="127">
                  <c:v>0.10234500000000001</c:v>
                </c:pt>
                <c:pt idx="128">
                  <c:v>0.103145</c:v>
                </c:pt>
                <c:pt idx="129">
                  <c:v>0.103945</c:v>
                </c:pt>
                <c:pt idx="130">
                  <c:v>0.104745</c:v>
                </c:pt>
                <c:pt idx="131">
                  <c:v>0.105545</c:v>
                </c:pt>
                <c:pt idx="132">
                  <c:v>0.106345</c:v>
                </c:pt>
                <c:pt idx="133">
                  <c:v>0.107145</c:v>
                </c:pt>
                <c:pt idx="134">
                  <c:v>0.107945</c:v>
                </c:pt>
                <c:pt idx="135">
                  <c:v>0.10874499999999999</c:v>
                </c:pt>
                <c:pt idx="136">
                  <c:v>0.109545</c:v>
                </c:pt>
                <c:pt idx="137">
                  <c:v>0.110345</c:v>
                </c:pt>
                <c:pt idx="138">
                  <c:v>0.11114499999999999</c:v>
                </c:pt>
                <c:pt idx="139">
                  <c:v>0.111945</c:v>
                </c:pt>
                <c:pt idx="140">
                  <c:v>0.112745</c:v>
                </c:pt>
                <c:pt idx="141">
                  <c:v>0.11354499999999999</c:v>
                </c:pt>
                <c:pt idx="142">
                  <c:v>0.114345</c:v>
                </c:pt>
                <c:pt idx="143">
                  <c:v>0.115145</c:v>
                </c:pt>
                <c:pt idx="144">
                  <c:v>0.11594500000000001</c:v>
                </c:pt>
                <c:pt idx="145">
                  <c:v>0.116745</c:v>
                </c:pt>
                <c:pt idx="146">
                  <c:v>0.117545</c:v>
                </c:pt>
                <c:pt idx="147">
                  <c:v>0.11834500000000001</c:v>
                </c:pt>
                <c:pt idx="148">
                  <c:v>0.119145</c:v>
                </c:pt>
                <c:pt idx="149">
                  <c:v>0.119945</c:v>
                </c:pt>
                <c:pt idx="150">
                  <c:v>0.12074500000000001</c:v>
                </c:pt>
                <c:pt idx="151">
                  <c:v>0.121545</c:v>
                </c:pt>
                <c:pt idx="152">
                  <c:v>0.122345</c:v>
                </c:pt>
                <c:pt idx="153">
                  <c:v>0.123145</c:v>
                </c:pt>
                <c:pt idx="154">
                  <c:v>0.123945</c:v>
                </c:pt>
                <c:pt idx="155">
                  <c:v>0.12474499999999999</c:v>
                </c:pt>
                <c:pt idx="156">
                  <c:v>0.12554499999999999</c:v>
                </c:pt>
                <c:pt idx="157">
                  <c:v>0.12634500000000001</c:v>
                </c:pt>
                <c:pt idx="158">
                  <c:v>0.12714500000000001</c:v>
                </c:pt>
                <c:pt idx="159">
                  <c:v>0.127945</c:v>
                </c:pt>
                <c:pt idx="160">
                  <c:v>0.128745</c:v>
                </c:pt>
                <c:pt idx="161">
                  <c:v>0.12954499999999999</c:v>
                </c:pt>
                <c:pt idx="162">
                  <c:v>0.13034499999999999</c:v>
                </c:pt>
                <c:pt idx="163">
                  <c:v>0.13114500000000001</c:v>
                </c:pt>
                <c:pt idx="164">
                  <c:v>0.13194500000000001</c:v>
                </c:pt>
                <c:pt idx="165">
                  <c:v>0.132745</c:v>
                </c:pt>
                <c:pt idx="166">
                  <c:v>0.133545</c:v>
                </c:pt>
                <c:pt idx="167">
                  <c:v>0.13434499999999999</c:v>
                </c:pt>
                <c:pt idx="168">
                  <c:v>0.13514499999999999</c:v>
                </c:pt>
                <c:pt idx="169">
                  <c:v>0.13594500000000001</c:v>
                </c:pt>
                <c:pt idx="170">
                  <c:v>0.13674500000000001</c:v>
                </c:pt>
                <c:pt idx="171">
                  <c:v>0.137545</c:v>
                </c:pt>
                <c:pt idx="172">
                  <c:v>0.138345</c:v>
                </c:pt>
                <c:pt idx="173">
                  <c:v>0.13914499999999999</c:v>
                </c:pt>
                <c:pt idx="174">
                  <c:v>0.13994500000000001</c:v>
                </c:pt>
                <c:pt idx="175">
                  <c:v>0.14074500000000001</c:v>
                </c:pt>
                <c:pt idx="176">
                  <c:v>0.141545</c:v>
                </c:pt>
                <c:pt idx="177">
                  <c:v>0.142345</c:v>
                </c:pt>
                <c:pt idx="178">
                  <c:v>0.14314499999999999</c:v>
                </c:pt>
                <c:pt idx="179">
                  <c:v>0.14394499999999999</c:v>
                </c:pt>
                <c:pt idx="180">
                  <c:v>0.14474500000000001</c:v>
                </c:pt>
                <c:pt idx="181">
                  <c:v>0.14554500000000001</c:v>
                </c:pt>
                <c:pt idx="182">
                  <c:v>0.146345</c:v>
                </c:pt>
                <c:pt idx="183">
                  <c:v>0.147145</c:v>
                </c:pt>
                <c:pt idx="184">
                  <c:v>0.14794499999999999</c:v>
                </c:pt>
                <c:pt idx="185">
                  <c:v>0.14874499999999999</c:v>
                </c:pt>
                <c:pt idx="186">
                  <c:v>0.14954500000000001</c:v>
                </c:pt>
                <c:pt idx="187">
                  <c:v>0.15034500000000001</c:v>
                </c:pt>
                <c:pt idx="188">
                  <c:v>0.151145</c:v>
                </c:pt>
                <c:pt idx="189">
                  <c:v>0.151945</c:v>
                </c:pt>
                <c:pt idx="190">
                  <c:v>0.15274499999999999</c:v>
                </c:pt>
                <c:pt idx="191">
                  <c:v>0.15354499999999999</c:v>
                </c:pt>
                <c:pt idx="192">
                  <c:v>0.15434500000000001</c:v>
                </c:pt>
                <c:pt idx="193">
                  <c:v>0.15514500000000001</c:v>
                </c:pt>
                <c:pt idx="194">
                  <c:v>0.155945</c:v>
                </c:pt>
                <c:pt idx="195">
                  <c:v>0.156745</c:v>
                </c:pt>
                <c:pt idx="196">
                  <c:v>0.15754499999999999</c:v>
                </c:pt>
                <c:pt idx="197">
                  <c:v>0.15834500000000001</c:v>
                </c:pt>
                <c:pt idx="198">
                  <c:v>0.15914500000000001</c:v>
                </c:pt>
                <c:pt idx="199">
                  <c:v>0.159945</c:v>
                </c:pt>
                <c:pt idx="200">
                  <c:v>0.160745</c:v>
                </c:pt>
                <c:pt idx="201">
                  <c:v>0.16154499999999999</c:v>
                </c:pt>
                <c:pt idx="202">
                  <c:v>0.16234499999999999</c:v>
                </c:pt>
                <c:pt idx="203">
                  <c:v>0.16314500000000001</c:v>
                </c:pt>
                <c:pt idx="204">
                  <c:v>0.16394500000000001</c:v>
                </c:pt>
                <c:pt idx="205">
                  <c:v>0.164745</c:v>
                </c:pt>
                <c:pt idx="206">
                  <c:v>0.165545</c:v>
                </c:pt>
                <c:pt idx="207">
                  <c:v>0.16634499999999999</c:v>
                </c:pt>
                <c:pt idx="208">
                  <c:v>0.16714499999999999</c:v>
                </c:pt>
                <c:pt idx="209">
                  <c:v>0.16794500000000001</c:v>
                </c:pt>
                <c:pt idx="210">
                  <c:v>0.16874500000000001</c:v>
                </c:pt>
                <c:pt idx="211">
                  <c:v>0.169545</c:v>
                </c:pt>
                <c:pt idx="212">
                  <c:v>0.170345</c:v>
                </c:pt>
                <c:pt idx="213">
                  <c:v>0.17114499999999999</c:v>
                </c:pt>
                <c:pt idx="214">
                  <c:v>0.17194499999999999</c:v>
                </c:pt>
                <c:pt idx="215">
                  <c:v>0.17274500000000001</c:v>
                </c:pt>
                <c:pt idx="216">
                  <c:v>0.173545</c:v>
                </c:pt>
                <c:pt idx="217">
                  <c:v>0.174345</c:v>
                </c:pt>
                <c:pt idx="218">
                  <c:v>0.175145</c:v>
                </c:pt>
                <c:pt idx="219">
                  <c:v>0.17594499999999999</c:v>
                </c:pt>
                <c:pt idx="220">
                  <c:v>0.17674500000000001</c:v>
                </c:pt>
                <c:pt idx="221">
                  <c:v>0.17754500000000001</c:v>
                </c:pt>
                <c:pt idx="222">
                  <c:v>0.178345</c:v>
                </c:pt>
                <c:pt idx="223">
                  <c:v>0.179145</c:v>
                </c:pt>
                <c:pt idx="224">
                  <c:v>0.17994499999999999</c:v>
                </c:pt>
                <c:pt idx="225">
                  <c:v>0.18074499999999999</c:v>
                </c:pt>
                <c:pt idx="226">
                  <c:v>0.18154500000000001</c:v>
                </c:pt>
                <c:pt idx="227">
                  <c:v>0.18234500000000001</c:v>
                </c:pt>
                <c:pt idx="228">
                  <c:v>0.183145</c:v>
                </c:pt>
                <c:pt idx="229">
                  <c:v>0.183945</c:v>
                </c:pt>
                <c:pt idx="230">
                  <c:v>0.18474499999999999</c:v>
                </c:pt>
                <c:pt idx="231">
                  <c:v>0.18554499999999999</c:v>
                </c:pt>
                <c:pt idx="232">
                  <c:v>0.18634500000000001</c:v>
                </c:pt>
                <c:pt idx="233">
                  <c:v>0.18714500000000001</c:v>
                </c:pt>
                <c:pt idx="234">
                  <c:v>0.187945</c:v>
                </c:pt>
                <c:pt idx="235">
                  <c:v>0.188745</c:v>
                </c:pt>
                <c:pt idx="236">
                  <c:v>0.18954499999999999</c:v>
                </c:pt>
                <c:pt idx="237">
                  <c:v>0.19034499999999999</c:v>
                </c:pt>
                <c:pt idx="238">
                  <c:v>0.19114500000000001</c:v>
                </c:pt>
                <c:pt idx="239">
                  <c:v>0.191945</c:v>
                </c:pt>
                <c:pt idx="240">
                  <c:v>0.192745</c:v>
                </c:pt>
                <c:pt idx="241">
                  <c:v>0.19354499999999999</c:v>
                </c:pt>
                <c:pt idx="242">
                  <c:v>0.19434499999999999</c:v>
                </c:pt>
                <c:pt idx="243">
                  <c:v>0.19514500000000001</c:v>
                </c:pt>
                <c:pt idx="244">
                  <c:v>0.19594500000000001</c:v>
                </c:pt>
                <c:pt idx="245">
                  <c:v>0.196745</c:v>
                </c:pt>
                <c:pt idx="246">
                  <c:v>0.197545</c:v>
                </c:pt>
                <c:pt idx="247">
                  <c:v>0.19834499999999999</c:v>
                </c:pt>
                <c:pt idx="248">
                  <c:v>0.19914499999999999</c:v>
                </c:pt>
                <c:pt idx="249">
                  <c:v>0.19994500000000001</c:v>
                </c:pt>
                <c:pt idx="250">
                  <c:v>0.20074500000000001</c:v>
                </c:pt>
                <c:pt idx="251">
                  <c:v>0.201545</c:v>
                </c:pt>
                <c:pt idx="252">
                  <c:v>0.202345</c:v>
                </c:pt>
                <c:pt idx="253">
                  <c:v>0.20314499999999999</c:v>
                </c:pt>
                <c:pt idx="254">
                  <c:v>0.20394499999999999</c:v>
                </c:pt>
                <c:pt idx="255">
                  <c:v>0.20474500000000001</c:v>
                </c:pt>
                <c:pt idx="256">
                  <c:v>0.20554500000000001</c:v>
                </c:pt>
                <c:pt idx="257">
                  <c:v>0.206345</c:v>
                </c:pt>
                <c:pt idx="258">
                  <c:v>0.207145</c:v>
                </c:pt>
                <c:pt idx="259">
                  <c:v>0.20794499999999999</c:v>
                </c:pt>
                <c:pt idx="260">
                  <c:v>0.20874500000000001</c:v>
                </c:pt>
                <c:pt idx="261">
                  <c:v>0.20954500000000001</c:v>
                </c:pt>
                <c:pt idx="262">
                  <c:v>0.210345</c:v>
                </c:pt>
                <c:pt idx="263">
                  <c:v>0.211145</c:v>
                </c:pt>
                <c:pt idx="264">
                  <c:v>0.21194499999999999</c:v>
                </c:pt>
                <c:pt idx="265">
                  <c:v>0.21274499999999999</c:v>
                </c:pt>
                <c:pt idx="266">
                  <c:v>0.21354500000000001</c:v>
                </c:pt>
                <c:pt idx="267">
                  <c:v>0.21434500000000001</c:v>
                </c:pt>
                <c:pt idx="268">
                  <c:v>0.215145</c:v>
                </c:pt>
                <c:pt idx="269">
                  <c:v>0.215945</c:v>
                </c:pt>
                <c:pt idx="270">
                  <c:v>0.21674499999999999</c:v>
                </c:pt>
                <c:pt idx="271">
                  <c:v>0.21754499999999999</c:v>
                </c:pt>
                <c:pt idx="272">
                  <c:v>0.21834500000000001</c:v>
                </c:pt>
                <c:pt idx="273">
                  <c:v>0.21914500000000001</c:v>
                </c:pt>
                <c:pt idx="274">
                  <c:v>0.219945</c:v>
                </c:pt>
                <c:pt idx="275">
                  <c:v>0.220745</c:v>
                </c:pt>
                <c:pt idx="276">
                  <c:v>0.22154499999999999</c:v>
                </c:pt>
                <c:pt idx="277">
                  <c:v>0.22234499999999999</c:v>
                </c:pt>
                <c:pt idx="278">
                  <c:v>0.22314500000000001</c:v>
                </c:pt>
                <c:pt idx="279">
                  <c:v>0.22394500000000001</c:v>
                </c:pt>
                <c:pt idx="280">
                  <c:v>0.224745</c:v>
                </c:pt>
                <c:pt idx="281">
                  <c:v>0.225545</c:v>
                </c:pt>
                <c:pt idx="282">
                  <c:v>0.22634499999999999</c:v>
                </c:pt>
                <c:pt idx="283">
                  <c:v>0.22714500000000001</c:v>
                </c:pt>
                <c:pt idx="284">
                  <c:v>0.22794500000000001</c:v>
                </c:pt>
                <c:pt idx="285">
                  <c:v>0.228745</c:v>
                </c:pt>
                <c:pt idx="286">
                  <c:v>0.229545</c:v>
                </c:pt>
                <c:pt idx="287">
                  <c:v>0.23034499999999999</c:v>
                </c:pt>
                <c:pt idx="288">
                  <c:v>0.23114499999999999</c:v>
                </c:pt>
                <c:pt idx="289">
                  <c:v>0.23194500000000001</c:v>
                </c:pt>
                <c:pt idx="290">
                  <c:v>0.23274500000000001</c:v>
                </c:pt>
                <c:pt idx="291">
                  <c:v>0.233545</c:v>
                </c:pt>
                <c:pt idx="292">
                  <c:v>0.234345</c:v>
                </c:pt>
                <c:pt idx="293">
                  <c:v>0.23514499999999999</c:v>
                </c:pt>
                <c:pt idx="294">
                  <c:v>0.23594499999999999</c:v>
                </c:pt>
                <c:pt idx="295">
                  <c:v>0.23674500000000001</c:v>
                </c:pt>
                <c:pt idx="296">
                  <c:v>0.23754500000000001</c:v>
                </c:pt>
                <c:pt idx="297">
                  <c:v>0.238345</c:v>
                </c:pt>
                <c:pt idx="298">
                  <c:v>0.239145</c:v>
                </c:pt>
                <c:pt idx="299">
                  <c:v>0.23994499999999999</c:v>
                </c:pt>
                <c:pt idx="300">
                  <c:v>0.24074499999999999</c:v>
                </c:pt>
                <c:pt idx="301">
                  <c:v>0.24154500000000001</c:v>
                </c:pt>
                <c:pt idx="302">
                  <c:v>0.242345</c:v>
                </c:pt>
                <c:pt idx="303">
                  <c:v>0.243145</c:v>
                </c:pt>
                <c:pt idx="304">
                  <c:v>0.243945</c:v>
                </c:pt>
                <c:pt idx="305">
                  <c:v>0.24474499999999999</c:v>
                </c:pt>
                <c:pt idx="306">
                  <c:v>0.24554500000000001</c:v>
                </c:pt>
                <c:pt idx="307">
                  <c:v>0.24634500000000001</c:v>
                </c:pt>
                <c:pt idx="308">
                  <c:v>0.247145</c:v>
                </c:pt>
                <c:pt idx="309">
                  <c:v>0.247945</c:v>
                </c:pt>
                <c:pt idx="310">
                  <c:v>0.24874499999999999</c:v>
                </c:pt>
                <c:pt idx="311">
                  <c:v>0.24954499999999999</c:v>
                </c:pt>
                <c:pt idx="312">
                  <c:v>0.25034499999999998</c:v>
                </c:pt>
                <c:pt idx="313">
                  <c:v>0.25114500000000001</c:v>
                </c:pt>
                <c:pt idx="314">
                  <c:v>0.25194499999999997</c:v>
                </c:pt>
                <c:pt idx="315">
                  <c:v>0.252745</c:v>
                </c:pt>
                <c:pt idx="316">
                  <c:v>0.25354500000000002</c:v>
                </c:pt>
                <c:pt idx="317">
                  <c:v>0.25434499999999999</c:v>
                </c:pt>
                <c:pt idx="318">
                  <c:v>0.25514500000000001</c:v>
                </c:pt>
                <c:pt idx="319">
                  <c:v>0.25594499999999998</c:v>
                </c:pt>
                <c:pt idx="320">
                  <c:v>0.256745</c:v>
                </c:pt>
                <c:pt idx="321">
                  <c:v>0.25754500000000002</c:v>
                </c:pt>
                <c:pt idx="322">
                  <c:v>0.25834499999999999</c:v>
                </c:pt>
                <c:pt idx="323">
                  <c:v>0.25914500000000001</c:v>
                </c:pt>
                <c:pt idx="324">
                  <c:v>0.25994499999999998</c:v>
                </c:pt>
                <c:pt idx="325">
                  <c:v>0.260745</c:v>
                </c:pt>
                <c:pt idx="326">
                  <c:v>0.26154500000000003</c:v>
                </c:pt>
                <c:pt idx="327">
                  <c:v>0.26234499999999999</c:v>
                </c:pt>
                <c:pt idx="328">
                  <c:v>0.26314500000000002</c:v>
                </c:pt>
                <c:pt idx="329">
                  <c:v>0.26394499999999999</c:v>
                </c:pt>
                <c:pt idx="330">
                  <c:v>0.26474500000000001</c:v>
                </c:pt>
                <c:pt idx="331">
                  <c:v>0.26554499999999998</c:v>
                </c:pt>
                <c:pt idx="332">
                  <c:v>0.266345</c:v>
                </c:pt>
                <c:pt idx="333">
                  <c:v>0.26714500000000002</c:v>
                </c:pt>
                <c:pt idx="334">
                  <c:v>0.26794499999999999</c:v>
                </c:pt>
                <c:pt idx="335">
                  <c:v>0.26874500000000001</c:v>
                </c:pt>
                <c:pt idx="336">
                  <c:v>0.26954499999999998</c:v>
                </c:pt>
                <c:pt idx="337">
                  <c:v>0.270345</c:v>
                </c:pt>
                <c:pt idx="338">
                  <c:v>0.27114500000000002</c:v>
                </c:pt>
                <c:pt idx="339">
                  <c:v>0.27194499999999999</c:v>
                </c:pt>
                <c:pt idx="340">
                  <c:v>0.27274500000000002</c:v>
                </c:pt>
                <c:pt idx="341">
                  <c:v>0.27354499999999998</c:v>
                </c:pt>
                <c:pt idx="342">
                  <c:v>0.27434500000000001</c:v>
                </c:pt>
                <c:pt idx="343">
                  <c:v>0.27514499999999997</c:v>
                </c:pt>
                <c:pt idx="344">
                  <c:v>0.275945</c:v>
                </c:pt>
                <c:pt idx="345">
                  <c:v>0.27674500000000002</c:v>
                </c:pt>
                <c:pt idx="346">
                  <c:v>0.27754499999999999</c:v>
                </c:pt>
                <c:pt idx="347">
                  <c:v>0.27834500000000001</c:v>
                </c:pt>
                <c:pt idx="348">
                  <c:v>0.27914499999999998</c:v>
                </c:pt>
                <c:pt idx="349">
                  <c:v>0.279945</c:v>
                </c:pt>
                <c:pt idx="350">
                  <c:v>0.28074500000000002</c:v>
                </c:pt>
                <c:pt idx="351">
                  <c:v>0.28154499999999999</c:v>
                </c:pt>
                <c:pt idx="352">
                  <c:v>0.28234500000000001</c:v>
                </c:pt>
                <c:pt idx="353">
                  <c:v>0.28314499999999998</c:v>
                </c:pt>
                <c:pt idx="354">
                  <c:v>0.283945</c:v>
                </c:pt>
                <c:pt idx="355">
                  <c:v>0.28474500000000003</c:v>
                </c:pt>
                <c:pt idx="356">
                  <c:v>0.28554499999999999</c:v>
                </c:pt>
                <c:pt idx="357">
                  <c:v>0.28634500000000002</c:v>
                </c:pt>
                <c:pt idx="358">
                  <c:v>0.28714499999999998</c:v>
                </c:pt>
                <c:pt idx="359">
                  <c:v>0.28794500000000001</c:v>
                </c:pt>
                <c:pt idx="360">
                  <c:v>0.28874499999999997</c:v>
                </c:pt>
                <c:pt idx="361">
                  <c:v>0.289545</c:v>
                </c:pt>
                <c:pt idx="362">
                  <c:v>0.29034500000000002</c:v>
                </c:pt>
                <c:pt idx="363">
                  <c:v>0.29114499999999999</c:v>
                </c:pt>
                <c:pt idx="364">
                  <c:v>0.29194500000000001</c:v>
                </c:pt>
                <c:pt idx="365">
                  <c:v>0.29274499999999998</c:v>
                </c:pt>
                <c:pt idx="366">
                  <c:v>0.293545</c:v>
                </c:pt>
                <c:pt idx="367">
                  <c:v>0.29434500000000002</c:v>
                </c:pt>
                <c:pt idx="368">
                  <c:v>0.29514499999999999</c:v>
                </c:pt>
                <c:pt idx="369">
                  <c:v>0.29594500000000001</c:v>
                </c:pt>
                <c:pt idx="370">
                  <c:v>0.29674499999999998</c:v>
                </c:pt>
                <c:pt idx="371">
                  <c:v>0.297545</c:v>
                </c:pt>
                <c:pt idx="372">
                  <c:v>0.29834500000000003</c:v>
                </c:pt>
                <c:pt idx="373">
                  <c:v>0.29914499999999999</c:v>
                </c:pt>
                <c:pt idx="374">
                  <c:v>0.29994500000000002</c:v>
                </c:pt>
                <c:pt idx="375">
                  <c:v>0.30074499999999998</c:v>
                </c:pt>
                <c:pt idx="376">
                  <c:v>0.30154500000000001</c:v>
                </c:pt>
                <c:pt idx="377">
                  <c:v>0.30234499999999997</c:v>
                </c:pt>
                <c:pt idx="378">
                  <c:v>0.303145</c:v>
                </c:pt>
                <c:pt idx="379">
                  <c:v>0.30394500000000002</c:v>
                </c:pt>
                <c:pt idx="380">
                  <c:v>0.30474499999999999</c:v>
                </c:pt>
                <c:pt idx="381">
                  <c:v>0.30554500000000001</c:v>
                </c:pt>
                <c:pt idx="382">
                  <c:v>0.30634499999999998</c:v>
                </c:pt>
                <c:pt idx="383">
                  <c:v>0.307145</c:v>
                </c:pt>
                <c:pt idx="384">
                  <c:v>0.30794500000000002</c:v>
                </c:pt>
                <c:pt idx="385">
                  <c:v>0.30874499999999999</c:v>
                </c:pt>
                <c:pt idx="386">
                  <c:v>0.30954500000000001</c:v>
                </c:pt>
                <c:pt idx="387">
                  <c:v>0.31034499999999998</c:v>
                </c:pt>
                <c:pt idx="388">
                  <c:v>0.311145</c:v>
                </c:pt>
                <c:pt idx="389">
                  <c:v>0.31194499999999997</c:v>
                </c:pt>
                <c:pt idx="390">
                  <c:v>0.312745</c:v>
                </c:pt>
                <c:pt idx="391">
                  <c:v>0.31354500000000002</c:v>
                </c:pt>
                <c:pt idx="392">
                  <c:v>0.31434499999999999</c:v>
                </c:pt>
                <c:pt idx="393">
                  <c:v>0.31514500000000001</c:v>
                </c:pt>
                <c:pt idx="394">
                  <c:v>0.31594499999999998</c:v>
                </c:pt>
                <c:pt idx="395">
                  <c:v>0.316745</c:v>
                </c:pt>
                <c:pt idx="396">
                  <c:v>0.31754500000000002</c:v>
                </c:pt>
                <c:pt idx="397">
                  <c:v>0.31834499999999999</c:v>
                </c:pt>
                <c:pt idx="398">
                  <c:v>0.31914500000000001</c:v>
                </c:pt>
                <c:pt idx="399">
                  <c:v>0.31994499999999998</c:v>
                </c:pt>
                <c:pt idx="400">
                  <c:v>0.320745</c:v>
                </c:pt>
                <c:pt idx="401">
                  <c:v>0.32154500000000003</c:v>
                </c:pt>
                <c:pt idx="402">
                  <c:v>0.32234499999999999</c:v>
                </c:pt>
                <c:pt idx="403">
                  <c:v>0.32314500000000002</c:v>
                </c:pt>
                <c:pt idx="404">
                  <c:v>0.32394499999999998</c:v>
                </c:pt>
                <c:pt idx="405">
                  <c:v>0.32474500000000001</c:v>
                </c:pt>
                <c:pt idx="406">
                  <c:v>0.32554499999999997</c:v>
                </c:pt>
                <c:pt idx="407">
                  <c:v>0.326345</c:v>
                </c:pt>
                <c:pt idx="408">
                  <c:v>0.32714500000000002</c:v>
                </c:pt>
                <c:pt idx="409">
                  <c:v>0.32794499999999999</c:v>
                </c:pt>
                <c:pt idx="410">
                  <c:v>0.32874500000000001</c:v>
                </c:pt>
                <c:pt idx="411">
                  <c:v>0.32954499999999998</c:v>
                </c:pt>
                <c:pt idx="412">
                  <c:v>0.330345</c:v>
                </c:pt>
                <c:pt idx="413">
                  <c:v>0.33114500000000002</c:v>
                </c:pt>
                <c:pt idx="414">
                  <c:v>0.33194499999999999</c:v>
                </c:pt>
                <c:pt idx="415">
                  <c:v>0.33274500000000001</c:v>
                </c:pt>
                <c:pt idx="416">
                  <c:v>0.33354499999999998</c:v>
                </c:pt>
                <c:pt idx="417">
                  <c:v>0.334345</c:v>
                </c:pt>
                <c:pt idx="418">
                  <c:v>0.33514500000000003</c:v>
                </c:pt>
                <c:pt idx="419">
                  <c:v>0.33594499999999999</c:v>
                </c:pt>
                <c:pt idx="420">
                  <c:v>0.33674500000000002</c:v>
                </c:pt>
                <c:pt idx="421">
                  <c:v>0.33754499999999998</c:v>
                </c:pt>
                <c:pt idx="422">
                  <c:v>0.33834500000000001</c:v>
                </c:pt>
                <c:pt idx="423">
                  <c:v>0.33914499999999997</c:v>
                </c:pt>
                <c:pt idx="424">
                  <c:v>0.339945</c:v>
                </c:pt>
                <c:pt idx="425">
                  <c:v>0.34074500000000002</c:v>
                </c:pt>
                <c:pt idx="426">
                  <c:v>0.34154499999999999</c:v>
                </c:pt>
                <c:pt idx="427">
                  <c:v>0.34234500000000001</c:v>
                </c:pt>
                <c:pt idx="428">
                  <c:v>0.34314499999999998</c:v>
                </c:pt>
                <c:pt idx="429">
                  <c:v>0.343945</c:v>
                </c:pt>
                <c:pt idx="430">
                  <c:v>0.34474500000000002</c:v>
                </c:pt>
                <c:pt idx="431">
                  <c:v>0.34554499999999999</c:v>
                </c:pt>
                <c:pt idx="432">
                  <c:v>0.34634500000000001</c:v>
                </c:pt>
                <c:pt idx="433">
                  <c:v>0.34714499999999998</c:v>
                </c:pt>
                <c:pt idx="434">
                  <c:v>0.347945</c:v>
                </c:pt>
                <c:pt idx="435">
                  <c:v>0.34874500000000003</c:v>
                </c:pt>
                <c:pt idx="436">
                  <c:v>0.34954499999999999</c:v>
                </c:pt>
                <c:pt idx="437">
                  <c:v>0.35034500000000002</c:v>
                </c:pt>
                <c:pt idx="438">
                  <c:v>0.35114499999999998</c:v>
                </c:pt>
                <c:pt idx="439">
                  <c:v>0.35194500000000001</c:v>
                </c:pt>
                <c:pt idx="440">
                  <c:v>0.35274499999999998</c:v>
                </c:pt>
                <c:pt idx="441">
                  <c:v>0.353545</c:v>
                </c:pt>
                <c:pt idx="442">
                  <c:v>0.35434500000000002</c:v>
                </c:pt>
                <c:pt idx="443">
                  <c:v>0.35514499999999999</c:v>
                </c:pt>
                <c:pt idx="444">
                  <c:v>0.35594500000000001</c:v>
                </c:pt>
                <c:pt idx="445">
                  <c:v>0.35674499999999998</c:v>
                </c:pt>
                <c:pt idx="446">
                  <c:v>0.357545</c:v>
                </c:pt>
                <c:pt idx="447">
                  <c:v>0.35834500000000002</c:v>
                </c:pt>
                <c:pt idx="448">
                  <c:v>0.35914499999999999</c:v>
                </c:pt>
                <c:pt idx="449">
                  <c:v>0.35994500000000001</c:v>
                </c:pt>
                <c:pt idx="450">
                  <c:v>0.36074499999999998</c:v>
                </c:pt>
                <c:pt idx="451">
                  <c:v>0.36154500000000001</c:v>
                </c:pt>
                <c:pt idx="452">
                  <c:v>0.36234499999999997</c:v>
                </c:pt>
                <c:pt idx="453">
                  <c:v>0.363145</c:v>
                </c:pt>
                <c:pt idx="454">
                  <c:v>0.36394500000000002</c:v>
                </c:pt>
                <c:pt idx="455" formatCode="General">
                  <c:v>0.36474499999999999</c:v>
                </c:pt>
                <c:pt idx="456" formatCode="General">
                  <c:v>0.36554500000000001</c:v>
                </c:pt>
                <c:pt idx="457" formatCode="General">
                  <c:v>0.36634499999999998</c:v>
                </c:pt>
                <c:pt idx="458" formatCode="General">
                  <c:v>0.367145</c:v>
                </c:pt>
                <c:pt idx="459" formatCode="General">
                  <c:v>0.36794500000000002</c:v>
                </c:pt>
                <c:pt idx="460" formatCode="General">
                  <c:v>0.36874499999999999</c:v>
                </c:pt>
                <c:pt idx="461" formatCode="General">
                  <c:v>0.36954500000000001</c:v>
                </c:pt>
                <c:pt idx="462" formatCode="General">
                  <c:v>0.37034499999999998</c:v>
                </c:pt>
                <c:pt idx="463" formatCode="General">
                  <c:v>0.371145</c:v>
                </c:pt>
                <c:pt idx="464" formatCode="General">
                  <c:v>0.37194500000000003</c:v>
                </c:pt>
                <c:pt idx="465" formatCode="General">
                  <c:v>0.37274499999999999</c:v>
                </c:pt>
                <c:pt idx="466" formatCode="General">
                  <c:v>0.37354500000000002</c:v>
                </c:pt>
                <c:pt idx="467" formatCode="General">
                  <c:v>0.37434499999999998</c:v>
                </c:pt>
                <c:pt idx="468" formatCode="General">
                  <c:v>0.37514500000000001</c:v>
                </c:pt>
                <c:pt idx="469" formatCode="General">
                  <c:v>0.37594499999999997</c:v>
                </c:pt>
                <c:pt idx="470" formatCode="General">
                  <c:v>0.376745</c:v>
                </c:pt>
                <c:pt idx="471" formatCode="General">
                  <c:v>0.37754500000000002</c:v>
                </c:pt>
                <c:pt idx="472" formatCode="General">
                  <c:v>0.37834499999999999</c:v>
                </c:pt>
                <c:pt idx="473" formatCode="General">
                  <c:v>0.37914500000000001</c:v>
                </c:pt>
                <c:pt idx="474" formatCode="General">
                  <c:v>0.37994499999999998</c:v>
                </c:pt>
                <c:pt idx="475" formatCode="General">
                  <c:v>0.380745</c:v>
                </c:pt>
                <c:pt idx="476" formatCode="General">
                  <c:v>0.38154500000000002</c:v>
                </c:pt>
                <c:pt idx="477" formatCode="General">
                  <c:v>0.38234499999999999</c:v>
                </c:pt>
                <c:pt idx="478" formatCode="General">
                  <c:v>0.38314500000000001</c:v>
                </c:pt>
                <c:pt idx="479" formatCode="General">
                  <c:v>0.38394499999999998</c:v>
                </c:pt>
                <c:pt idx="480" formatCode="General">
                  <c:v>0.384745</c:v>
                </c:pt>
                <c:pt idx="481" formatCode="General">
                  <c:v>0.38554500000000003</c:v>
                </c:pt>
                <c:pt idx="482" formatCode="General">
                  <c:v>0.38634499999999999</c:v>
                </c:pt>
                <c:pt idx="483" formatCode="General">
                  <c:v>0.38714500000000002</c:v>
                </c:pt>
                <c:pt idx="484" formatCode="General">
                  <c:v>0.38794499999999998</c:v>
                </c:pt>
                <c:pt idx="485" formatCode="General">
                  <c:v>0.38874500000000001</c:v>
                </c:pt>
                <c:pt idx="486" formatCode="General">
                  <c:v>0.38954499999999997</c:v>
                </c:pt>
                <c:pt idx="487" formatCode="General">
                  <c:v>0.390345</c:v>
                </c:pt>
                <c:pt idx="488" formatCode="General">
                  <c:v>0.39114500000000002</c:v>
                </c:pt>
                <c:pt idx="489" formatCode="General">
                  <c:v>0.39194499999999999</c:v>
                </c:pt>
                <c:pt idx="490" formatCode="General">
                  <c:v>0.39274500000000001</c:v>
                </c:pt>
                <c:pt idx="491" formatCode="General">
                  <c:v>0.39354499999999998</c:v>
                </c:pt>
                <c:pt idx="492" formatCode="General">
                  <c:v>0.394345</c:v>
                </c:pt>
                <c:pt idx="493" formatCode="General">
                  <c:v>0.39514500000000002</c:v>
                </c:pt>
                <c:pt idx="494" formatCode="General">
                  <c:v>0.39594499999999999</c:v>
                </c:pt>
                <c:pt idx="495" formatCode="General">
                  <c:v>0.39674500000000001</c:v>
                </c:pt>
                <c:pt idx="496" formatCode="General">
                  <c:v>0.39754499999999998</c:v>
                </c:pt>
                <c:pt idx="497" formatCode="General">
                  <c:v>0.398345</c:v>
                </c:pt>
                <c:pt idx="498" formatCode="General">
                  <c:v>0.39914500000000003</c:v>
                </c:pt>
                <c:pt idx="499" formatCode="General">
                  <c:v>0.39994499999999999</c:v>
                </c:pt>
              </c:numCache>
            </c:numRef>
          </c:xVal>
          <c:yVal>
            <c:numRef>
              <c:f>Input!$B$3:$B$502</c:f>
              <c:numCache>
                <c:formatCode>0</c:formatCode>
                <c:ptCount val="500"/>
                <c:pt idx="0">
                  <c:v>0</c:v>
                </c:pt>
                <c:pt idx="1">
                  <c:v>93.465345999999997</c:v>
                </c:pt>
                <c:pt idx="2">
                  <c:v>182.71093999999999</c:v>
                </c:pt>
                <c:pt idx="3">
                  <c:v>259.79361999999998</c:v>
                </c:pt>
                <c:pt idx="4">
                  <c:v>329.50178</c:v>
                </c:pt>
                <c:pt idx="5">
                  <c:v>397.10052999999999</c:v>
                </c:pt>
                <c:pt idx="6">
                  <c:v>464.47858000000002</c:v>
                </c:pt>
                <c:pt idx="7">
                  <c:v>531.92282</c:v>
                </c:pt>
                <c:pt idx="8">
                  <c:v>599.30727000000002</c:v>
                </c:pt>
                <c:pt idx="9">
                  <c:v>666.22289999999998</c:v>
                </c:pt>
                <c:pt idx="10">
                  <c:v>733.10050000000001</c:v>
                </c:pt>
                <c:pt idx="11">
                  <c:v>799.97130000000004</c:v>
                </c:pt>
                <c:pt idx="12">
                  <c:v>866.83389999999997</c:v>
                </c:pt>
                <c:pt idx="13">
                  <c:v>933.69960000000003</c:v>
                </c:pt>
                <c:pt idx="14">
                  <c:v>1000.5971</c:v>
                </c:pt>
                <c:pt idx="15">
                  <c:v>1067.5545999999999</c:v>
                </c:pt>
                <c:pt idx="16">
                  <c:v>1134.5153</c:v>
                </c:pt>
                <c:pt idx="17">
                  <c:v>1201.5023000000001</c:v>
                </c:pt>
                <c:pt idx="18">
                  <c:v>1268.5033000000001</c:v>
                </c:pt>
                <c:pt idx="19">
                  <c:v>1335.6554000000001</c:v>
                </c:pt>
                <c:pt idx="20">
                  <c:v>1402.8040000000001</c:v>
                </c:pt>
                <c:pt idx="21">
                  <c:v>1469.9486999999999</c:v>
                </c:pt>
                <c:pt idx="22">
                  <c:v>1537.0971</c:v>
                </c:pt>
                <c:pt idx="23">
                  <c:v>1604.2514000000001</c:v>
                </c:pt>
                <c:pt idx="24">
                  <c:v>1671.4023</c:v>
                </c:pt>
                <c:pt idx="25">
                  <c:v>1738.5585000000001</c:v>
                </c:pt>
                <c:pt idx="26">
                  <c:v>1805.7148999999999</c:v>
                </c:pt>
                <c:pt idx="27">
                  <c:v>1872.877</c:v>
                </c:pt>
                <c:pt idx="28">
                  <c:v>1940.0424</c:v>
                </c:pt>
                <c:pt idx="29">
                  <c:v>2007.2129</c:v>
                </c:pt>
                <c:pt idx="30">
                  <c:v>2072.5317</c:v>
                </c:pt>
                <c:pt idx="31">
                  <c:v>2136.0636</c:v>
                </c:pt>
                <c:pt idx="32">
                  <c:v>2197.7955999999999</c:v>
                </c:pt>
                <c:pt idx="33">
                  <c:v>2255.3062</c:v>
                </c:pt>
                <c:pt idx="34">
                  <c:v>2310.1147999999998</c:v>
                </c:pt>
                <c:pt idx="35">
                  <c:v>2364.2547</c:v>
                </c:pt>
                <c:pt idx="36">
                  <c:v>2418.3953000000001</c:v>
                </c:pt>
                <c:pt idx="37">
                  <c:v>2470.6406999999999</c:v>
                </c:pt>
                <c:pt idx="38">
                  <c:v>2519.2638999999999</c:v>
                </c:pt>
                <c:pt idx="39">
                  <c:v>2565.3813</c:v>
                </c:pt>
                <c:pt idx="40">
                  <c:v>2610.7062000000001</c:v>
                </c:pt>
                <c:pt idx="41">
                  <c:v>2655.1143000000002</c:v>
                </c:pt>
                <c:pt idx="42">
                  <c:v>2698.3252000000002</c:v>
                </c:pt>
                <c:pt idx="43">
                  <c:v>2741.0264000000002</c:v>
                </c:pt>
                <c:pt idx="44">
                  <c:v>2782.5373</c:v>
                </c:pt>
                <c:pt idx="45">
                  <c:v>2820.5509999999999</c:v>
                </c:pt>
                <c:pt idx="46">
                  <c:v>2856.8017</c:v>
                </c:pt>
                <c:pt idx="47">
                  <c:v>2893.0554000000002</c:v>
                </c:pt>
                <c:pt idx="48">
                  <c:v>2927.8827000000001</c:v>
                </c:pt>
                <c:pt idx="49">
                  <c:v>2960.8474999999999</c:v>
                </c:pt>
                <c:pt idx="50">
                  <c:v>2992.3094999999998</c:v>
                </c:pt>
                <c:pt idx="51">
                  <c:v>3022.5039000000002</c:v>
                </c:pt>
                <c:pt idx="52">
                  <c:v>3051.9472999999998</c:v>
                </c:pt>
                <c:pt idx="53">
                  <c:v>3080.5983000000001</c:v>
                </c:pt>
                <c:pt idx="54">
                  <c:v>3109.1666</c:v>
                </c:pt>
                <c:pt idx="55">
                  <c:v>3137.1736000000001</c:v>
                </c:pt>
                <c:pt idx="56">
                  <c:v>3164.1572999999999</c:v>
                </c:pt>
                <c:pt idx="57">
                  <c:v>3190.4522000000002</c:v>
                </c:pt>
                <c:pt idx="58">
                  <c:v>3216.3323999999998</c:v>
                </c:pt>
                <c:pt idx="59">
                  <c:v>3241.9038999999998</c:v>
                </c:pt>
                <c:pt idx="60">
                  <c:v>3267.4173999999998</c:v>
                </c:pt>
                <c:pt idx="61">
                  <c:v>3290.8784000000001</c:v>
                </c:pt>
                <c:pt idx="62">
                  <c:v>3313.9787999999999</c:v>
                </c:pt>
                <c:pt idx="63">
                  <c:v>3337.0826999999999</c:v>
                </c:pt>
                <c:pt idx="64">
                  <c:v>3359.7239</c:v>
                </c:pt>
                <c:pt idx="65">
                  <c:v>3381.5479</c:v>
                </c:pt>
                <c:pt idx="66">
                  <c:v>3402.5695000000001</c:v>
                </c:pt>
                <c:pt idx="67">
                  <c:v>3421.1569</c:v>
                </c:pt>
                <c:pt idx="68">
                  <c:v>3439.0834</c:v>
                </c:pt>
                <c:pt idx="69">
                  <c:v>3453.9303</c:v>
                </c:pt>
                <c:pt idx="70">
                  <c:v>3467.0744</c:v>
                </c:pt>
                <c:pt idx="71">
                  <c:v>3479.5300999999999</c:v>
                </c:pt>
                <c:pt idx="72">
                  <c:v>3490.9830000000002</c:v>
                </c:pt>
                <c:pt idx="73">
                  <c:v>3502.4376999999999</c:v>
                </c:pt>
                <c:pt idx="74">
                  <c:v>3513.6006000000002</c:v>
                </c:pt>
                <c:pt idx="75">
                  <c:v>3524.0839000000001</c:v>
                </c:pt>
                <c:pt idx="76">
                  <c:v>3534.4881</c:v>
                </c:pt>
                <c:pt idx="77">
                  <c:v>3544.4513000000002</c:v>
                </c:pt>
                <c:pt idx="78">
                  <c:v>3552.9771999999998</c:v>
                </c:pt>
                <c:pt idx="79">
                  <c:v>3559.9526999999998</c:v>
                </c:pt>
                <c:pt idx="80">
                  <c:v>3566.7784999999999</c:v>
                </c:pt>
                <c:pt idx="81">
                  <c:v>3571.7271999999998</c:v>
                </c:pt>
                <c:pt idx="82">
                  <c:v>3575.8845999999999</c:v>
                </c:pt>
                <c:pt idx="83">
                  <c:v>3579.4344000000001</c:v>
                </c:pt>
                <c:pt idx="84">
                  <c:v>3582.4081000000001</c:v>
                </c:pt>
                <c:pt idx="85">
                  <c:v>3585.0934000000002</c:v>
                </c:pt>
                <c:pt idx="86">
                  <c:v>3587.7366000000002</c:v>
                </c:pt>
                <c:pt idx="87">
                  <c:v>3590.3818999999999</c:v>
                </c:pt>
                <c:pt idx="88">
                  <c:v>3593.0223000000001</c:v>
                </c:pt>
                <c:pt idx="89">
                  <c:v>3595.6633999999999</c:v>
                </c:pt>
                <c:pt idx="90">
                  <c:v>3598.3006999999998</c:v>
                </c:pt>
                <c:pt idx="91">
                  <c:v>3600.8348999999998</c:v>
                </c:pt>
                <c:pt idx="92">
                  <c:v>3602.9940999999999</c:v>
                </c:pt>
                <c:pt idx="93">
                  <c:v>3604.569</c:v>
                </c:pt>
                <c:pt idx="94">
                  <c:v>3605.9713999999999</c:v>
                </c:pt>
                <c:pt idx="95">
                  <c:v>3607.2579000000001</c:v>
                </c:pt>
                <c:pt idx="96">
                  <c:v>3608.5441999999998</c:v>
                </c:pt>
                <c:pt idx="97">
                  <c:v>3609.7685000000001</c:v>
                </c:pt>
                <c:pt idx="98">
                  <c:v>3610.9104000000002</c:v>
                </c:pt>
                <c:pt idx="99">
                  <c:v>3611.6954000000001</c:v>
                </c:pt>
                <c:pt idx="100">
                  <c:v>3612.0794000000001</c:v>
                </c:pt>
                <c:pt idx="101">
                  <c:v>3612.1361000000002</c:v>
                </c:pt>
                <c:pt idx="102">
                  <c:v>3612.0554000000002</c:v>
                </c:pt>
                <c:pt idx="103">
                  <c:v>3611.8863999999999</c:v>
                </c:pt>
                <c:pt idx="104">
                  <c:v>3611.6428999999998</c:v>
                </c:pt>
                <c:pt idx="105">
                  <c:v>3610.8179</c:v>
                </c:pt>
                <c:pt idx="106">
                  <c:v>3609.9506000000001</c:v>
                </c:pt>
                <c:pt idx="107">
                  <c:v>3608.9902999999999</c:v>
                </c:pt>
                <c:pt idx="108">
                  <c:v>3607.7736</c:v>
                </c:pt>
                <c:pt idx="109">
                  <c:v>3606.4384</c:v>
                </c:pt>
                <c:pt idx="110">
                  <c:v>3604.9321</c:v>
                </c:pt>
                <c:pt idx="111">
                  <c:v>3603.2082</c:v>
                </c:pt>
                <c:pt idx="112">
                  <c:v>3601.4564999999998</c:v>
                </c:pt>
                <c:pt idx="113">
                  <c:v>3599.5590000000002</c:v>
                </c:pt>
                <c:pt idx="114">
                  <c:v>3597.6567</c:v>
                </c:pt>
                <c:pt idx="115">
                  <c:v>3595.7532000000001</c:v>
                </c:pt>
                <c:pt idx="116">
                  <c:v>3593.7602999999999</c:v>
                </c:pt>
                <c:pt idx="117">
                  <c:v>3591.5785999999998</c:v>
                </c:pt>
                <c:pt idx="118">
                  <c:v>3589.3939</c:v>
                </c:pt>
                <c:pt idx="119">
                  <c:v>3587.2064999999998</c:v>
                </c:pt>
                <c:pt idx="120">
                  <c:v>3585.0214000000001</c:v>
                </c:pt>
                <c:pt idx="121">
                  <c:v>3582.8303999999998</c:v>
                </c:pt>
                <c:pt idx="122">
                  <c:v>3580.5054</c:v>
                </c:pt>
                <c:pt idx="123">
                  <c:v>3578.1574999999998</c:v>
                </c:pt>
                <c:pt idx="124">
                  <c:v>3575.8105</c:v>
                </c:pt>
                <c:pt idx="125">
                  <c:v>3573.4632999999999</c:v>
                </c:pt>
                <c:pt idx="126">
                  <c:v>3571.0475000000001</c:v>
                </c:pt>
                <c:pt idx="127">
                  <c:v>3568.5529999999999</c:v>
                </c:pt>
                <c:pt idx="128">
                  <c:v>3566.0536999999999</c:v>
                </c:pt>
                <c:pt idx="129">
                  <c:v>3563.5506999999998</c:v>
                </c:pt>
                <c:pt idx="130">
                  <c:v>3561.0437999999999</c:v>
                </c:pt>
                <c:pt idx="131">
                  <c:v>3558.5376000000001</c:v>
                </c:pt>
                <c:pt idx="132">
                  <c:v>3556.0088000000001</c:v>
                </c:pt>
                <c:pt idx="133">
                  <c:v>3553.4274999999998</c:v>
                </c:pt>
                <c:pt idx="134">
                  <c:v>3550.8182999999999</c:v>
                </c:pt>
                <c:pt idx="135">
                  <c:v>3548.1763999999998</c:v>
                </c:pt>
                <c:pt idx="136">
                  <c:v>3545.5331000000001</c:v>
                </c:pt>
                <c:pt idx="137">
                  <c:v>3542.8098</c:v>
                </c:pt>
                <c:pt idx="138">
                  <c:v>3539.8775999999998</c:v>
                </c:pt>
                <c:pt idx="139">
                  <c:v>3536.8834999999999</c:v>
                </c:pt>
                <c:pt idx="140">
                  <c:v>3533.7907</c:v>
                </c:pt>
                <c:pt idx="141">
                  <c:v>3530.6493</c:v>
                </c:pt>
                <c:pt idx="142">
                  <c:v>3527.4958999999999</c:v>
                </c:pt>
                <c:pt idx="143">
                  <c:v>3524.0405999999998</c:v>
                </c:pt>
                <c:pt idx="144">
                  <c:v>3520.2053999999998</c:v>
                </c:pt>
                <c:pt idx="145">
                  <c:v>3516.2982999999999</c:v>
                </c:pt>
                <c:pt idx="146">
                  <c:v>3512.3892999999998</c:v>
                </c:pt>
                <c:pt idx="147">
                  <c:v>3508.4789999999998</c:v>
                </c:pt>
                <c:pt idx="148">
                  <c:v>3504.5652</c:v>
                </c:pt>
                <c:pt idx="149">
                  <c:v>3500.6520999999998</c:v>
                </c:pt>
                <c:pt idx="150">
                  <c:v>3496.7363999999998</c:v>
                </c:pt>
                <c:pt idx="151">
                  <c:v>3492.8177000000001</c:v>
                </c:pt>
                <c:pt idx="152">
                  <c:v>3488.8597</c:v>
                </c:pt>
                <c:pt idx="153">
                  <c:v>3484.9016999999999</c:v>
                </c:pt>
                <c:pt idx="154">
                  <c:v>3480.9434000000001</c:v>
                </c:pt>
                <c:pt idx="155">
                  <c:v>3476.9829</c:v>
                </c:pt>
                <c:pt idx="156">
                  <c:v>3472.9378000000002</c:v>
                </c:pt>
                <c:pt idx="157">
                  <c:v>3468.8112000000001</c:v>
                </c:pt>
                <c:pt idx="158">
                  <c:v>3464.6835000000001</c:v>
                </c:pt>
                <c:pt idx="159">
                  <c:v>3460.5540999999998</c:v>
                </c:pt>
                <c:pt idx="160">
                  <c:v>3456.4238999999998</c:v>
                </c:pt>
                <c:pt idx="161">
                  <c:v>3452.2934</c:v>
                </c:pt>
                <c:pt idx="162">
                  <c:v>3448.1592999999998</c:v>
                </c:pt>
                <c:pt idx="163">
                  <c:v>3444.0230000000001</c:v>
                </c:pt>
                <c:pt idx="164">
                  <c:v>3439.8899000000001</c:v>
                </c:pt>
                <c:pt idx="165">
                  <c:v>3435.7471</c:v>
                </c:pt>
                <c:pt idx="166">
                  <c:v>3431.5817000000002</c:v>
                </c:pt>
                <c:pt idx="167">
                  <c:v>3427.4151999999999</c:v>
                </c:pt>
                <c:pt idx="168">
                  <c:v>3423.1954999999998</c:v>
                </c:pt>
                <c:pt idx="169">
                  <c:v>3418.8863000000001</c:v>
                </c:pt>
                <c:pt idx="170">
                  <c:v>3414.5101</c:v>
                </c:pt>
                <c:pt idx="171">
                  <c:v>3410.0726</c:v>
                </c:pt>
                <c:pt idx="172">
                  <c:v>3405.5382</c:v>
                </c:pt>
                <c:pt idx="173">
                  <c:v>3400.8912</c:v>
                </c:pt>
                <c:pt idx="174">
                  <c:v>3396.2161000000001</c:v>
                </c:pt>
                <c:pt idx="175">
                  <c:v>3391.5223000000001</c:v>
                </c:pt>
                <c:pt idx="176">
                  <c:v>3386.7791000000002</c:v>
                </c:pt>
                <c:pt idx="177">
                  <c:v>3382.029</c:v>
                </c:pt>
                <c:pt idx="178">
                  <c:v>3377.2808</c:v>
                </c:pt>
                <c:pt idx="179">
                  <c:v>3372.5232000000001</c:v>
                </c:pt>
                <c:pt idx="180">
                  <c:v>3367.7662</c:v>
                </c:pt>
                <c:pt idx="181">
                  <c:v>3363.0081</c:v>
                </c:pt>
                <c:pt idx="182">
                  <c:v>3358.2489</c:v>
                </c:pt>
                <c:pt idx="183">
                  <c:v>3353.4870999999998</c:v>
                </c:pt>
                <c:pt idx="184">
                  <c:v>3348.7253000000001</c:v>
                </c:pt>
                <c:pt idx="185">
                  <c:v>3343.9639000000002</c:v>
                </c:pt>
                <c:pt idx="186">
                  <c:v>3339.1963999999998</c:v>
                </c:pt>
                <c:pt idx="187">
                  <c:v>3334.3663000000001</c:v>
                </c:pt>
                <c:pt idx="188">
                  <c:v>3329.4854999999998</c:v>
                </c:pt>
                <c:pt idx="189">
                  <c:v>3324.6042000000002</c:v>
                </c:pt>
                <c:pt idx="190">
                  <c:v>3319.7197999999999</c:v>
                </c:pt>
                <c:pt idx="191">
                  <c:v>3314.8330000000001</c:v>
                </c:pt>
                <c:pt idx="192">
                  <c:v>3309.9476</c:v>
                </c:pt>
                <c:pt idx="193">
                  <c:v>3305.0590000000002</c:v>
                </c:pt>
                <c:pt idx="194">
                  <c:v>3300.1689999999999</c:v>
                </c:pt>
                <c:pt idx="195">
                  <c:v>3295.2791000000002</c:v>
                </c:pt>
                <c:pt idx="196">
                  <c:v>3290.3885</c:v>
                </c:pt>
                <c:pt idx="197">
                  <c:v>3285.4926</c:v>
                </c:pt>
                <c:pt idx="198">
                  <c:v>3280.6010999999999</c:v>
                </c:pt>
                <c:pt idx="199">
                  <c:v>3275.6069000000002</c:v>
                </c:pt>
                <c:pt idx="200">
                  <c:v>3270.5603000000001</c:v>
                </c:pt>
                <c:pt idx="201">
                  <c:v>3265.4333999999999</c:v>
                </c:pt>
                <c:pt idx="202">
                  <c:v>3260.2257</c:v>
                </c:pt>
                <c:pt idx="203">
                  <c:v>3254.9641999999999</c:v>
                </c:pt>
                <c:pt idx="204">
                  <c:v>3249.6957000000002</c:v>
                </c:pt>
                <c:pt idx="205">
                  <c:v>3244.422</c:v>
                </c:pt>
                <c:pt idx="206">
                  <c:v>3239.1453999999999</c:v>
                </c:pt>
                <c:pt idx="207">
                  <c:v>3233.8661999999999</c:v>
                </c:pt>
                <c:pt idx="208">
                  <c:v>3228.5857999999998</c:v>
                </c:pt>
                <c:pt idx="209">
                  <c:v>3223.3011000000001</c:v>
                </c:pt>
                <c:pt idx="210">
                  <c:v>3218.0916000000002</c:v>
                </c:pt>
                <c:pt idx="211">
                  <c:v>3213.0596</c:v>
                </c:pt>
                <c:pt idx="212">
                  <c:v>3208.3388</c:v>
                </c:pt>
                <c:pt idx="213">
                  <c:v>3203.6677</c:v>
                </c:pt>
                <c:pt idx="214">
                  <c:v>3199.0794999999998</c:v>
                </c:pt>
                <c:pt idx="215">
                  <c:v>3194.9364</c:v>
                </c:pt>
                <c:pt idx="216">
                  <c:v>3191.3627000000001</c:v>
                </c:pt>
                <c:pt idx="217">
                  <c:v>3188.3874999999998</c:v>
                </c:pt>
                <c:pt idx="218">
                  <c:v>3185.3872999999999</c:v>
                </c:pt>
                <c:pt idx="219">
                  <c:v>3182.6543000000001</c:v>
                </c:pt>
                <c:pt idx="220">
                  <c:v>3181.0776000000001</c:v>
                </c:pt>
                <c:pt idx="221">
                  <c:v>3180.3946000000001</c:v>
                </c:pt>
                <c:pt idx="222">
                  <c:v>3179.7015000000001</c:v>
                </c:pt>
                <c:pt idx="223">
                  <c:v>3179.0585999999998</c:v>
                </c:pt>
                <c:pt idx="224">
                  <c:v>3179.6098000000002</c:v>
                </c:pt>
                <c:pt idx="225">
                  <c:v>3180.5255999999999</c:v>
                </c:pt>
                <c:pt idx="226">
                  <c:v>3181.6091999999999</c:v>
                </c:pt>
                <c:pt idx="227">
                  <c:v>3182.6314000000002</c:v>
                </c:pt>
                <c:pt idx="228">
                  <c:v>3183.9367999999999</c:v>
                </c:pt>
                <c:pt idx="229">
                  <c:v>3185.2602000000002</c:v>
                </c:pt>
                <c:pt idx="230">
                  <c:v>3186.5830999999998</c:v>
                </c:pt>
                <c:pt idx="231">
                  <c:v>3187.8416000000002</c:v>
                </c:pt>
                <c:pt idx="232">
                  <c:v>3189.0129999999999</c:v>
                </c:pt>
                <c:pt idx="233">
                  <c:v>3190.1365999999998</c:v>
                </c:pt>
                <c:pt idx="234">
                  <c:v>3191.2141999999999</c:v>
                </c:pt>
                <c:pt idx="235">
                  <c:v>3192.2541000000001</c:v>
                </c:pt>
                <c:pt idx="236">
                  <c:v>3193.2433999999998</c:v>
                </c:pt>
                <c:pt idx="237">
                  <c:v>3194.1295</c:v>
                </c:pt>
                <c:pt idx="238">
                  <c:v>3194.9546</c:v>
                </c:pt>
                <c:pt idx="239">
                  <c:v>3195.7073999999998</c:v>
                </c:pt>
                <c:pt idx="240">
                  <c:v>3196.4413</c:v>
                </c:pt>
                <c:pt idx="241">
                  <c:v>3197.1037999999999</c:v>
                </c:pt>
                <c:pt idx="242">
                  <c:v>3197.7201</c:v>
                </c:pt>
                <c:pt idx="243">
                  <c:v>3198.3261000000002</c:v>
                </c:pt>
                <c:pt idx="244">
                  <c:v>3198.9189000000001</c:v>
                </c:pt>
                <c:pt idx="245">
                  <c:v>3199.5001999999999</c:v>
                </c:pt>
                <c:pt idx="246">
                  <c:v>3200.0787</c:v>
                </c:pt>
                <c:pt idx="247">
                  <c:v>3200.6558</c:v>
                </c:pt>
                <c:pt idx="248">
                  <c:v>3201.2354</c:v>
                </c:pt>
                <c:pt idx="249">
                  <c:v>3201.8063000000002</c:v>
                </c:pt>
                <c:pt idx="250">
                  <c:v>3202.3708999999999</c:v>
                </c:pt>
                <c:pt idx="251">
                  <c:v>3202.9108999999999</c:v>
                </c:pt>
                <c:pt idx="252">
                  <c:v>3203.4344999999998</c:v>
                </c:pt>
                <c:pt idx="253">
                  <c:v>3203.9123</c:v>
                </c:pt>
                <c:pt idx="254">
                  <c:v>3204.3110000000001</c:v>
                </c:pt>
                <c:pt idx="255">
                  <c:v>3204.7085000000002</c:v>
                </c:pt>
                <c:pt idx="256">
                  <c:v>3205.0203000000001</c:v>
                </c:pt>
                <c:pt idx="257">
                  <c:v>3205.3270000000002</c:v>
                </c:pt>
                <c:pt idx="258">
                  <c:v>3205.6275000000001</c:v>
                </c:pt>
                <c:pt idx="259">
                  <c:v>3205.9238999999998</c:v>
                </c:pt>
                <c:pt idx="260">
                  <c:v>3206.2217000000001</c:v>
                </c:pt>
                <c:pt idx="261">
                  <c:v>3206.5178999999998</c:v>
                </c:pt>
                <c:pt idx="262">
                  <c:v>3206.8049999999998</c:v>
                </c:pt>
                <c:pt idx="263">
                  <c:v>3207.0718000000002</c:v>
                </c:pt>
                <c:pt idx="264">
                  <c:v>3207.3301000000001</c:v>
                </c:pt>
                <c:pt idx="265">
                  <c:v>3207.5830999999998</c:v>
                </c:pt>
                <c:pt idx="266">
                  <c:v>3207.8380000000002</c:v>
                </c:pt>
                <c:pt idx="267">
                  <c:v>3208.0475000000001</c:v>
                </c:pt>
                <c:pt idx="268">
                  <c:v>3208.2231999999999</c:v>
                </c:pt>
                <c:pt idx="269">
                  <c:v>3208.3995</c:v>
                </c:pt>
                <c:pt idx="270">
                  <c:v>3208.5412999999999</c:v>
                </c:pt>
                <c:pt idx="271">
                  <c:v>3208.6151</c:v>
                </c:pt>
                <c:pt idx="272">
                  <c:v>3208.6306</c:v>
                </c:pt>
                <c:pt idx="273">
                  <c:v>3208.6152999999999</c:v>
                </c:pt>
                <c:pt idx="274">
                  <c:v>3208.5990999999999</c:v>
                </c:pt>
                <c:pt idx="275">
                  <c:v>3208.5825</c:v>
                </c:pt>
                <c:pt idx="276">
                  <c:v>3208.5677999999998</c:v>
                </c:pt>
                <c:pt idx="277">
                  <c:v>3208.5446000000002</c:v>
                </c:pt>
                <c:pt idx="278">
                  <c:v>3208.5048999999999</c:v>
                </c:pt>
                <c:pt idx="279">
                  <c:v>3208.3744999999999</c:v>
                </c:pt>
                <c:pt idx="280">
                  <c:v>3208.2381</c:v>
                </c:pt>
                <c:pt idx="281">
                  <c:v>3208.1010000000001</c:v>
                </c:pt>
                <c:pt idx="282">
                  <c:v>3207.9623000000001</c:v>
                </c:pt>
                <c:pt idx="283">
                  <c:v>3207.8245999999999</c:v>
                </c:pt>
                <c:pt idx="284">
                  <c:v>3207.6538</c:v>
                </c:pt>
                <c:pt idx="285">
                  <c:v>3207.4007999999999</c:v>
                </c:pt>
                <c:pt idx="286">
                  <c:v>3207.0605999999998</c:v>
                </c:pt>
                <c:pt idx="287">
                  <c:v>3206.7220000000002</c:v>
                </c:pt>
                <c:pt idx="288">
                  <c:v>3206.3429999999998</c:v>
                </c:pt>
                <c:pt idx="289">
                  <c:v>3205.9171999999999</c:v>
                </c:pt>
                <c:pt idx="290">
                  <c:v>3205.4839000000002</c:v>
                </c:pt>
                <c:pt idx="291">
                  <c:v>3205.0482000000002</c:v>
                </c:pt>
                <c:pt idx="292">
                  <c:v>3204.6107000000002</c:v>
                </c:pt>
                <c:pt idx="293">
                  <c:v>3204.1750999999999</c:v>
                </c:pt>
                <c:pt idx="294">
                  <c:v>3203.7368999999999</c:v>
                </c:pt>
                <c:pt idx="295">
                  <c:v>3203.2946000000002</c:v>
                </c:pt>
                <c:pt idx="296">
                  <c:v>3202.8444</c:v>
                </c:pt>
                <c:pt idx="297">
                  <c:v>3202.3944000000001</c:v>
                </c:pt>
                <c:pt idx="298">
                  <c:v>3201.9421000000002</c:v>
                </c:pt>
                <c:pt idx="299">
                  <c:v>3201.4875999999999</c:v>
                </c:pt>
                <c:pt idx="300">
                  <c:v>3200.9243999999999</c:v>
                </c:pt>
                <c:pt idx="301">
                  <c:v>3200.2296000000001</c:v>
                </c:pt>
                <c:pt idx="302">
                  <c:v>3199.4994999999999</c:v>
                </c:pt>
                <c:pt idx="303">
                  <c:v>3198.7678000000001</c:v>
                </c:pt>
                <c:pt idx="304">
                  <c:v>3198.0291000000002</c:v>
                </c:pt>
                <c:pt idx="305">
                  <c:v>3197.2020000000002</c:v>
                </c:pt>
                <c:pt idx="306">
                  <c:v>3196.3515000000002</c:v>
                </c:pt>
                <c:pt idx="307">
                  <c:v>3195.4994999999999</c:v>
                </c:pt>
                <c:pt idx="308">
                  <c:v>3194.6410999999998</c:v>
                </c:pt>
                <c:pt idx="309">
                  <c:v>3193.6632</c:v>
                </c:pt>
                <c:pt idx="310">
                  <c:v>3192.4580000000001</c:v>
                </c:pt>
                <c:pt idx="311">
                  <c:v>3191.0077000000001</c:v>
                </c:pt>
                <c:pt idx="312">
                  <c:v>3189.4056</c:v>
                </c:pt>
                <c:pt idx="313">
                  <c:v>3187.7485999999999</c:v>
                </c:pt>
                <c:pt idx="314">
                  <c:v>3186.0951</c:v>
                </c:pt>
                <c:pt idx="315">
                  <c:v>3184.4322000000002</c:v>
                </c:pt>
                <c:pt idx="316">
                  <c:v>3182.7685000000001</c:v>
                </c:pt>
                <c:pt idx="317">
                  <c:v>3181.0445</c:v>
                </c:pt>
                <c:pt idx="318">
                  <c:v>3179.0853999999999</c:v>
                </c:pt>
                <c:pt idx="319">
                  <c:v>3176.7954</c:v>
                </c:pt>
                <c:pt idx="320">
                  <c:v>3174.4933000000001</c:v>
                </c:pt>
                <c:pt idx="321">
                  <c:v>3171.8809000000001</c:v>
                </c:pt>
                <c:pt idx="322">
                  <c:v>3169.3060999999998</c:v>
                </c:pt>
                <c:pt idx="323">
                  <c:v>3166.7311</c:v>
                </c:pt>
                <c:pt idx="324">
                  <c:v>3164.1565999999998</c:v>
                </c:pt>
                <c:pt idx="325">
                  <c:v>3161.5796</c:v>
                </c:pt>
                <c:pt idx="326">
                  <c:v>3159.0023000000001</c:v>
                </c:pt>
                <c:pt idx="327">
                  <c:v>3156.7372</c:v>
                </c:pt>
                <c:pt idx="328">
                  <c:v>3155.0707000000002</c:v>
                </c:pt>
                <c:pt idx="329">
                  <c:v>3153.5590000000002</c:v>
                </c:pt>
                <c:pt idx="330">
                  <c:v>3152.0453000000002</c:v>
                </c:pt>
                <c:pt idx="331">
                  <c:v>3150.8607000000002</c:v>
                </c:pt>
                <c:pt idx="332">
                  <c:v>3150.2501000000002</c:v>
                </c:pt>
                <c:pt idx="333">
                  <c:v>3149.9598999999998</c:v>
                </c:pt>
                <c:pt idx="334">
                  <c:v>3149.6559000000002</c:v>
                </c:pt>
                <c:pt idx="335">
                  <c:v>3149.5979000000002</c:v>
                </c:pt>
                <c:pt idx="336">
                  <c:v>3149.7312000000002</c:v>
                </c:pt>
                <c:pt idx="337">
                  <c:v>3149.9245000000001</c:v>
                </c:pt>
                <c:pt idx="338">
                  <c:v>3149.6819</c:v>
                </c:pt>
                <c:pt idx="339">
                  <c:v>3148.8901999999998</c:v>
                </c:pt>
                <c:pt idx="340">
                  <c:v>3145.8779</c:v>
                </c:pt>
                <c:pt idx="341">
                  <c:v>3140.4542000000001</c:v>
                </c:pt>
                <c:pt idx="342">
                  <c:v>3134.4996000000001</c:v>
                </c:pt>
                <c:pt idx="343">
                  <c:v>3128.5455999999999</c:v>
                </c:pt>
                <c:pt idx="344">
                  <c:v>3122.5852</c:v>
                </c:pt>
                <c:pt idx="345">
                  <c:v>3116.6192999999998</c:v>
                </c:pt>
                <c:pt idx="346">
                  <c:v>3110.6432</c:v>
                </c:pt>
                <c:pt idx="347">
                  <c:v>3104.6574999999998</c:v>
                </c:pt>
                <c:pt idx="348">
                  <c:v>3098.6651999999999</c:v>
                </c:pt>
                <c:pt idx="349">
                  <c:v>3092.6686</c:v>
                </c:pt>
                <c:pt idx="350">
                  <c:v>3086.5889000000002</c:v>
                </c:pt>
                <c:pt idx="351">
                  <c:v>3080.41</c:v>
                </c:pt>
                <c:pt idx="352">
                  <c:v>3074.2293</c:v>
                </c:pt>
                <c:pt idx="353">
                  <c:v>3068.0448000000001</c:v>
                </c:pt>
                <c:pt idx="354">
                  <c:v>3061.8526999999999</c:v>
                </c:pt>
                <c:pt idx="355">
                  <c:v>3055.6617999999999</c:v>
                </c:pt>
                <c:pt idx="356">
                  <c:v>3049.4611</c:v>
                </c:pt>
                <c:pt idx="357">
                  <c:v>3043.2613999999999</c:v>
                </c:pt>
                <c:pt idx="358">
                  <c:v>3037.0572999999999</c:v>
                </c:pt>
                <c:pt idx="359">
                  <c:v>3030.8447999999999</c:v>
                </c:pt>
                <c:pt idx="360">
                  <c:v>3024.5178000000001</c:v>
                </c:pt>
                <c:pt idx="361">
                  <c:v>3018.1118000000001</c:v>
                </c:pt>
                <c:pt idx="362">
                  <c:v>3011.7013000000002</c:v>
                </c:pt>
                <c:pt idx="363">
                  <c:v>3005.2864</c:v>
                </c:pt>
                <c:pt idx="364">
                  <c:v>2998.8690000000001</c:v>
                </c:pt>
                <c:pt idx="365">
                  <c:v>2992.4452000000001</c:v>
                </c:pt>
                <c:pt idx="366">
                  <c:v>2986.0189</c:v>
                </c:pt>
                <c:pt idx="367">
                  <c:v>2979.5889999999999</c:v>
                </c:pt>
                <c:pt idx="368">
                  <c:v>2973.1559999999999</c:v>
                </c:pt>
                <c:pt idx="369">
                  <c:v>2966.7179999999998</c:v>
                </c:pt>
                <c:pt idx="370">
                  <c:v>2960.2759999999998</c:v>
                </c:pt>
                <c:pt idx="371">
                  <c:v>2953.8290000000002</c:v>
                </c:pt>
                <c:pt idx="372">
                  <c:v>2947.375</c:v>
                </c:pt>
                <c:pt idx="373">
                  <c:v>2940.92</c:v>
                </c:pt>
                <c:pt idx="374">
                  <c:v>2934.46</c:v>
                </c:pt>
                <c:pt idx="375">
                  <c:v>2928</c:v>
                </c:pt>
                <c:pt idx="376">
                  <c:v>2921.53</c:v>
                </c:pt>
                <c:pt idx="377">
                  <c:v>2915.0590000000002</c:v>
                </c:pt>
                <c:pt idx="378">
                  <c:v>2908.585</c:v>
                </c:pt>
                <c:pt idx="379">
                  <c:v>2902.1039999999998</c:v>
                </c:pt>
                <c:pt idx="380">
                  <c:v>2895.6219999999998</c:v>
                </c:pt>
                <c:pt idx="381">
                  <c:v>2889.1320000000001</c:v>
                </c:pt>
                <c:pt idx="382">
                  <c:v>2882.64</c:v>
                </c:pt>
                <c:pt idx="383">
                  <c:v>2876.1439999999998</c:v>
                </c:pt>
                <c:pt idx="384">
                  <c:v>2869.893</c:v>
                </c:pt>
                <c:pt idx="385">
                  <c:v>2865.7829999999999</c:v>
                </c:pt>
                <c:pt idx="386">
                  <c:v>2864.3359999999998</c:v>
                </c:pt>
                <c:pt idx="387">
                  <c:v>2864.3910000000001</c:v>
                </c:pt>
                <c:pt idx="388">
                  <c:v>2866.02</c:v>
                </c:pt>
                <c:pt idx="389">
                  <c:v>2867.998</c:v>
                </c:pt>
                <c:pt idx="390">
                  <c:v>2870.1019999999999</c:v>
                </c:pt>
                <c:pt idx="391">
                  <c:v>2872.2020000000002</c:v>
                </c:pt>
                <c:pt idx="392">
                  <c:v>2874.3020000000001</c:v>
                </c:pt>
                <c:pt idx="393">
                  <c:v>2876.4079999999999</c:v>
                </c:pt>
                <c:pt idx="394">
                  <c:v>2878.509</c:v>
                </c:pt>
                <c:pt idx="395">
                  <c:v>2880.5970000000002</c:v>
                </c:pt>
                <c:pt idx="396">
                  <c:v>2882.0549999999998</c:v>
                </c:pt>
                <c:pt idx="397">
                  <c:v>2882.9050000000002</c:v>
                </c:pt>
                <c:pt idx="398">
                  <c:v>2883.7489999999998</c:v>
                </c:pt>
                <c:pt idx="399">
                  <c:v>2884.596</c:v>
                </c:pt>
                <c:pt idx="400">
                  <c:v>2885.4450000000002</c:v>
                </c:pt>
                <c:pt idx="401">
                  <c:v>2886.2869999999998</c:v>
                </c:pt>
                <c:pt idx="402">
                  <c:v>2887.134</c:v>
                </c:pt>
                <c:pt idx="403">
                  <c:v>2887.9810000000002</c:v>
                </c:pt>
                <c:pt idx="404">
                  <c:v>2888.8240000000001</c:v>
                </c:pt>
                <c:pt idx="405">
                  <c:v>2889.2539999999999</c:v>
                </c:pt>
                <c:pt idx="406">
                  <c:v>2890.0390000000002</c:v>
                </c:pt>
                <c:pt idx="407">
                  <c:v>2890.8240000000001</c:v>
                </c:pt>
                <c:pt idx="408">
                  <c:v>2891.5949999999998</c:v>
                </c:pt>
                <c:pt idx="409">
                  <c:v>2892.3670000000002</c:v>
                </c:pt>
                <c:pt idx="410">
                  <c:v>2893.1320000000001</c:v>
                </c:pt>
                <c:pt idx="411">
                  <c:v>2893.91</c:v>
                </c:pt>
                <c:pt idx="412">
                  <c:v>2894.69</c:v>
                </c:pt>
                <c:pt idx="413">
                  <c:v>2895.4850000000001</c:v>
                </c:pt>
                <c:pt idx="414">
                  <c:v>2896.28</c:v>
                </c:pt>
                <c:pt idx="415">
                  <c:v>2897.0729999999999</c:v>
                </c:pt>
                <c:pt idx="416">
                  <c:v>2897.8739999999998</c:v>
                </c:pt>
                <c:pt idx="417">
                  <c:v>2898.652</c:v>
                </c:pt>
                <c:pt idx="418">
                  <c:v>2899.4250000000002</c:v>
                </c:pt>
                <c:pt idx="419">
                  <c:v>2900.1970000000001</c:v>
                </c:pt>
                <c:pt idx="420">
                  <c:v>2900.9690000000001</c:v>
                </c:pt>
                <c:pt idx="421">
                  <c:v>2901.741</c:v>
                </c:pt>
                <c:pt idx="422">
                  <c:v>2902.5169999999998</c:v>
                </c:pt>
                <c:pt idx="423">
                  <c:v>2903.2869999999998</c:v>
                </c:pt>
                <c:pt idx="424">
                  <c:v>2904.0680000000002</c:v>
                </c:pt>
                <c:pt idx="425">
                  <c:v>2904.8409999999999</c:v>
                </c:pt>
                <c:pt idx="426">
                  <c:v>2905.6</c:v>
                </c:pt>
                <c:pt idx="427">
                  <c:v>2906.3649999999998</c:v>
                </c:pt>
                <c:pt idx="428">
                  <c:v>2907.0859999999998</c:v>
                </c:pt>
                <c:pt idx="429">
                  <c:v>2907.6930000000002</c:v>
                </c:pt>
                <c:pt idx="430">
                  <c:v>2908.2939999999999</c:v>
                </c:pt>
                <c:pt idx="431">
                  <c:v>2908.8890000000001</c:v>
                </c:pt>
                <c:pt idx="432">
                  <c:v>2909.4859999999999</c:v>
                </c:pt>
                <c:pt idx="433">
                  <c:v>2910.0889999999999</c:v>
                </c:pt>
                <c:pt idx="434">
                  <c:v>2910.6849999999999</c:v>
                </c:pt>
                <c:pt idx="435">
                  <c:v>2911.277</c:v>
                </c:pt>
                <c:pt idx="436">
                  <c:v>2911.8710000000001</c:v>
                </c:pt>
                <c:pt idx="437">
                  <c:v>2912.4560000000001</c:v>
                </c:pt>
                <c:pt idx="438">
                  <c:v>2913.0439999999999</c:v>
                </c:pt>
                <c:pt idx="439">
                  <c:v>2913.6320000000001</c:v>
                </c:pt>
                <c:pt idx="440">
                  <c:v>2914.2170000000001</c:v>
                </c:pt>
                <c:pt idx="441">
                  <c:v>2914.8119999999999</c:v>
                </c:pt>
                <c:pt idx="442">
                  <c:v>2915.39</c:v>
                </c:pt>
                <c:pt idx="443">
                  <c:v>2915.9859999999999</c:v>
                </c:pt>
                <c:pt idx="444">
                  <c:v>2916.5709999999999</c:v>
                </c:pt>
                <c:pt idx="445">
                  <c:v>2917.0639999999999</c:v>
                </c:pt>
                <c:pt idx="446">
                  <c:v>2917.48</c:v>
                </c:pt>
                <c:pt idx="447">
                  <c:v>2917.8409999999999</c:v>
                </c:pt>
                <c:pt idx="448">
                  <c:v>2918.181</c:v>
                </c:pt>
                <c:pt idx="449">
                  <c:v>2918.453</c:v>
                </c:pt>
                <c:pt idx="450">
                  <c:v>2918.6350000000002</c:v>
                </c:pt>
                <c:pt idx="451">
                  <c:v>2918.8209999999999</c:v>
                </c:pt>
                <c:pt idx="452">
                  <c:v>2919.0050000000001</c:v>
                </c:pt>
                <c:pt idx="453">
                  <c:v>2919.194</c:v>
                </c:pt>
                <c:pt idx="454">
                  <c:v>2919.377</c:v>
                </c:pt>
                <c:pt idx="455" formatCode="General">
                  <c:v>2919.5639999999999</c:v>
                </c:pt>
                <c:pt idx="456" formatCode="General">
                  <c:v>2919.75</c:v>
                </c:pt>
                <c:pt idx="457" formatCode="General">
                  <c:v>2919.9340000000002</c:v>
                </c:pt>
                <c:pt idx="458" formatCode="General">
                  <c:v>2920.1109999999999</c:v>
                </c:pt>
                <c:pt idx="459" formatCode="General">
                  <c:v>2920.2869999999998</c:v>
                </c:pt>
                <c:pt idx="460" formatCode="General">
                  <c:v>2920.47</c:v>
                </c:pt>
                <c:pt idx="461" formatCode="General">
                  <c:v>2920.6419999999998</c:v>
                </c:pt>
                <c:pt idx="462" formatCode="General">
                  <c:v>2920.7869999999998</c:v>
                </c:pt>
                <c:pt idx="463" formatCode="General">
                  <c:v>2920.933</c:v>
                </c:pt>
                <c:pt idx="464" formatCode="General">
                  <c:v>2921.0740000000001</c:v>
                </c:pt>
                <c:pt idx="465" formatCode="General">
                  <c:v>2921.212</c:v>
                </c:pt>
                <c:pt idx="466" formatCode="General">
                  <c:v>2921.346</c:v>
                </c:pt>
                <c:pt idx="467" formatCode="General">
                  <c:v>2921.48</c:v>
                </c:pt>
                <c:pt idx="468" formatCode="General">
                  <c:v>2921.614</c:v>
                </c:pt>
                <c:pt idx="469" formatCode="General">
                  <c:v>2921.7449999999999</c:v>
                </c:pt>
                <c:pt idx="470" formatCode="General">
                  <c:v>2921.8850000000002</c:v>
                </c:pt>
                <c:pt idx="471" formatCode="General">
                  <c:v>2922.0160000000001</c:v>
                </c:pt>
                <c:pt idx="472" formatCode="General">
                  <c:v>2922.1489999999999</c:v>
                </c:pt>
                <c:pt idx="473" formatCode="General">
                  <c:v>2922.2829999999999</c:v>
                </c:pt>
                <c:pt idx="474" formatCode="General">
                  <c:v>2922.4160000000002</c:v>
                </c:pt>
                <c:pt idx="475" formatCode="General">
                  <c:v>2922.5450000000001</c:v>
                </c:pt>
                <c:pt idx="476" formatCode="General">
                  <c:v>2922.6790000000001</c:v>
                </c:pt>
                <c:pt idx="477" formatCode="General">
                  <c:v>2922.8110000000001</c:v>
                </c:pt>
                <c:pt idx="478" formatCode="General">
                  <c:v>2922.8890000000001</c:v>
                </c:pt>
                <c:pt idx="479" formatCode="General">
                  <c:v>2922.9929999999999</c:v>
                </c:pt>
                <c:pt idx="480" formatCode="General">
                  <c:v>2923.0920000000001</c:v>
                </c:pt>
                <c:pt idx="481" formatCode="General">
                  <c:v>2923.1909999999998</c:v>
                </c:pt>
                <c:pt idx="482" formatCode="General">
                  <c:v>2923.288</c:v>
                </c:pt>
                <c:pt idx="483" formatCode="General">
                  <c:v>2923.386</c:v>
                </c:pt>
                <c:pt idx="484" formatCode="General">
                  <c:v>2923.49</c:v>
                </c:pt>
                <c:pt idx="485" formatCode="General">
                  <c:v>2923.5859999999998</c:v>
                </c:pt>
                <c:pt idx="486" formatCode="General">
                  <c:v>2923.6880000000001</c:v>
                </c:pt>
                <c:pt idx="487" formatCode="General">
                  <c:v>2923.7860000000001</c:v>
                </c:pt>
                <c:pt idx="488" formatCode="General">
                  <c:v>2923.8879999999999</c:v>
                </c:pt>
                <c:pt idx="489" formatCode="General">
                  <c:v>2923.98</c:v>
                </c:pt>
                <c:pt idx="490" formatCode="General">
                  <c:v>2924.069</c:v>
                </c:pt>
                <c:pt idx="491" formatCode="General">
                  <c:v>2924.1579999999999</c:v>
                </c:pt>
                <c:pt idx="492" formatCode="General">
                  <c:v>2924.2539999999999</c:v>
                </c:pt>
                <c:pt idx="493" formatCode="General">
                  <c:v>2924.3409999999999</c:v>
                </c:pt>
                <c:pt idx="494" formatCode="General">
                  <c:v>2924.4250000000002</c:v>
                </c:pt>
                <c:pt idx="495" formatCode="General">
                  <c:v>2924.5120000000002</c:v>
                </c:pt>
                <c:pt idx="496" formatCode="General">
                  <c:v>2924.5940000000001</c:v>
                </c:pt>
                <c:pt idx="497" formatCode="General">
                  <c:v>2924.6660000000002</c:v>
                </c:pt>
                <c:pt idx="498" formatCode="General">
                  <c:v>2924.7350000000001</c:v>
                </c:pt>
                <c:pt idx="499" formatCode="General">
                  <c:v>2924.8049999999998</c:v>
                </c:pt>
              </c:numCache>
            </c:numRef>
          </c:yVal>
          <c:smooth val="1"/>
          <c:extLst>
            <c:ext xmlns:c16="http://schemas.microsoft.com/office/drawing/2014/chart" uri="{C3380CC4-5D6E-409C-BE32-E72D297353CC}">
              <c16:uniqueId val="{00000001-EB47-3947-8B64-50AA9EDC5D93}"/>
            </c:ext>
          </c:extLst>
        </c:ser>
        <c:dLbls>
          <c:showLegendKey val="0"/>
          <c:showVal val="0"/>
          <c:showCatName val="0"/>
          <c:showSerName val="0"/>
          <c:showPercent val="0"/>
          <c:showBubbleSize val="0"/>
        </c:dLbls>
        <c:axId val="-1113891472"/>
        <c:axId val="-1111633440"/>
      </c:scatterChart>
      <c:valAx>
        <c:axId val="-11138914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Roof Displacement [m]</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11633440"/>
        <c:crosses val="autoZero"/>
        <c:crossBetween val="midCat"/>
      </c:valAx>
      <c:valAx>
        <c:axId val="-111163344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Base Shear [kN]</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13891472"/>
        <c:crosses val="autoZero"/>
        <c:crossBetween val="midCat"/>
      </c:valAx>
      <c:spPr>
        <a:noFill/>
        <a:ln>
          <a:noFill/>
        </a:ln>
        <a:effectLst/>
      </c:spPr>
    </c:plotArea>
    <c:legend>
      <c:legendPos val="r"/>
      <c:layout>
        <c:manualLayout>
          <c:xMode val="edge"/>
          <c:yMode val="edge"/>
          <c:x val="0.65503961965134705"/>
          <c:y val="0.218305241141732"/>
          <c:w val="0.226739037915689"/>
          <c:h val="0.17506727343879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IM = Sa(T1)</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81113592972"/>
          <c:y val="0.127541024186582"/>
          <c:w val="0.78324357038571402"/>
          <c:h val="0.66535798826649095"/>
        </c:manualLayout>
      </c:layout>
      <c:scatterChart>
        <c:scatterStyle val="lineMarker"/>
        <c:varyColors val="0"/>
        <c:ser>
          <c:idx val="1"/>
          <c:order val="0"/>
          <c:tx>
            <c:v>SPO</c:v>
          </c:tx>
          <c:spPr>
            <a:ln w="31750" cap="rnd">
              <a:solidFill>
                <a:schemeClr val="tx1"/>
              </a:solidFill>
              <a:round/>
            </a:ln>
            <a:effectLst/>
          </c:spPr>
          <c:marker>
            <c:symbol val="none"/>
          </c:marker>
          <c:xVal>
            <c:numRef>
              <c:f>Input!$I$4:$I$9</c:f>
              <c:numCache>
                <c:formatCode>0.00</c:formatCode>
                <c:ptCount val="6"/>
                <c:pt idx="0">
                  <c:v>0</c:v>
                </c:pt>
                <c:pt idx="1">
                  <c:v>1</c:v>
                </c:pt>
                <c:pt idx="2">
                  <c:v>2.5</c:v>
                </c:pt>
                <c:pt idx="3">
                  <c:v>4.25</c:v>
                </c:pt>
                <c:pt idx="4">
                  <c:v>7.0000000000000009</c:v>
                </c:pt>
                <c:pt idx="5">
                  <c:v>9.9986250000000005</c:v>
                </c:pt>
              </c:numCache>
            </c:numRef>
          </c:xVal>
          <c:yVal>
            <c:numRef>
              <c:f>Input!$H$4:$H$9</c:f>
              <c:numCache>
                <c:formatCode>0.00</c:formatCode>
                <c:ptCount val="6"/>
                <c:pt idx="0">
                  <c:v>0</c:v>
                </c:pt>
                <c:pt idx="1">
                  <c:v>1</c:v>
                </c:pt>
                <c:pt idx="2">
                  <c:v>1</c:v>
                </c:pt>
                <c:pt idx="3">
                  <c:v>0.8997446137203966</c:v>
                </c:pt>
                <c:pt idx="4">
                  <c:v>0.8997446137203966</c:v>
                </c:pt>
                <c:pt idx="5">
                  <c:v>0</c:v>
                </c:pt>
              </c:numCache>
            </c:numRef>
          </c:yVal>
          <c:smooth val="0"/>
          <c:extLst>
            <c:ext xmlns:c16="http://schemas.microsoft.com/office/drawing/2014/chart" uri="{C3380CC4-5D6E-409C-BE32-E72D297353CC}">
              <c16:uniqueId val="{00000000-8CDF-D04D-A191-7536617D6B6C}"/>
            </c:ext>
          </c:extLst>
        </c:ser>
        <c:ser>
          <c:idx val="0"/>
          <c:order val="1"/>
          <c:tx>
            <c:v>16%</c:v>
          </c:tx>
          <c:spPr>
            <a:ln w="25400" cap="rnd">
              <a:solidFill>
                <a:srgbClr val="00FA00"/>
              </a:solidFill>
              <a:prstDash val="dash"/>
              <a:round/>
            </a:ln>
            <a:effectLst/>
          </c:spPr>
          <c:marker>
            <c:symbol val="none"/>
          </c:marker>
          <c:xVal>
            <c:numRef>
              <c:f>'Output (Sa(T1))'!$F$6:$F$46</c:f>
              <c:numCache>
                <c:formatCode>0.00</c:formatCode>
                <c:ptCount val="41"/>
                <c:pt idx="0">
                  <c:v>1</c:v>
                </c:pt>
                <c:pt idx="1">
                  <c:v>1.1666666666666667</c:v>
                </c:pt>
                <c:pt idx="2">
                  <c:v>1.3333333333333335</c:v>
                </c:pt>
                <c:pt idx="3">
                  <c:v>1.5000000000000002</c:v>
                </c:pt>
                <c:pt idx="4">
                  <c:v>1.666666666666667</c:v>
                </c:pt>
                <c:pt idx="5">
                  <c:v>1.8333333333333337</c:v>
                </c:pt>
                <c:pt idx="6">
                  <c:v>2.0000000000000004</c:v>
                </c:pt>
                <c:pt idx="7">
                  <c:v>2.166666666666667</c:v>
                </c:pt>
                <c:pt idx="8">
                  <c:v>2.3333333333333335</c:v>
                </c:pt>
                <c:pt idx="9">
                  <c:v>2.5</c:v>
                </c:pt>
                <c:pt idx="10">
                  <c:v>2.5</c:v>
                </c:pt>
                <c:pt idx="11">
                  <c:v>2.6944444444444446</c:v>
                </c:pt>
                <c:pt idx="12">
                  <c:v>2.8888888888888893</c:v>
                </c:pt>
                <c:pt idx="13">
                  <c:v>3.0833333333333339</c:v>
                </c:pt>
                <c:pt idx="14">
                  <c:v>3.2777777777777786</c:v>
                </c:pt>
                <c:pt idx="15">
                  <c:v>3.4722222222222232</c:v>
                </c:pt>
                <c:pt idx="16">
                  <c:v>3.6666666666666679</c:v>
                </c:pt>
                <c:pt idx="17">
                  <c:v>3.8611111111111125</c:v>
                </c:pt>
                <c:pt idx="18">
                  <c:v>4.0555555555555571</c:v>
                </c:pt>
                <c:pt idx="19">
                  <c:v>4.25</c:v>
                </c:pt>
                <c:pt idx="20">
                  <c:v>4.25</c:v>
                </c:pt>
                <c:pt idx="21">
                  <c:v>4.5555555555555554</c:v>
                </c:pt>
                <c:pt idx="22">
                  <c:v>4.8611111111111107</c:v>
                </c:pt>
                <c:pt idx="23">
                  <c:v>5.1666666666666661</c:v>
                </c:pt>
                <c:pt idx="24">
                  <c:v>5.4722222222222214</c:v>
                </c:pt>
                <c:pt idx="25">
                  <c:v>5.7777777777777768</c:v>
                </c:pt>
                <c:pt idx="26">
                  <c:v>6.0833333333333321</c:v>
                </c:pt>
                <c:pt idx="27">
                  <c:v>6.3888888888888875</c:v>
                </c:pt>
                <c:pt idx="28">
                  <c:v>6.6944444444444429</c:v>
                </c:pt>
                <c:pt idx="29">
                  <c:v>7.0000000000000009</c:v>
                </c:pt>
                <c:pt idx="30">
                  <c:v>7.0000000000000009</c:v>
                </c:pt>
                <c:pt idx="31">
                  <c:v>7.3331805555555567</c:v>
                </c:pt>
                <c:pt idx="32">
                  <c:v>7.6663611111111125</c:v>
                </c:pt>
                <c:pt idx="33">
                  <c:v>7.9995416666666683</c:v>
                </c:pt>
                <c:pt idx="34">
                  <c:v>8.3327222222222233</c:v>
                </c:pt>
                <c:pt idx="35">
                  <c:v>8.6659027777777791</c:v>
                </c:pt>
                <c:pt idx="36">
                  <c:v>8.9990833333333349</c:v>
                </c:pt>
                <c:pt idx="37">
                  <c:v>9.3322638888888907</c:v>
                </c:pt>
                <c:pt idx="38">
                  <c:v>9.6654444444444465</c:v>
                </c:pt>
                <c:pt idx="39">
                  <c:v>9.9986250000000005</c:v>
                </c:pt>
                <c:pt idx="40">
                  <c:v>11.998625000000001</c:v>
                </c:pt>
              </c:numCache>
            </c:numRef>
          </c:xVal>
          <c:yVal>
            <c:numRef>
              <c:f>'Output (Sa(T1))'!$O$6:$O$46</c:f>
              <c:numCache>
                <c:formatCode>0.00</c:formatCode>
                <c:ptCount val="41"/>
                <c:pt idx="0">
                  <c:v>1</c:v>
                </c:pt>
                <c:pt idx="1">
                  <c:v>1.2028983718021313</c:v>
                </c:pt>
                <c:pt idx="2">
                  <c:v>1.4045453128349985</c:v>
                </c:pt>
                <c:pt idx="3">
                  <c:v>1.6051044794321645</c:v>
                </c:pt>
                <c:pt idx="4">
                  <c:v>1.8047022031379882</c:v>
                </c:pt>
                <c:pt idx="5">
                  <c:v>2.0034389152359715</c:v>
                </c:pt>
                <c:pt idx="6">
                  <c:v>2.2013963441949418</c:v>
                </c:pt>
                <c:pt idx="7">
                  <c:v>2.3986422753534118</c:v>
                </c:pt>
                <c:pt idx="8">
                  <c:v>2.5952338240330821</c:v>
                </c:pt>
                <c:pt idx="9">
                  <c:v>2.7912197601289819</c:v>
                </c:pt>
                <c:pt idx="10">
                  <c:v>2.7912197601289819</c:v>
                </c:pt>
                <c:pt idx="11">
                  <c:v>2.9416539851965395</c:v>
                </c:pt>
                <c:pt idx="12">
                  <c:v>3.0913940018940878</c:v>
                </c:pt>
                <c:pt idx="13">
                  <c:v>3.2404398102216265</c:v>
                </c:pt>
                <c:pt idx="14">
                  <c:v>3.3887914101791554</c:v>
                </c:pt>
                <c:pt idx="15">
                  <c:v>3.5364488017666749</c:v>
                </c:pt>
                <c:pt idx="16">
                  <c:v>3.6834119849841853</c:v>
                </c:pt>
                <c:pt idx="17">
                  <c:v>3.8296809598316854</c:v>
                </c:pt>
                <c:pt idx="18">
                  <c:v>3.975255726309177</c:v>
                </c:pt>
                <c:pt idx="19">
                  <c:v>4.1201362844166569</c:v>
                </c:pt>
                <c:pt idx="20">
                  <c:v>4.1201362844166569</c:v>
                </c:pt>
                <c:pt idx="21">
                  <c:v>4.2849695358953186</c:v>
                </c:pt>
                <c:pt idx="22">
                  <c:v>4.4498027873739803</c:v>
                </c:pt>
                <c:pt idx="23">
                  <c:v>4.614636038852642</c:v>
                </c:pt>
                <c:pt idx="24">
                  <c:v>4.7794692903313036</c:v>
                </c:pt>
                <c:pt idx="25">
                  <c:v>4.9443025418099653</c:v>
                </c:pt>
                <c:pt idx="26">
                  <c:v>5.109135793288627</c:v>
                </c:pt>
                <c:pt idx="27">
                  <c:v>5.2739690447672887</c:v>
                </c:pt>
                <c:pt idx="28">
                  <c:v>5.4388022962459504</c:v>
                </c:pt>
                <c:pt idx="29">
                  <c:v>5.6036355477246138</c:v>
                </c:pt>
                <c:pt idx="30">
                  <c:v>5.6036355477246138</c:v>
                </c:pt>
                <c:pt idx="31">
                  <c:v>5.6774043768614497</c:v>
                </c:pt>
                <c:pt idx="32">
                  <c:v>5.7511732059982847</c:v>
                </c:pt>
                <c:pt idx="33">
                  <c:v>5.8249420351351198</c:v>
                </c:pt>
                <c:pt idx="34">
                  <c:v>5.8987108642719548</c:v>
                </c:pt>
                <c:pt idx="35">
                  <c:v>5.9724796934087898</c:v>
                </c:pt>
                <c:pt idx="36">
                  <c:v>6.0462485225456248</c:v>
                </c:pt>
                <c:pt idx="37">
                  <c:v>6.1200173516824599</c:v>
                </c:pt>
                <c:pt idx="38">
                  <c:v>6.1937861808192949</c:v>
                </c:pt>
                <c:pt idx="39">
                  <c:v>6.2675550099561299</c:v>
                </c:pt>
                <c:pt idx="40">
                  <c:v>6.2675550099561299</c:v>
                </c:pt>
              </c:numCache>
            </c:numRef>
          </c:yVal>
          <c:smooth val="0"/>
          <c:extLst>
            <c:ext xmlns:c16="http://schemas.microsoft.com/office/drawing/2014/chart" uri="{C3380CC4-5D6E-409C-BE32-E72D297353CC}">
              <c16:uniqueId val="{00000001-8CDF-D04D-A191-7536617D6B6C}"/>
            </c:ext>
          </c:extLst>
        </c:ser>
        <c:ser>
          <c:idx val="2"/>
          <c:order val="2"/>
          <c:tx>
            <c:v>50%</c:v>
          </c:tx>
          <c:spPr>
            <a:ln w="38100" cap="rnd">
              <a:solidFill>
                <a:srgbClr val="FF0000"/>
              </a:solidFill>
              <a:round/>
            </a:ln>
            <a:effectLst/>
          </c:spPr>
          <c:marker>
            <c:symbol val="none"/>
          </c:marker>
          <c:xVal>
            <c:numRef>
              <c:f>'Output (Sa(T1))'!$F$6:$F$46</c:f>
              <c:numCache>
                <c:formatCode>0.00</c:formatCode>
                <c:ptCount val="41"/>
                <c:pt idx="0">
                  <c:v>1</c:v>
                </c:pt>
                <c:pt idx="1">
                  <c:v>1.1666666666666667</c:v>
                </c:pt>
                <c:pt idx="2">
                  <c:v>1.3333333333333335</c:v>
                </c:pt>
                <c:pt idx="3">
                  <c:v>1.5000000000000002</c:v>
                </c:pt>
                <c:pt idx="4">
                  <c:v>1.666666666666667</c:v>
                </c:pt>
                <c:pt idx="5">
                  <c:v>1.8333333333333337</c:v>
                </c:pt>
                <c:pt idx="6">
                  <c:v>2.0000000000000004</c:v>
                </c:pt>
                <c:pt idx="7">
                  <c:v>2.166666666666667</c:v>
                </c:pt>
                <c:pt idx="8">
                  <c:v>2.3333333333333335</c:v>
                </c:pt>
                <c:pt idx="9">
                  <c:v>2.5</c:v>
                </c:pt>
                <c:pt idx="10">
                  <c:v>2.5</c:v>
                </c:pt>
                <c:pt idx="11">
                  <c:v>2.6944444444444446</c:v>
                </c:pt>
                <c:pt idx="12">
                  <c:v>2.8888888888888893</c:v>
                </c:pt>
                <c:pt idx="13">
                  <c:v>3.0833333333333339</c:v>
                </c:pt>
                <c:pt idx="14">
                  <c:v>3.2777777777777786</c:v>
                </c:pt>
                <c:pt idx="15">
                  <c:v>3.4722222222222232</c:v>
                </c:pt>
                <c:pt idx="16">
                  <c:v>3.6666666666666679</c:v>
                </c:pt>
                <c:pt idx="17">
                  <c:v>3.8611111111111125</c:v>
                </c:pt>
                <c:pt idx="18">
                  <c:v>4.0555555555555571</c:v>
                </c:pt>
                <c:pt idx="19">
                  <c:v>4.25</c:v>
                </c:pt>
                <c:pt idx="20">
                  <c:v>4.25</c:v>
                </c:pt>
                <c:pt idx="21">
                  <c:v>4.5555555555555554</c:v>
                </c:pt>
                <c:pt idx="22">
                  <c:v>4.8611111111111107</c:v>
                </c:pt>
                <c:pt idx="23">
                  <c:v>5.1666666666666661</c:v>
                </c:pt>
                <c:pt idx="24">
                  <c:v>5.4722222222222214</c:v>
                </c:pt>
                <c:pt idx="25">
                  <c:v>5.7777777777777768</c:v>
                </c:pt>
                <c:pt idx="26">
                  <c:v>6.0833333333333321</c:v>
                </c:pt>
                <c:pt idx="27">
                  <c:v>6.3888888888888875</c:v>
                </c:pt>
                <c:pt idx="28">
                  <c:v>6.6944444444444429</c:v>
                </c:pt>
                <c:pt idx="29">
                  <c:v>7.0000000000000009</c:v>
                </c:pt>
                <c:pt idx="30">
                  <c:v>7.0000000000000009</c:v>
                </c:pt>
                <c:pt idx="31">
                  <c:v>7.3331805555555567</c:v>
                </c:pt>
                <c:pt idx="32">
                  <c:v>7.6663611111111125</c:v>
                </c:pt>
                <c:pt idx="33">
                  <c:v>7.9995416666666683</c:v>
                </c:pt>
                <c:pt idx="34">
                  <c:v>8.3327222222222233</c:v>
                </c:pt>
                <c:pt idx="35">
                  <c:v>8.6659027777777791</c:v>
                </c:pt>
                <c:pt idx="36">
                  <c:v>8.9990833333333349</c:v>
                </c:pt>
                <c:pt idx="37">
                  <c:v>9.3322638888888907</c:v>
                </c:pt>
                <c:pt idx="38">
                  <c:v>9.6654444444444465</c:v>
                </c:pt>
                <c:pt idx="39">
                  <c:v>9.9986250000000005</c:v>
                </c:pt>
                <c:pt idx="40">
                  <c:v>11.998625000000001</c:v>
                </c:pt>
              </c:numCache>
            </c:numRef>
          </c:xVal>
          <c:yVal>
            <c:numRef>
              <c:f>'Output (Sa(T1))'!$P$6:$P$46</c:f>
              <c:numCache>
                <c:formatCode>0.00</c:formatCode>
                <c:ptCount val="41"/>
                <c:pt idx="0">
                  <c:v>1</c:v>
                </c:pt>
                <c:pt idx="1">
                  <c:v>1.1353480985853841</c:v>
                </c:pt>
                <c:pt idx="2">
                  <c:v>1.2669729706487869</c:v>
                </c:pt>
                <c:pt idx="3">
                  <c:v>1.3954269085520499</c:v>
                </c:pt>
                <c:pt idx="4">
                  <c:v>1.5211280750023379</c:v>
                </c:pt>
                <c:pt idx="5">
                  <c:v>1.6444032601906484</c:v>
                </c:pt>
                <c:pt idx="6">
                  <c:v>1.7655143462256946</c:v>
                </c:pt>
                <c:pt idx="7">
                  <c:v>1.8846755343114217</c:v>
                </c:pt>
                <c:pt idx="8">
                  <c:v>2.0020650240484845</c:v>
                </c:pt>
                <c:pt idx="9">
                  <c:v>2.1178332012517425</c:v>
                </c:pt>
                <c:pt idx="10">
                  <c:v>2.1178332012517425</c:v>
                </c:pt>
                <c:pt idx="11">
                  <c:v>2.1866710412185011</c:v>
                </c:pt>
                <c:pt idx="12">
                  <c:v>2.2548046052129438</c:v>
                </c:pt>
                <c:pt idx="13">
                  <c:v>2.3222338932350697</c:v>
                </c:pt>
                <c:pt idx="14">
                  <c:v>2.3889589052848788</c:v>
                </c:pt>
                <c:pt idx="15">
                  <c:v>2.454979641362371</c:v>
                </c:pt>
                <c:pt idx="16">
                  <c:v>2.5202961014675465</c:v>
                </c:pt>
                <c:pt idx="17">
                  <c:v>2.584908285600406</c:v>
                </c:pt>
                <c:pt idx="18">
                  <c:v>2.6488161937609487</c:v>
                </c:pt>
                <c:pt idx="19">
                  <c:v>2.7120198259491737</c:v>
                </c:pt>
                <c:pt idx="20">
                  <c:v>2.7120198259491737</c:v>
                </c:pt>
                <c:pt idx="21">
                  <c:v>2.7953629904369777</c:v>
                </c:pt>
                <c:pt idx="22">
                  <c:v>2.8787061549247821</c:v>
                </c:pt>
                <c:pt idx="23">
                  <c:v>2.9620493194125865</c:v>
                </c:pt>
                <c:pt idx="24">
                  <c:v>3.0453924839003905</c:v>
                </c:pt>
                <c:pt idx="25">
                  <c:v>3.1287356483881945</c:v>
                </c:pt>
                <c:pt idx="26">
                  <c:v>3.2120788128759989</c:v>
                </c:pt>
                <c:pt idx="27">
                  <c:v>3.2954219773638029</c:v>
                </c:pt>
                <c:pt idx="28">
                  <c:v>3.3787651418516074</c:v>
                </c:pt>
                <c:pt idx="29">
                  <c:v>3.4621083063394122</c:v>
                </c:pt>
                <c:pt idx="30">
                  <c:v>3.4621083063394122</c:v>
                </c:pt>
                <c:pt idx="31">
                  <c:v>3.4947858021331455</c:v>
                </c:pt>
                <c:pt idx="32">
                  <c:v>3.5274632979268783</c:v>
                </c:pt>
                <c:pt idx="33">
                  <c:v>3.5601407937206111</c:v>
                </c:pt>
                <c:pt idx="34">
                  <c:v>3.5928182895143443</c:v>
                </c:pt>
                <c:pt idx="35">
                  <c:v>3.6254957853080776</c:v>
                </c:pt>
                <c:pt idx="36">
                  <c:v>3.6581732811018104</c:v>
                </c:pt>
                <c:pt idx="37">
                  <c:v>3.6908507768955436</c:v>
                </c:pt>
                <c:pt idx="38">
                  <c:v>3.7235282726892764</c:v>
                </c:pt>
                <c:pt idx="39">
                  <c:v>3.7562057684830097</c:v>
                </c:pt>
                <c:pt idx="40">
                  <c:v>3.7562057684830097</c:v>
                </c:pt>
              </c:numCache>
            </c:numRef>
          </c:yVal>
          <c:smooth val="0"/>
          <c:extLst>
            <c:ext xmlns:c16="http://schemas.microsoft.com/office/drawing/2014/chart" uri="{C3380CC4-5D6E-409C-BE32-E72D297353CC}">
              <c16:uniqueId val="{00000002-8CDF-D04D-A191-7536617D6B6C}"/>
            </c:ext>
          </c:extLst>
        </c:ser>
        <c:ser>
          <c:idx val="3"/>
          <c:order val="3"/>
          <c:tx>
            <c:v>84%</c:v>
          </c:tx>
          <c:spPr>
            <a:ln w="19050" cap="rnd">
              <a:solidFill>
                <a:srgbClr val="FF40FF"/>
              </a:solidFill>
              <a:prstDash val="dash"/>
              <a:round/>
            </a:ln>
            <a:effectLst/>
          </c:spPr>
          <c:marker>
            <c:symbol val="none"/>
          </c:marker>
          <c:xVal>
            <c:numRef>
              <c:f>'Output (Sa(T1))'!$F$6:$F$46</c:f>
              <c:numCache>
                <c:formatCode>0.00</c:formatCode>
                <c:ptCount val="41"/>
                <c:pt idx="0">
                  <c:v>1</c:v>
                </c:pt>
                <c:pt idx="1">
                  <c:v>1.1666666666666667</c:v>
                </c:pt>
                <c:pt idx="2">
                  <c:v>1.3333333333333335</c:v>
                </c:pt>
                <c:pt idx="3">
                  <c:v>1.5000000000000002</c:v>
                </c:pt>
                <c:pt idx="4">
                  <c:v>1.666666666666667</c:v>
                </c:pt>
                <c:pt idx="5">
                  <c:v>1.8333333333333337</c:v>
                </c:pt>
                <c:pt idx="6">
                  <c:v>2.0000000000000004</c:v>
                </c:pt>
                <c:pt idx="7">
                  <c:v>2.166666666666667</c:v>
                </c:pt>
                <c:pt idx="8">
                  <c:v>2.3333333333333335</c:v>
                </c:pt>
                <c:pt idx="9">
                  <c:v>2.5</c:v>
                </c:pt>
                <c:pt idx="10">
                  <c:v>2.5</c:v>
                </c:pt>
                <c:pt idx="11">
                  <c:v>2.6944444444444446</c:v>
                </c:pt>
                <c:pt idx="12">
                  <c:v>2.8888888888888893</c:v>
                </c:pt>
                <c:pt idx="13">
                  <c:v>3.0833333333333339</c:v>
                </c:pt>
                <c:pt idx="14">
                  <c:v>3.2777777777777786</c:v>
                </c:pt>
                <c:pt idx="15">
                  <c:v>3.4722222222222232</c:v>
                </c:pt>
                <c:pt idx="16">
                  <c:v>3.6666666666666679</c:v>
                </c:pt>
                <c:pt idx="17">
                  <c:v>3.8611111111111125</c:v>
                </c:pt>
                <c:pt idx="18">
                  <c:v>4.0555555555555571</c:v>
                </c:pt>
                <c:pt idx="19">
                  <c:v>4.25</c:v>
                </c:pt>
                <c:pt idx="20">
                  <c:v>4.25</c:v>
                </c:pt>
                <c:pt idx="21">
                  <c:v>4.5555555555555554</c:v>
                </c:pt>
                <c:pt idx="22">
                  <c:v>4.8611111111111107</c:v>
                </c:pt>
                <c:pt idx="23">
                  <c:v>5.1666666666666661</c:v>
                </c:pt>
                <c:pt idx="24">
                  <c:v>5.4722222222222214</c:v>
                </c:pt>
                <c:pt idx="25">
                  <c:v>5.7777777777777768</c:v>
                </c:pt>
                <c:pt idx="26">
                  <c:v>6.0833333333333321</c:v>
                </c:pt>
                <c:pt idx="27">
                  <c:v>6.3888888888888875</c:v>
                </c:pt>
                <c:pt idx="28">
                  <c:v>6.6944444444444429</c:v>
                </c:pt>
                <c:pt idx="29">
                  <c:v>7.0000000000000009</c:v>
                </c:pt>
                <c:pt idx="30">
                  <c:v>7.0000000000000009</c:v>
                </c:pt>
                <c:pt idx="31">
                  <c:v>7.3331805555555567</c:v>
                </c:pt>
                <c:pt idx="32">
                  <c:v>7.6663611111111125</c:v>
                </c:pt>
                <c:pt idx="33">
                  <c:v>7.9995416666666683</c:v>
                </c:pt>
                <c:pt idx="34">
                  <c:v>8.3327222222222233</c:v>
                </c:pt>
                <c:pt idx="35">
                  <c:v>8.6659027777777791</c:v>
                </c:pt>
                <c:pt idx="36">
                  <c:v>8.9990833333333349</c:v>
                </c:pt>
                <c:pt idx="37">
                  <c:v>9.3322638888888907</c:v>
                </c:pt>
                <c:pt idx="38">
                  <c:v>9.6654444444444465</c:v>
                </c:pt>
                <c:pt idx="39">
                  <c:v>9.9986250000000005</c:v>
                </c:pt>
                <c:pt idx="40">
                  <c:v>11.998625000000001</c:v>
                </c:pt>
              </c:numCache>
            </c:numRef>
          </c:xVal>
          <c:yVal>
            <c:numRef>
              <c:f>'Output (Sa(T1))'!$Q$6:$Q$46</c:f>
              <c:numCache>
                <c:formatCode>0.00</c:formatCode>
                <c:ptCount val="41"/>
                <c:pt idx="0">
                  <c:v>1</c:v>
                </c:pt>
                <c:pt idx="1">
                  <c:v>1.108273368659761</c:v>
                </c:pt>
                <c:pt idx="2">
                  <c:v>1.2120804831461538</c:v>
                </c:pt>
                <c:pt idx="3">
                  <c:v>1.3121344290844013</c:v>
                </c:pt>
                <c:pt idx="4">
                  <c:v>1.4089683032613496</c:v>
                </c:pt>
                <c:pt idx="5">
                  <c:v>1.5029940653925389</c:v>
                </c:pt>
                <c:pt idx="6">
                  <c:v>1.5945385436968109</c:v>
                </c:pt>
                <c:pt idx="7">
                  <c:v>1.6838666317280548</c:v>
                </c:pt>
                <c:pt idx="8">
                  <c:v>1.7711968687495072</c:v>
                </c:pt>
                <c:pt idx="9">
                  <c:v>1.8567122698820797</c:v>
                </c:pt>
                <c:pt idx="10">
                  <c:v>1.8567122698820797</c:v>
                </c:pt>
                <c:pt idx="11">
                  <c:v>1.8718968167122638</c:v>
                </c:pt>
                <c:pt idx="12">
                  <c:v>1.8866993655390418</c:v>
                </c:pt>
                <c:pt idx="13">
                  <c:v>1.9011199163624137</c:v>
                </c:pt>
                <c:pt idx="14">
                  <c:v>1.9151584691823795</c:v>
                </c:pt>
                <c:pt idx="15">
                  <c:v>1.9288150239989392</c:v>
                </c:pt>
                <c:pt idx="16">
                  <c:v>1.9420895808120926</c:v>
                </c:pt>
                <c:pt idx="17">
                  <c:v>1.9549821396218401</c:v>
                </c:pt>
                <c:pt idx="18">
                  <c:v>1.9674927004281815</c:v>
                </c:pt>
                <c:pt idx="19">
                  <c:v>1.9796212632311165</c:v>
                </c:pt>
                <c:pt idx="20">
                  <c:v>1.9796212632311165</c:v>
                </c:pt>
                <c:pt idx="21">
                  <c:v>2.0103518170731887</c:v>
                </c:pt>
                <c:pt idx="22">
                  <c:v>2.0410823709152606</c:v>
                </c:pt>
                <c:pt idx="23">
                  <c:v>2.0718129247573325</c:v>
                </c:pt>
                <c:pt idx="24">
                  <c:v>2.1025434785994053</c:v>
                </c:pt>
                <c:pt idx="25">
                  <c:v>2.1332740324414772</c:v>
                </c:pt>
                <c:pt idx="26">
                  <c:v>2.1640045862835491</c:v>
                </c:pt>
                <c:pt idx="27">
                  <c:v>2.194735140125621</c:v>
                </c:pt>
                <c:pt idx="28">
                  <c:v>2.2254656939676929</c:v>
                </c:pt>
                <c:pt idx="29">
                  <c:v>2.2561962478097657</c:v>
                </c:pt>
                <c:pt idx="30">
                  <c:v>2.2561962478097657</c:v>
                </c:pt>
                <c:pt idx="31">
                  <c:v>2.2682089509867081</c:v>
                </c:pt>
                <c:pt idx="32">
                  <c:v>2.2802216541636504</c:v>
                </c:pt>
                <c:pt idx="33">
                  <c:v>2.2922343573405928</c:v>
                </c:pt>
                <c:pt idx="34">
                  <c:v>2.3042470605175351</c:v>
                </c:pt>
                <c:pt idx="35">
                  <c:v>2.3162597636944775</c:v>
                </c:pt>
                <c:pt idx="36">
                  <c:v>2.3282724668714199</c:v>
                </c:pt>
                <c:pt idx="37">
                  <c:v>2.3402851700483627</c:v>
                </c:pt>
                <c:pt idx="38">
                  <c:v>2.352297873225305</c:v>
                </c:pt>
                <c:pt idx="39">
                  <c:v>2.3643105764022474</c:v>
                </c:pt>
                <c:pt idx="40">
                  <c:v>2.3643105764022474</c:v>
                </c:pt>
              </c:numCache>
            </c:numRef>
          </c:yVal>
          <c:smooth val="0"/>
          <c:extLst>
            <c:ext xmlns:c16="http://schemas.microsoft.com/office/drawing/2014/chart" uri="{C3380CC4-5D6E-409C-BE32-E72D297353CC}">
              <c16:uniqueId val="{00000003-8CDF-D04D-A191-7536617D6B6C}"/>
            </c:ext>
          </c:extLst>
        </c:ser>
        <c:dLbls>
          <c:showLegendKey val="0"/>
          <c:showVal val="0"/>
          <c:showCatName val="0"/>
          <c:showSerName val="0"/>
          <c:showPercent val="0"/>
          <c:showBubbleSize val="0"/>
        </c:dLbls>
        <c:axId val="-1123594272"/>
        <c:axId val="-1123591152"/>
      </c:scatterChart>
      <c:valAx>
        <c:axId val="-1123594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Ductility, </a:t>
                </a:r>
                <a:r>
                  <a:rPr lang="el-GR"/>
                  <a:t>μ</a:t>
                </a:r>
                <a:endParaRPr lang="en-US"/>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3591152"/>
        <c:crosses val="autoZero"/>
        <c:crossBetween val="midCat"/>
      </c:valAx>
      <c:valAx>
        <c:axId val="-112359115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Strength</a:t>
                </a:r>
                <a:r>
                  <a:rPr lang="en-US" baseline="0"/>
                  <a:t> Factor, R</a:t>
                </a:r>
                <a:endParaRPr lang="en-US"/>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3594272"/>
        <c:crosses val="autoZero"/>
        <c:crossBetween val="midCat"/>
      </c:valAx>
      <c:spPr>
        <a:noFill/>
        <a:ln>
          <a:noFill/>
        </a:ln>
        <a:effectLst/>
      </c:spPr>
    </c:plotArea>
    <c:legend>
      <c:legendPos val="b"/>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sz="1800" b="0" i="0" baseline="0">
                <a:effectLst/>
              </a:rPr>
              <a:t>IM = AvgSa</a:t>
            </a:r>
            <a:endParaRPr lang="en-US">
              <a:effectLst/>
            </a:endParaRP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81113592972"/>
          <c:y val="0.127541024186582"/>
          <c:w val="0.78324357038571402"/>
          <c:h val="0.66535798826649095"/>
        </c:manualLayout>
      </c:layout>
      <c:scatterChart>
        <c:scatterStyle val="lineMarker"/>
        <c:varyColors val="0"/>
        <c:ser>
          <c:idx val="1"/>
          <c:order val="0"/>
          <c:tx>
            <c:v>SPO</c:v>
          </c:tx>
          <c:spPr>
            <a:ln w="31750" cap="rnd">
              <a:solidFill>
                <a:schemeClr val="tx1"/>
              </a:solidFill>
              <a:round/>
            </a:ln>
            <a:effectLst/>
          </c:spPr>
          <c:marker>
            <c:symbol val="none"/>
          </c:marker>
          <c:xVal>
            <c:numRef>
              <c:f>Input!$I$4:$I$9</c:f>
              <c:numCache>
                <c:formatCode>0.00</c:formatCode>
                <c:ptCount val="6"/>
                <c:pt idx="0">
                  <c:v>0</c:v>
                </c:pt>
                <c:pt idx="1">
                  <c:v>1</c:v>
                </c:pt>
                <c:pt idx="2">
                  <c:v>2.5</c:v>
                </c:pt>
                <c:pt idx="3">
                  <c:v>4.25</c:v>
                </c:pt>
                <c:pt idx="4">
                  <c:v>7.0000000000000009</c:v>
                </c:pt>
                <c:pt idx="5">
                  <c:v>9.9986250000000005</c:v>
                </c:pt>
              </c:numCache>
            </c:numRef>
          </c:xVal>
          <c:yVal>
            <c:numRef>
              <c:f>Input!$H$4:$H$9</c:f>
              <c:numCache>
                <c:formatCode>0.00</c:formatCode>
                <c:ptCount val="6"/>
                <c:pt idx="0">
                  <c:v>0</c:v>
                </c:pt>
                <c:pt idx="1">
                  <c:v>1</c:v>
                </c:pt>
                <c:pt idx="2">
                  <c:v>1</c:v>
                </c:pt>
                <c:pt idx="3">
                  <c:v>0.8997446137203966</c:v>
                </c:pt>
                <c:pt idx="4">
                  <c:v>0.8997446137203966</c:v>
                </c:pt>
                <c:pt idx="5">
                  <c:v>0</c:v>
                </c:pt>
              </c:numCache>
            </c:numRef>
          </c:yVal>
          <c:smooth val="0"/>
          <c:extLst>
            <c:ext xmlns:c16="http://schemas.microsoft.com/office/drawing/2014/chart" uri="{C3380CC4-5D6E-409C-BE32-E72D297353CC}">
              <c16:uniqueId val="{00000000-8A2A-F64F-9E2E-AF5357A39C7F}"/>
            </c:ext>
          </c:extLst>
        </c:ser>
        <c:ser>
          <c:idx val="0"/>
          <c:order val="1"/>
          <c:tx>
            <c:v>16%</c:v>
          </c:tx>
          <c:spPr>
            <a:ln w="25400" cap="rnd">
              <a:solidFill>
                <a:srgbClr val="00FA00"/>
              </a:solidFill>
              <a:prstDash val="dash"/>
              <a:round/>
            </a:ln>
            <a:effectLst/>
          </c:spPr>
          <c:marker>
            <c:symbol val="none"/>
          </c:marker>
          <c:xVal>
            <c:numRef>
              <c:f>('Output (AvgSa)'!$F$4:$F$6,'Output (AvgSa)'!$F$15:$F$16,'Output (AvgSa)'!$F$25:$F$26,'Output (AvgSa)'!$F$35:$F$36,'Output (AvgSa)'!$F$45:$F$46)</c:f>
              <c:numCache>
                <c:formatCode>General</c:formatCode>
                <c:ptCount val="11"/>
                <c:pt idx="0">
                  <c:v>0</c:v>
                </c:pt>
                <c:pt idx="1">
                  <c:v>1</c:v>
                </c:pt>
                <c:pt idx="2" formatCode="0.00">
                  <c:v>1</c:v>
                </c:pt>
                <c:pt idx="3" formatCode="0.00">
                  <c:v>2.5</c:v>
                </c:pt>
                <c:pt idx="4" formatCode="0.00">
                  <c:v>2.5</c:v>
                </c:pt>
                <c:pt idx="5" formatCode="0.00">
                  <c:v>4.25</c:v>
                </c:pt>
                <c:pt idx="6" formatCode="0.00">
                  <c:v>4.25</c:v>
                </c:pt>
                <c:pt idx="7" formatCode="0.00">
                  <c:v>7.0000000000000009</c:v>
                </c:pt>
                <c:pt idx="8" formatCode="0.00">
                  <c:v>7.0000000000000009</c:v>
                </c:pt>
                <c:pt idx="9" formatCode="0.00">
                  <c:v>9.9986250000000005</c:v>
                </c:pt>
                <c:pt idx="10" formatCode="0.00">
                  <c:v>11.998625000000001</c:v>
                </c:pt>
              </c:numCache>
            </c:numRef>
          </c:xVal>
          <c:yVal>
            <c:numRef>
              <c:f>('Output (AvgSa)'!$G$4:$G$6,'Output (AvgSa)'!$G$15:$G$16,'Output (AvgSa)'!$G$25:$G$26,'Output (AvgSa)'!$G$35:$G$36,'Output (AvgSa)'!$G$45:$G$46)</c:f>
              <c:numCache>
                <c:formatCode>General</c:formatCode>
                <c:ptCount val="11"/>
                <c:pt idx="0">
                  <c:v>0</c:v>
                </c:pt>
                <c:pt idx="1">
                  <c:v>1</c:v>
                </c:pt>
                <c:pt idx="2" formatCode="0.00">
                  <c:v>1</c:v>
                </c:pt>
                <c:pt idx="3" formatCode="0.00">
                  <c:v>1.3506765390515483</c:v>
                </c:pt>
                <c:pt idx="4" formatCode="0.00">
                  <c:v>1.3506765390515483</c:v>
                </c:pt>
                <c:pt idx="5" formatCode="0.00">
                  <c:v>2.2758649385403009</c:v>
                </c:pt>
                <c:pt idx="6" formatCode="0.00">
                  <c:v>2.2758649385403009</c:v>
                </c:pt>
                <c:pt idx="7" formatCode="0.00">
                  <c:v>2.2758649385403009</c:v>
                </c:pt>
                <c:pt idx="8" formatCode="0.00">
                  <c:v>2.2758649385403009</c:v>
                </c:pt>
                <c:pt idx="9" formatCode="0.00">
                  <c:v>2.2758649385403009</c:v>
                </c:pt>
                <c:pt idx="10" formatCode="0.00">
                  <c:v>2.2758649385403009</c:v>
                </c:pt>
              </c:numCache>
            </c:numRef>
          </c:yVal>
          <c:smooth val="0"/>
          <c:extLst>
            <c:ext xmlns:c16="http://schemas.microsoft.com/office/drawing/2014/chart" uri="{C3380CC4-5D6E-409C-BE32-E72D297353CC}">
              <c16:uniqueId val="{00000001-8A2A-F64F-9E2E-AF5357A39C7F}"/>
            </c:ext>
          </c:extLst>
        </c:ser>
        <c:ser>
          <c:idx val="2"/>
          <c:order val="2"/>
          <c:tx>
            <c:v>50%</c:v>
          </c:tx>
          <c:spPr>
            <a:ln w="38100" cap="rnd">
              <a:solidFill>
                <a:srgbClr val="FF0000"/>
              </a:solidFill>
              <a:round/>
            </a:ln>
            <a:effectLst/>
          </c:spPr>
          <c:marker>
            <c:symbol val="none"/>
          </c:marker>
          <c:xVal>
            <c:numRef>
              <c:f>('Output (AvgSa)'!$F$4:$F$6,'Output (AvgSa)'!$F$15:$F$16,'Output (AvgSa)'!$F$25:$F$26,'Output (AvgSa)'!$F$35:$F$36,'Output (AvgSa)'!$F$45:$F$46)</c:f>
              <c:numCache>
                <c:formatCode>General</c:formatCode>
                <c:ptCount val="11"/>
                <c:pt idx="0">
                  <c:v>0</c:v>
                </c:pt>
                <c:pt idx="1">
                  <c:v>1</c:v>
                </c:pt>
                <c:pt idx="2" formatCode="0.00">
                  <c:v>1</c:v>
                </c:pt>
                <c:pt idx="3" formatCode="0.00">
                  <c:v>2.5</c:v>
                </c:pt>
                <c:pt idx="4" formatCode="0.00">
                  <c:v>2.5</c:v>
                </c:pt>
                <c:pt idx="5" formatCode="0.00">
                  <c:v>4.25</c:v>
                </c:pt>
                <c:pt idx="6" formatCode="0.00">
                  <c:v>4.25</c:v>
                </c:pt>
                <c:pt idx="7" formatCode="0.00">
                  <c:v>7.0000000000000009</c:v>
                </c:pt>
                <c:pt idx="8" formatCode="0.00">
                  <c:v>7.0000000000000009</c:v>
                </c:pt>
                <c:pt idx="9" formatCode="0.00">
                  <c:v>9.9986250000000005</c:v>
                </c:pt>
                <c:pt idx="10" formatCode="0.00">
                  <c:v>11.998625000000001</c:v>
                </c:pt>
              </c:numCache>
            </c:numRef>
          </c:xVal>
          <c:yVal>
            <c:numRef>
              <c:f>('Output (AvgSa)'!$H$4:$H$6,'Output (AvgSa)'!$H$15:$H$16,'Output (AvgSa)'!$H$25:$H$26,'Output (AvgSa)'!$H$35:$H$36,'Output (AvgSa)'!$H$45:$H$46)</c:f>
              <c:numCache>
                <c:formatCode>General</c:formatCode>
                <c:ptCount val="11"/>
                <c:pt idx="0">
                  <c:v>0</c:v>
                </c:pt>
                <c:pt idx="1">
                  <c:v>1</c:v>
                </c:pt>
                <c:pt idx="2" formatCode="0.00">
                  <c:v>1.0000199999999999</c:v>
                </c:pt>
                <c:pt idx="3" formatCode="0.00">
                  <c:v>1.6040488597023943</c:v>
                </c:pt>
                <c:pt idx="4" formatCode="0.00">
                  <c:v>1.6040488597023943</c:v>
                </c:pt>
                <c:pt idx="5" formatCode="0.00">
                  <c:v>3.0519480800885015</c:v>
                </c:pt>
                <c:pt idx="6" formatCode="0.00">
                  <c:v>3.0519480800885015</c:v>
                </c:pt>
                <c:pt idx="7" formatCode="0.00">
                  <c:v>3.0519480800885015</c:v>
                </c:pt>
                <c:pt idx="8" formatCode="0.00">
                  <c:v>3.0519480800885015</c:v>
                </c:pt>
                <c:pt idx="9" formatCode="0.00">
                  <c:v>3.0519480800885015</c:v>
                </c:pt>
                <c:pt idx="10" formatCode="0.00">
                  <c:v>3.0519480800885015</c:v>
                </c:pt>
              </c:numCache>
            </c:numRef>
          </c:yVal>
          <c:smooth val="0"/>
          <c:extLst>
            <c:ext xmlns:c16="http://schemas.microsoft.com/office/drawing/2014/chart" uri="{C3380CC4-5D6E-409C-BE32-E72D297353CC}">
              <c16:uniqueId val="{00000002-8A2A-F64F-9E2E-AF5357A39C7F}"/>
            </c:ext>
          </c:extLst>
        </c:ser>
        <c:ser>
          <c:idx val="3"/>
          <c:order val="3"/>
          <c:tx>
            <c:v>84%</c:v>
          </c:tx>
          <c:spPr>
            <a:ln w="19050" cap="rnd">
              <a:solidFill>
                <a:srgbClr val="FF40FF"/>
              </a:solidFill>
              <a:prstDash val="dash"/>
              <a:round/>
            </a:ln>
            <a:effectLst/>
          </c:spPr>
          <c:marker>
            <c:symbol val="none"/>
          </c:marker>
          <c:xVal>
            <c:numRef>
              <c:f>('Output (AvgSa)'!$F$4:$F$6,'Output (AvgSa)'!$F$15:$F$16,'Output (AvgSa)'!$F$25:$F$26,'Output (AvgSa)'!$F$35:$F$36,'Output (AvgSa)'!$F$45:$F$46)</c:f>
              <c:numCache>
                <c:formatCode>General</c:formatCode>
                <c:ptCount val="11"/>
                <c:pt idx="0">
                  <c:v>0</c:v>
                </c:pt>
                <c:pt idx="1">
                  <c:v>1</c:v>
                </c:pt>
                <c:pt idx="2" formatCode="0.00">
                  <c:v>1</c:v>
                </c:pt>
                <c:pt idx="3" formatCode="0.00">
                  <c:v>2.5</c:v>
                </c:pt>
                <c:pt idx="4" formatCode="0.00">
                  <c:v>2.5</c:v>
                </c:pt>
                <c:pt idx="5" formatCode="0.00">
                  <c:v>4.25</c:v>
                </c:pt>
                <c:pt idx="6" formatCode="0.00">
                  <c:v>4.25</c:v>
                </c:pt>
                <c:pt idx="7" formatCode="0.00">
                  <c:v>7.0000000000000009</c:v>
                </c:pt>
                <c:pt idx="8" formatCode="0.00">
                  <c:v>7.0000000000000009</c:v>
                </c:pt>
                <c:pt idx="9" formatCode="0.00">
                  <c:v>9.9986250000000005</c:v>
                </c:pt>
                <c:pt idx="10" formatCode="0.00">
                  <c:v>11.998625000000001</c:v>
                </c:pt>
              </c:numCache>
            </c:numRef>
          </c:xVal>
          <c:yVal>
            <c:numRef>
              <c:f>('Output (AvgSa)'!$I$4:$I$6,'Output (AvgSa)'!$I$15:$I$16,'Output (AvgSa)'!$I$25:$I$26,'Output (AvgSa)'!$I$35:$I$36,'Output (AvgSa)'!$I$45:$I$46)</c:f>
              <c:numCache>
                <c:formatCode>General</c:formatCode>
                <c:ptCount val="11"/>
                <c:pt idx="0">
                  <c:v>0</c:v>
                </c:pt>
                <c:pt idx="1">
                  <c:v>1</c:v>
                </c:pt>
                <c:pt idx="2" formatCode="0.00">
                  <c:v>1</c:v>
                </c:pt>
                <c:pt idx="3" formatCode="0.00">
                  <c:v>1.9504327677745243</c:v>
                </c:pt>
                <c:pt idx="4" formatCode="0.00">
                  <c:v>1.9504327677745243</c:v>
                </c:pt>
                <c:pt idx="5" formatCode="0.00">
                  <c:v>4.1499456778825072</c:v>
                </c:pt>
                <c:pt idx="6" formatCode="0.00">
                  <c:v>4.1499456778825072</c:v>
                </c:pt>
                <c:pt idx="7" formatCode="0.00">
                  <c:v>4.1499456778825072</c:v>
                </c:pt>
                <c:pt idx="8" formatCode="0.00">
                  <c:v>4.1499456778825072</c:v>
                </c:pt>
                <c:pt idx="9" formatCode="0.00">
                  <c:v>4.1499456778825072</c:v>
                </c:pt>
                <c:pt idx="10" formatCode="0.00">
                  <c:v>4.1499456778825072</c:v>
                </c:pt>
              </c:numCache>
            </c:numRef>
          </c:yVal>
          <c:smooth val="0"/>
          <c:extLst>
            <c:ext xmlns:c16="http://schemas.microsoft.com/office/drawing/2014/chart" uri="{C3380CC4-5D6E-409C-BE32-E72D297353CC}">
              <c16:uniqueId val="{00000003-8A2A-F64F-9E2E-AF5357A39C7F}"/>
            </c:ext>
          </c:extLst>
        </c:ser>
        <c:dLbls>
          <c:showLegendKey val="0"/>
          <c:showVal val="0"/>
          <c:showCatName val="0"/>
          <c:showSerName val="0"/>
          <c:showPercent val="0"/>
          <c:showBubbleSize val="0"/>
        </c:dLbls>
        <c:axId val="-1123594272"/>
        <c:axId val="-1123591152"/>
      </c:scatterChart>
      <c:valAx>
        <c:axId val="-1123594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Ductility, </a:t>
                </a:r>
                <a:r>
                  <a:rPr lang="el-GR"/>
                  <a:t>μ</a:t>
                </a:r>
                <a:endParaRPr lang="en-US"/>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3591152"/>
        <c:crosses val="autoZero"/>
        <c:crossBetween val="midCat"/>
      </c:valAx>
      <c:valAx>
        <c:axId val="-112359115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Strength</a:t>
                </a:r>
                <a:r>
                  <a:rPr lang="en-US" baseline="0"/>
                  <a:t> Factor, R</a:t>
                </a:r>
                <a:endParaRPr lang="en-US"/>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3594272"/>
        <c:crosses val="autoZero"/>
        <c:crossBetween val="midCat"/>
      </c:valAx>
      <c:spPr>
        <a:noFill/>
        <a:ln>
          <a:noFill/>
        </a:ln>
        <a:effectLst/>
      </c:spPr>
    </c:plotArea>
    <c:legend>
      <c:legendPos val="b"/>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3504</xdr:colOff>
      <xdr:row>9</xdr:row>
      <xdr:rowOff>199696</xdr:rowOff>
    </xdr:from>
    <xdr:to>
      <xdr:col>9</xdr:col>
      <xdr:colOff>812800</xdr:colOff>
      <xdr:row>29</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18</xdr:row>
      <xdr:rowOff>0</xdr:rowOff>
    </xdr:from>
    <xdr:to>
      <xdr:col>19</xdr:col>
      <xdr:colOff>517196</xdr:colOff>
      <xdr:row>37</xdr:row>
      <xdr:rowOff>67004</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39</xdr:row>
      <xdr:rowOff>0</xdr:rowOff>
    </xdr:from>
    <xdr:to>
      <xdr:col>19</xdr:col>
      <xdr:colOff>517196</xdr:colOff>
      <xdr:row>58</xdr:row>
      <xdr:rowOff>123034</xdr:rowOff>
    </xdr:to>
    <xdr:graphicFrame macro="">
      <xdr:nvGraphicFramePr>
        <xdr:cNvPr id="5" name="Chart 4">
          <a:extLst>
            <a:ext uri="{FF2B5EF4-FFF2-40B4-BE49-F238E27FC236}">
              <a16:creationId xmlns:a16="http://schemas.microsoft.com/office/drawing/2014/main" id="{86F5FEDA-F8FB-064D-8E21-4D255F11E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C502"/>
  <sheetViews>
    <sheetView tabSelected="1" zoomScale="68" zoomScaleNormal="58" zoomScalePageLayoutView="58" workbookViewId="0">
      <selection activeCell="K35" sqref="K35"/>
    </sheetView>
  </sheetViews>
  <sheetFormatPr baseColWidth="10" defaultRowHeight="16" x14ac:dyDescent="0.2"/>
  <cols>
    <col min="1" max="1" width="6.33203125" customWidth="1"/>
    <col min="2" max="2" width="26" customWidth="1"/>
    <col min="3" max="3" width="24.5" customWidth="1"/>
    <col min="4" max="4" width="7" customWidth="1"/>
    <col min="5" max="5" width="12.1640625" customWidth="1"/>
    <col min="6" max="6" width="16.83203125" customWidth="1"/>
    <col min="7" max="7" width="22" customWidth="1"/>
    <col min="9" max="9" width="10.83203125" customWidth="1"/>
    <col min="11" max="11" width="68.6640625" customWidth="1"/>
    <col min="13" max="13" width="18.5" customWidth="1"/>
    <col min="15" max="15" width="16.1640625" customWidth="1"/>
    <col min="18" max="18" width="22.6640625" customWidth="1"/>
  </cols>
  <sheetData>
    <row r="1" spans="1:21" ht="21" x14ac:dyDescent="0.25">
      <c r="B1" s="189" t="s">
        <v>1</v>
      </c>
      <c r="C1" s="189"/>
      <c r="E1" s="33" t="s">
        <v>40</v>
      </c>
      <c r="M1" s="33" t="s">
        <v>94</v>
      </c>
    </row>
    <row r="2" spans="1:21" ht="18" x14ac:dyDescent="0.25">
      <c r="B2" s="4" t="s">
        <v>90</v>
      </c>
      <c r="C2" s="7" t="s">
        <v>37</v>
      </c>
      <c r="F2" s="190" t="s">
        <v>33</v>
      </c>
      <c r="G2" s="190"/>
      <c r="H2" s="190" t="s">
        <v>32</v>
      </c>
      <c r="I2" s="190"/>
      <c r="J2" s="55" t="s">
        <v>38</v>
      </c>
      <c r="K2" s="56" t="s">
        <v>34</v>
      </c>
      <c r="M2" s="61"/>
      <c r="N2" s="62" t="s">
        <v>57</v>
      </c>
      <c r="O2" s="63">
        <v>0.2</v>
      </c>
      <c r="P2" s="64"/>
    </row>
    <row r="3" spans="1:21" ht="18" x14ac:dyDescent="0.25">
      <c r="A3">
        <v>1</v>
      </c>
      <c r="B3" s="8">
        <v>0</v>
      </c>
      <c r="C3" s="28">
        <v>0</v>
      </c>
      <c r="F3" s="29" t="s">
        <v>36</v>
      </c>
      <c r="G3" s="29" t="s">
        <v>37</v>
      </c>
      <c r="H3" s="34" t="s">
        <v>25</v>
      </c>
      <c r="I3" s="34" t="s">
        <v>35</v>
      </c>
      <c r="J3" s="51"/>
      <c r="K3" s="50"/>
      <c r="M3" s="65"/>
      <c r="N3" s="66" t="s">
        <v>54</v>
      </c>
      <c r="O3">
        <f>INDEX(B4:B276,MATCH(O2*MAX(B4:B276),B4:B276,1))/INDEX(C4:C276,MATCH(O2*MAX(B4:B276),B4:B276,1))</f>
        <v>83854.78340985984</v>
      </c>
      <c r="P3" s="68" t="s">
        <v>56</v>
      </c>
    </row>
    <row r="4" spans="1:21" x14ac:dyDescent="0.2">
      <c r="A4">
        <v>2</v>
      </c>
      <c r="B4" s="8">
        <v>93.465345999999997</v>
      </c>
      <c r="C4" s="28">
        <v>1.54496E-3</v>
      </c>
      <c r="D4" s="46">
        <v>1</v>
      </c>
      <c r="E4" s="35"/>
      <c r="F4" s="38">
        <v>0</v>
      </c>
      <c r="G4" s="43">
        <v>0</v>
      </c>
      <c r="H4" s="38">
        <v>0</v>
      </c>
      <c r="I4" s="38">
        <v>0</v>
      </c>
      <c r="J4" s="40" t="s">
        <v>7</v>
      </c>
      <c r="K4" s="49" t="s">
        <v>45</v>
      </c>
      <c r="M4" s="69"/>
      <c r="N4" s="66" t="s">
        <v>55</v>
      </c>
      <c r="O4" s="67">
        <f>F5/G5</f>
        <v>90303.402499999997</v>
      </c>
      <c r="P4" s="68" t="s">
        <v>56</v>
      </c>
    </row>
    <row r="5" spans="1:21" x14ac:dyDescent="0.2">
      <c r="A5">
        <v>3</v>
      </c>
      <c r="B5" s="27">
        <v>182.71093999999999</v>
      </c>
      <c r="C5" s="28">
        <v>2.3449600000000001E-3</v>
      </c>
      <c r="D5" s="47">
        <v>2</v>
      </c>
      <c r="E5" s="36" t="s">
        <v>2</v>
      </c>
      <c r="F5" s="39">
        <f>MAX(B3:B502)</f>
        <v>3612.1361000000002</v>
      </c>
      <c r="G5" s="89">
        <v>0.04</v>
      </c>
      <c r="H5" s="40">
        <f>F5/$F$5</f>
        <v>1</v>
      </c>
      <c r="I5" s="40">
        <f>G5/$G$5</f>
        <v>1</v>
      </c>
      <c r="J5" s="40" t="str">
        <f>IF(O5&lt;10%,"Ok","Error!")</f>
        <v>Ok</v>
      </c>
      <c r="K5" s="49" t="s">
        <v>41</v>
      </c>
      <c r="M5" s="70"/>
      <c r="N5" s="71" t="s">
        <v>58</v>
      </c>
      <c r="O5" s="72">
        <f>(O4-O3)/O3</f>
        <v>7.6902221053043868E-2</v>
      </c>
      <c r="P5" s="73"/>
    </row>
    <row r="6" spans="1:21" ht="18" x14ac:dyDescent="0.25">
      <c r="A6">
        <v>4</v>
      </c>
      <c r="B6" s="27">
        <v>259.79361999999998</v>
      </c>
      <c r="C6" s="28">
        <v>3.14496E-3</v>
      </c>
      <c r="D6" s="47">
        <v>3</v>
      </c>
      <c r="E6" s="36" t="s">
        <v>3</v>
      </c>
      <c r="F6" s="40">
        <f>F5</f>
        <v>3612.1361000000002</v>
      </c>
      <c r="G6" s="44">
        <v>0.1</v>
      </c>
      <c r="H6" s="40">
        <f>F6/$F$5</f>
        <v>1</v>
      </c>
      <c r="I6" s="40">
        <f>G6/$G$5</f>
        <v>2.5</v>
      </c>
      <c r="J6" s="40" t="str">
        <f>IF(AND(G6&gt;G5,F6=F5),"Ok","Error!")</f>
        <v>Ok</v>
      </c>
      <c r="K6" s="49" t="s">
        <v>42</v>
      </c>
      <c r="M6" s="61"/>
      <c r="N6" s="75" t="s">
        <v>66</v>
      </c>
      <c r="O6" s="76">
        <f>Input!G5</f>
        <v>0.04</v>
      </c>
      <c r="P6" s="77" t="s">
        <v>39</v>
      </c>
    </row>
    <row r="7" spans="1:21" ht="18" x14ac:dyDescent="0.25">
      <c r="A7">
        <v>5</v>
      </c>
      <c r="B7" s="27">
        <v>329.50178</v>
      </c>
      <c r="C7" s="28">
        <v>3.94496E-3</v>
      </c>
      <c r="D7" s="47">
        <v>4</v>
      </c>
      <c r="E7" s="36" t="s">
        <v>4</v>
      </c>
      <c r="F7" s="41">
        <v>3250</v>
      </c>
      <c r="G7" s="44">
        <v>0.17</v>
      </c>
      <c r="H7" s="40">
        <f>F7/$F$5</f>
        <v>0.8997446137203966</v>
      </c>
      <c r="I7" s="40">
        <f>G7/$G$5</f>
        <v>4.25</v>
      </c>
      <c r="J7" s="40" t="str">
        <f>IF(AND(F7&lt;F6,G7&gt;G6,G7&lt;G8),"Ok","Error!")</f>
        <v>Ok</v>
      </c>
      <c r="K7" s="49" t="s">
        <v>43</v>
      </c>
      <c r="M7" s="69"/>
      <c r="N7" s="57" t="s">
        <v>65</v>
      </c>
      <c r="O7" s="78">
        <f>F5</f>
        <v>3612.1361000000002</v>
      </c>
      <c r="P7" s="79" t="s">
        <v>31</v>
      </c>
    </row>
    <row r="8" spans="1:21" x14ac:dyDescent="0.2">
      <c r="A8">
        <v>6</v>
      </c>
      <c r="B8" s="27">
        <v>397.10052999999999</v>
      </c>
      <c r="C8" s="28">
        <v>4.7449600000000003E-3</v>
      </c>
      <c r="D8" s="47">
        <v>5</v>
      </c>
      <c r="E8" s="36" t="s">
        <v>5</v>
      </c>
      <c r="F8" s="41">
        <v>3250</v>
      </c>
      <c r="G8" s="44">
        <v>0.28000000000000003</v>
      </c>
      <c r="H8" s="40">
        <f>F8/$F$5</f>
        <v>0.8997446137203966</v>
      </c>
      <c r="I8" s="40">
        <f>G8/$G$5</f>
        <v>7.0000000000000009</v>
      </c>
      <c r="J8" s="40" t="str">
        <f>IF(AND(F8&lt;=F7,G8&gt;G7),"Ok","Error")</f>
        <v>Ok</v>
      </c>
      <c r="K8" s="49" t="s">
        <v>43</v>
      </c>
      <c r="M8" s="69"/>
      <c r="N8" s="66" t="s">
        <v>63</v>
      </c>
      <c r="O8" s="78">
        <f>SUM(E34:E39)</f>
        <v>1200</v>
      </c>
      <c r="P8" s="80" t="s">
        <v>59</v>
      </c>
    </row>
    <row r="9" spans="1:21" x14ac:dyDescent="0.2">
      <c r="A9">
        <v>7</v>
      </c>
      <c r="B9" s="27">
        <v>464.47858000000002</v>
      </c>
      <c r="C9" s="28">
        <v>5.5449599999999998E-3</v>
      </c>
      <c r="D9" s="48">
        <v>6</v>
      </c>
      <c r="E9" s="37" t="s">
        <v>6</v>
      </c>
      <c r="F9" s="42">
        <v>0</v>
      </c>
      <c r="G9" s="133">
        <f>MAX(C3:C502)</f>
        <v>0.39994499999999999</v>
      </c>
      <c r="H9" s="45">
        <f>F9/$F$5</f>
        <v>0</v>
      </c>
      <c r="I9" s="45">
        <f>G9/$G$5</f>
        <v>9.9986250000000005</v>
      </c>
      <c r="J9" s="45" t="str">
        <f>IF(AND(F9=0,G9&gt;G8),"Ok","Error!")</f>
        <v>Ok</v>
      </c>
      <c r="K9" s="50" t="s">
        <v>44</v>
      </c>
      <c r="M9" s="69"/>
      <c r="N9" s="57" t="s">
        <v>62</v>
      </c>
      <c r="O9" s="15">
        <f>SUMPRODUCT(E34:E39,F34:F39)</f>
        <v>680</v>
      </c>
      <c r="P9" s="81" t="s">
        <v>59</v>
      </c>
    </row>
    <row r="10" spans="1:21" x14ac:dyDescent="0.2">
      <c r="A10">
        <v>8</v>
      </c>
      <c r="B10" s="27">
        <v>531.92282</v>
      </c>
      <c r="C10" s="28">
        <v>6.3449600000000002E-3</v>
      </c>
      <c r="M10" s="69"/>
      <c r="N10" s="57" t="s">
        <v>64</v>
      </c>
      <c r="O10" s="15">
        <f>O9/SUMPRODUCT(E34:E39,F34:F39,F34:F39)</f>
        <v>1.4119601328903655</v>
      </c>
      <c r="P10" s="81"/>
    </row>
    <row r="11" spans="1:21" ht="18" x14ac:dyDescent="0.25">
      <c r="A11">
        <v>9</v>
      </c>
      <c r="B11" s="27">
        <v>599.30727000000002</v>
      </c>
      <c r="C11" s="28">
        <v>7.1449599999999997E-3</v>
      </c>
      <c r="M11" s="69"/>
      <c r="N11" s="57" t="s">
        <v>92</v>
      </c>
      <c r="O11" s="82">
        <f>Delta_y/Gamma</f>
        <v>2.8329411764705881E-2</v>
      </c>
      <c r="P11" s="83" t="s">
        <v>39</v>
      </c>
    </row>
    <row r="12" spans="1:21" ht="18" x14ac:dyDescent="0.25">
      <c r="A12">
        <v>10</v>
      </c>
      <c r="B12" s="27">
        <v>666.22289999999998</v>
      </c>
      <c r="C12" s="28">
        <v>7.9449599999999992E-3</v>
      </c>
      <c r="K12" s="58" t="s">
        <v>50</v>
      </c>
      <c r="M12" s="69"/>
      <c r="N12" s="74" t="s">
        <v>67</v>
      </c>
      <c r="O12" s="78">
        <f>O7/Gamma</f>
        <v>2558.2422731764705</v>
      </c>
      <c r="P12" s="83" t="s">
        <v>31</v>
      </c>
    </row>
    <row r="13" spans="1:21" x14ac:dyDescent="0.2">
      <c r="A13">
        <v>11</v>
      </c>
      <c r="B13" s="27">
        <v>733.10050000000001</v>
      </c>
      <c r="C13" s="28">
        <v>8.7449599999999995E-3</v>
      </c>
      <c r="K13" t="s">
        <v>51</v>
      </c>
      <c r="M13" s="69"/>
      <c r="N13" s="74" t="s">
        <v>68</v>
      </c>
      <c r="O13" s="10">
        <f>2*PI()*SQRT(m_star*O11/O12)</f>
        <v>0.54523316843011782</v>
      </c>
      <c r="P13" s="83" t="s">
        <v>0</v>
      </c>
    </row>
    <row r="14" spans="1:21" ht="18" x14ac:dyDescent="0.25">
      <c r="A14">
        <v>12</v>
      </c>
      <c r="B14" s="27">
        <v>799.97130000000004</v>
      </c>
      <c r="C14" s="28">
        <v>9.5449599999999999E-3</v>
      </c>
      <c r="K14" t="s">
        <v>52</v>
      </c>
      <c r="M14" s="70"/>
      <c r="N14" s="88" t="s">
        <v>69</v>
      </c>
      <c r="O14" s="84">
        <f>(4*PI()^2*Delta_y)/(T_star^2)/9.81</f>
        <v>0.54148469448941672</v>
      </c>
      <c r="P14" s="85" t="s">
        <v>12</v>
      </c>
    </row>
    <row r="15" spans="1:21" x14ac:dyDescent="0.2">
      <c r="A15">
        <v>13</v>
      </c>
      <c r="B15" s="27">
        <v>866.83389999999997</v>
      </c>
      <c r="C15" s="28">
        <v>1.0345E-2</v>
      </c>
      <c r="K15" t="s">
        <v>53</v>
      </c>
    </row>
    <row r="16" spans="1:21" ht="18" x14ac:dyDescent="0.25">
      <c r="A16">
        <v>14</v>
      </c>
      <c r="B16" s="27">
        <v>933.69960000000003</v>
      </c>
      <c r="C16" s="28">
        <v>1.1145E-2</v>
      </c>
      <c r="K16" t="s">
        <v>61</v>
      </c>
      <c r="M16" s="61"/>
      <c r="N16" s="146" t="s">
        <v>96</v>
      </c>
      <c r="O16" s="120">
        <f>'Output (Sa(T1))'!U46</f>
        <v>2.871825154548914</v>
      </c>
      <c r="P16" s="147" t="s">
        <v>12</v>
      </c>
      <c r="R16" s="61"/>
      <c r="S16" s="146" t="s">
        <v>123</v>
      </c>
      <c r="T16" s="120">
        <f>'Output (AvgSa)'!L45</f>
        <v>2.3333815576123613</v>
      </c>
      <c r="U16" s="147" t="s">
        <v>12</v>
      </c>
    </row>
    <row r="17" spans="1:21" ht="18" x14ac:dyDescent="0.25">
      <c r="A17">
        <v>15</v>
      </c>
      <c r="B17" s="27">
        <v>1000.5971</v>
      </c>
      <c r="C17" s="28">
        <v>1.1945000000000001E-2</v>
      </c>
      <c r="K17" t="s">
        <v>95</v>
      </c>
      <c r="M17" s="70"/>
      <c r="N17" s="148" t="s">
        <v>97</v>
      </c>
      <c r="O17" s="123">
        <f>0.5*(LN('Output (Sa(T1))'!T46)-LN('Output (Sa(T1))'!V46))</f>
        <v>0.48744992980891055</v>
      </c>
      <c r="P17" s="73"/>
      <c r="R17" s="70"/>
      <c r="S17" s="148" t="s">
        <v>97</v>
      </c>
      <c r="T17" s="123">
        <f>0.5*(LN('Output (AvgSa)'!M46-LN('Output (AvgSa)'!K46)))</f>
        <v>0.4813890840810352</v>
      </c>
      <c r="U17" s="73"/>
    </row>
    <row r="18" spans="1:21" x14ac:dyDescent="0.2">
      <c r="A18">
        <v>16</v>
      </c>
      <c r="B18" s="27">
        <v>1067.5545999999999</v>
      </c>
      <c r="C18" s="28">
        <v>1.2744999999999999E-2</v>
      </c>
      <c r="K18" t="s">
        <v>124</v>
      </c>
      <c r="M18" s="31"/>
    </row>
    <row r="19" spans="1:21" x14ac:dyDescent="0.2">
      <c r="A19">
        <v>17</v>
      </c>
      <c r="B19" s="27">
        <v>1134.5153</v>
      </c>
      <c r="C19" s="28">
        <v>1.3545E-2</v>
      </c>
      <c r="M19" s="31"/>
    </row>
    <row r="20" spans="1:21" x14ac:dyDescent="0.2">
      <c r="A20">
        <v>18</v>
      </c>
      <c r="B20" s="27">
        <v>1201.5023000000001</v>
      </c>
      <c r="C20" s="28">
        <v>1.4345E-2</v>
      </c>
    </row>
    <row r="21" spans="1:21" x14ac:dyDescent="0.2">
      <c r="A21">
        <v>19</v>
      </c>
      <c r="B21" s="27">
        <v>1268.5033000000001</v>
      </c>
      <c r="C21" s="28">
        <v>1.5145E-2</v>
      </c>
    </row>
    <row r="22" spans="1:21" x14ac:dyDescent="0.2">
      <c r="A22">
        <v>20</v>
      </c>
      <c r="B22" s="27">
        <v>1335.6554000000001</v>
      </c>
      <c r="C22" s="28">
        <v>1.5945000000000001E-2</v>
      </c>
    </row>
    <row r="23" spans="1:21" x14ac:dyDescent="0.2">
      <c r="A23">
        <v>21</v>
      </c>
      <c r="B23" s="27">
        <v>1402.8040000000001</v>
      </c>
      <c r="C23" s="28">
        <v>1.6744999999999999E-2</v>
      </c>
      <c r="K23" t="s">
        <v>60</v>
      </c>
      <c r="M23" s="30"/>
    </row>
    <row r="24" spans="1:21" x14ac:dyDescent="0.2">
      <c r="A24">
        <v>22</v>
      </c>
      <c r="B24" s="27">
        <v>1469.9486999999999</v>
      </c>
      <c r="C24" s="28">
        <v>1.7545000000000002E-2</v>
      </c>
    </row>
    <row r="25" spans="1:21" x14ac:dyDescent="0.2">
      <c r="A25">
        <v>23</v>
      </c>
      <c r="B25" s="27">
        <v>1537.0971</v>
      </c>
      <c r="C25" s="28">
        <v>1.8345E-2</v>
      </c>
    </row>
    <row r="26" spans="1:21" x14ac:dyDescent="0.2">
      <c r="A26">
        <v>24</v>
      </c>
      <c r="B26" s="27">
        <v>1604.2514000000001</v>
      </c>
      <c r="C26" s="28">
        <v>1.9144999999999999E-2</v>
      </c>
    </row>
    <row r="27" spans="1:21" x14ac:dyDescent="0.2">
      <c r="A27">
        <v>25</v>
      </c>
      <c r="B27" s="27">
        <v>1671.4023</v>
      </c>
      <c r="C27" s="28">
        <v>1.9945000000000001E-2</v>
      </c>
    </row>
    <row r="28" spans="1:21" x14ac:dyDescent="0.2">
      <c r="A28">
        <v>26</v>
      </c>
      <c r="B28" s="27">
        <v>1738.5585000000001</v>
      </c>
      <c r="C28" s="28">
        <v>2.0745E-2</v>
      </c>
    </row>
    <row r="29" spans="1:21" x14ac:dyDescent="0.2">
      <c r="A29">
        <v>27</v>
      </c>
      <c r="B29" s="27">
        <v>1805.7148999999999</v>
      </c>
      <c r="C29" s="28">
        <v>2.1545000000000002E-2</v>
      </c>
    </row>
    <row r="30" spans="1:21" x14ac:dyDescent="0.2">
      <c r="A30">
        <v>28</v>
      </c>
      <c r="B30" s="27">
        <v>1872.877</v>
      </c>
      <c r="C30" s="28">
        <v>2.2345E-2</v>
      </c>
    </row>
    <row r="31" spans="1:21" ht="21" x14ac:dyDescent="0.25">
      <c r="A31">
        <v>29</v>
      </c>
      <c r="B31" s="27">
        <v>1940.0424</v>
      </c>
      <c r="C31" s="28">
        <v>2.3144999999999999E-2</v>
      </c>
      <c r="D31" s="33" t="s">
        <v>46</v>
      </c>
      <c r="M31" s="4"/>
      <c r="N31" s="5"/>
      <c r="O31" s="5"/>
      <c r="P31" s="4"/>
    </row>
    <row r="32" spans="1:21" x14ac:dyDescent="0.2">
      <c r="A32">
        <v>30</v>
      </c>
      <c r="B32" s="27">
        <v>2007.2129</v>
      </c>
      <c r="C32" s="28">
        <v>2.3945000000000001E-2</v>
      </c>
      <c r="D32" s="52" t="s">
        <v>47</v>
      </c>
      <c r="E32" s="53" t="s">
        <v>48</v>
      </c>
      <c r="F32" s="53" t="s">
        <v>49</v>
      </c>
      <c r="G32" s="18"/>
      <c r="H32" s="18"/>
      <c r="I32" s="18"/>
      <c r="J32" s="18"/>
      <c r="K32" s="18"/>
      <c r="L32" s="18"/>
      <c r="M32" s="4"/>
      <c r="N32" s="5"/>
      <c r="O32" s="5"/>
      <c r="P32" s="4"/>
    </row>
    <row r="33" spans="1:29" x14ac:dyDescent="0.2">
      <c r="A33">
        <v>31</v>
      </c>
      <c r="B33" s="27">
        <v>2072.5317</v>
      </c>
      <c r="C33" s="28">
        <v>2.4745E-2</v>
      </c>
      <c r="D33" s="54">
        <v>0</v>
      </c>
      <c r="E33" s="18" t="s">
        <v>7</v>
      </c>
      <c r="F33" s="19">
        <f>L33^2</f>
        <v>0</v>
      </c>
      <c r="G33" s="18"/>
      <c r="H33" s="18"/>
      <c r="I33" s="26"/>
      <c r="J33" s="19"/>
      <c r="K33" s="31"/>
      <c r="L33" s="19"/>
      <c r="M33" s="4"/>
      <c r="N33" s="6"/>
      <c r="O33" s="6"/>
      <c r="P33" s="4"/>
    </row>
    <row r="34" spans="1:29" x14ac:dyDescent="0.2">
      <c r="A34">
        <v>32</v>
      </c>
      <c r="B34" s="27">
        <v>2136.0636</v>
      </c>
      <c r="C34" s="28">
        <v>2.5545000000000002E-2</v>
      </c>
      <c r="D34" s="24">
        <v>1</v>
      </c>
      <c r="E34" s="23">
        <v>200</v>
      </c>
      <c r="F34" s="23">
        <v>0.16</v>
      </c>
      <c r="G34" s="18"/>
      <c r="H34" s="18"/>
      <c r="I34" s="26"/>
      <c r="J34" s="19"/>
      <c r="K34" s="19"/>
      <c r="L34" s="19"/>
      <c r="M34" s="4"/>
      <c r="N34" s="6"/>
      <c r="O34" s="6"/>
      <c r="P34" s="4"/>
    </row>
    <row r="35" spans="1:29" x14ac:dyDescent="0.2">
      <c r="A35">
        <v>33</v>
      </c>
      <c r="B35" s="27">
        <v>2197.7955999999999</v>
      </c>
      <c r="C35" s="28">
        <v>2.6345E-2</v>
      </c>
      <c r="D35" s="24">
        <v>2</v>
      </c>
      <c r="E35" s="24">
        <v>200</v>
      </c>
      <c r="F35" s="23">
        <v>0.32</v>
      </c>
      <c r="G35" s="18"/>
      <c r="H35" s="18"/>
      <c r="I35" s="26"/>
      <c r="J35" s="19"/>
      <c r="K35" s="19"/>
      <c r="L35" s="19"/>
      <c r="M35" s="4"/>
      <c r="N35" s="7"/>
      <c r="O35" s="7"/>
      <c r="P35" s="4"/>
    </row>
    <row r="36" spans="1:29" x14ac:dyDescent="0.2">
      <c r="A36">
        <v>34</v>
      </c>
      <c r="B36" s="27">
        <v>2255.3062</v>
      </c>
      <c r="C36" s="28">
        <v>2.7144999999999999E-2</v>
      </c>
      <c r="D36" s="24">
        <v>3</v>
      </c>
      <c r="E36" s="24">
        <v>200</v>
      </c>
      <c r="F36" s="23">
        <v>0.48</v>
      </c>
      <c r="G36" s="18"/>
      <c r="I36" s="26"/>
      <c r="J36" s="19"/>
      <c r="K36" s="19"/>
      <c r="L36" s="19"/>
      <c r="M36" s="4"/>
      <c r="N36" s="9"/>
      <c r="O36" s="10"/>
      <c r="P36" s="4"/>
    </row>
    <row r="37" spans="1:29" x14ac:dyDescent="0.2">
      <c r="A37">
        <v>35</v>
      </c>
      <c r="B37" s="27">
        <v>2310.1147999999998</v>
      </c>
      <c r="C37" s="28">
        <v>2.7945000000000001E-2</v>
      </c>
      <c r="D37" s="23">
        <v>4</v>
      </c>
      <c r="E37" s="24">
        <v>200</v>
      </c>
      <c r="F37" s="188">
        <v>0.64</v>
      </c>
      <c r="G37" s="18"/>
      <c r="I37" s="26"/>
      <c r="J37" s="19"/>
      <c r="K37" s="19"/>
      <c r="L37" s="19"/>
      <c r="M37" s="4"/>
      <c r="N37" s="9"/>
      <c r="O37" s="10"/>
      <c r="P37" s="4"/>
    </row>
    <row r="38" spans="1:29" x14ac:dyDescent="0.2">
      <c r="A38">
        <v>36</v>
      </c>
      <c r="B38" s="27">
        <v>2364.2547</v>
      </c>
      <c r="C38" s="28">
        <v>2.8745E-2</v>
      </c>
      <c r="D38" s="23">
        <v>5</v>
      </c>
      <c r="E38" s="24">
        <v>200</v>
      </c>
      <c r="F38" s="188">
        <v>0.8</v>
      </c>
      <c r="G38" s="18"/>
      <c r="I38" s="26"/>
      <c r="J38" s="19"/>
      <c r="K38" s="19"/>
      <c r="L38" s="19"/>
      <c r="M38" s="4"/>
      <c r="N38" s="9"/>
      <c r="O38" s="10"/>
      <c r="P38" s="4"/>
      <c r="S38" s="4"/>
      <c r="T38" s="4"/>
      <c r="U38" s="4"/>
      <c r="V38" s="4"/>
      <c r="W38" s="4"/>
      <c r="X38" s="4"/>
      <c r="Y38" s="4"/>
      <c r="Z38" s="4"/>
      <c r="AA38" s="4"/>
      <c r="AB38" s="4"/>
      <c r="AC38" s="4"/>
    </row>
    <row r="39" spans="1:29" x14ac:dyDescent="0.2">
      <c r="A39">
        <v>37</v>
      </c>
      <c r="B39" s="27">
        <v>2418.3953000000001</v>
      </c>
      <c r="C39" s="28">
        <v>2.9544999999999998E-2</v>
      </c>
      <c r="D39" s="23">
        <v>6</v>
      </c>
      <c r="E39" s="24">
        <v>200</v>
      </c>
      <c r="F39" s="188">
        <v>1</v>
      </c>
      <c r="G39" s="18"/>
      <c r="H39" s="18"/>
      <c r="I39" s="26"/>
      <c r="J39" s="19"/>
      <c r="K39" s="19"/>
      <c r="L39" s="19"/>
      <c r="M39" s="4"/>
      <c r="N39" s="9"/>
      <c r="O39" s="10"/>
      <c r="P39" s="4"/>
      <c r="S39" s="4"/>
      <c r="T39" s="4"/>
      <c r="U39" s="4"/>
      <c r="V39" s="4"/>
      <c r="W39" s="4"/>
      <c r="X39" s="4"/>
      <c r="Y39" s="4"/>
      <c r="Z39" s="4"/>
      <c r="AA39" s="4"/>
      <c r="AB39" s="4"/>
      <c r="AC39" s="4"/>
    </row>
    <row r="40" spans="1:29" x14ac:dyDescent="0.2">
      <c r="A40">
        <v>38</v>
      </c>
      <c r="B40" s="27">
        <v>2470.6406999999999</v>
      </c>
      <c r="C40" s="28">
        <v>3.0345E-2</v>
      </c>
      <c r="D40" s="59"/>
      <c r="E40" s="54"/>
      <c r="F40" s="60"/>
      <c r="G40" s="18"/>
      <c r="H40" s="18"/>
      <c r="I40" s="26"/>
      <c r="J40" s="19"/>
      <c r="K40" s="19"/>
      <c r="L40" s="19"/>
      <c r="M40" s="4"/>
      <c r="N40" s="9"/>
      <c r="O40" s="10"/>
      <c r="P40" s="4"/>
    </row>
    <row r="41" spans="1:29" x14ac:dyDescent="0.2">
      <c r="A41">
        <v>39</v>
      </c>
      <c r="B41" s="27">
        <v>2519.2638999999999</v>
      </c>
      <c r="C41" s="28">
        <v>3.1144999999999999E-2</v>
      </c>
      <c r="D41" s="59"/>
      <c r="E41" s="54"/>
      <c r="F41" s="60"/>
      <c r="G41" s="18"/>
      <c r="H41" s="18"/>
      <c r="I41" s="26"/>
      <c r="J41" s="19"/>
      <c r="K41" s="19"/>
      <c r="L41" s="19"/>
      <c r="M41" s="4"/>
      <c r="N41" s="9"/>
      <c r="O41" s="10"/>
      <c r="P41" s="4"/>
    </row>
    <row r="42" spans="1:29" x14ac:dyDescent="0.2">
      <c r="A42">
        <v>40</v>
      </c>
      <c r="B42" s="27">
        <v>2565.3813</v>
      </c>
      <c r="C42" s="28">
        <v>3.1945000000000001E-2</v>
      </c>
      <c r="D42" s="59"/>
      <c r="E42" s="54"/>
      <c r="F42" s="60"/>
      <c r="G42" s="18"/>
      <c r="H42" s="18"/>
      <c r="I42" s="26"/>
      <c r="J42" s="19"/>
      <c r="K42" s="19"/>
      <c r="L42" s="19"/>
      <c r="M42" s="4"/>
      <c r="N42" s="9"/>
      <c r="O42" s="10"/>
      <c r="P42" s="4"/>
    </row>
    <row r="43" spans="1:29" x14ac:dyDescent="0.2">
      <c r="A43">
        <v>41</v>
      </c>
      <c r="B43" s="27">
        <v>2610.7062000000001</v>
      </c>
      <c r="C43" s="28">
        <v>3.2745000000000003E-2</v>
      </c>
      <c r="D43" s="59"/>
      <c r="E43" s="54"/>
      <c r="F43" s="60"/>
      <c r="G43" s="18"/>
      <c r="H43" s="18"/>
      <c r="I43" s="26"/>
      <c r="J43" s="19"/>
      <c r="K43" s="19"/>
      <c r="L43" s="19"/>
      <c r="M43" s="14"/>
      <c r="N43" s="9"/>
      <c r="O43" s="10"/>
      <c r="P43" s="4"/>
    </row>
    <row r="44" spans="1:29" x14ac:dyDescent="0.2">
      <c r="A44">
        <v>42</v>
      </c>
      <c r="B44" s="27">
        <v>2655.1143000000002</v>
      </c>
      <c r="C44" s="28">
        <v>3.3544999999999998E-2</v>
      </c>
      <c r="D44" s="18"/>
      <c r="E44" s="12"/>
      <c r="F44" s="12"/>
      <c r="G44" s="26"/>
      <c r="H44" s="26"/>
      <c r="I44" s="26"/>
      <c r="J44" s="26"/>
      <c r="K44" s="26"/>
      <c r="L44" s="26"/>
      <c r="M44" s="14"/>
      <c r="N44" s="9"/>
      <c r="O44" s="10"/>
      <c r="P44" s="4"/>
    </row>
    <row r="45" spans="1:29" x14ac:dyDescent="0.2">
      <c r="A45">
        <v>43</v>
      </c>
      <c r="B45" s="27">
        <v>2698.3252000000002</v>
      </c>
      <c r="C45" s="28">
        <v>3.4345000000000001E-2</v>
      </c>
      <c r="G45" s="12"/>
      <c r="H45" s="12"/>
      <c r="I45" s="12"/>
      <c r="J45" s="12"/>
      <c r="K45" s="12"/>
      <c r="L45" s="13"/>
      <c r="M45" s="14"/>
      <c r="N45" s="9"/>
      <c r="O45" s="10"/>
      <c r="P45" s="4"/>
    </row>
    <row r="46" spans="1:29" x14ac:dyDescent="0.2">
      <c r="A46">
        <v>44</v>
      </c>
      <c r="B46" s="27">
        <v>2741.0264000000002</v>
      </c>
      <c r="C46" s="28">
        <v>3.5145000000000003E-2</v>
      </c>
      <c r="G46" s="12"/>
      <c r="H46" s="12"/>
      <c r="I46" s="12"/>
      <c r="J46" s="12"/>
      <c r="K46" s="12"/>
      <c r="L46" s="12"/>
      <c r="M46" s="14"/>
      <c r="N46" s="9"/>
      <c r="O46" s="10"/>
      <c r="P46" s="4"/>
    </row>
    <row r="47" spans="1:29" x14ac:dyDescent="0.2">
      <c r="A47">
        <v>45</v>
      </c>
      <c r="B47" s="27">
        <v>2782.5373</v>
      </c>
      <c r="C47" s="28">
        <v>3.5944999999999998E-2</v>
      </c>
      <c r="G47" s="12"/>
      <c r="H47" s="12"/>
      <c r="I47" s="12"/>
      <c r="J47" s="12"/>
      <c r="K47" s="12"/>
      <c r="L47" s="13"/>
      <c r="M47" s="14"/>
      <c r="N47" s="9"/>
      <c r="O47" s="10"/>
      <c r="P47" s="4"/>
    </row>
    <row r="48" spans="1:29" x14ac:dyDescent="0.2">
      <c r="A48">
        <v>46</v>
      </c>
      <c r="B48" s="27">
        <v>2820.5509999999999</v>
      </c>
      <c r="C48" s="28">
        <v>3.6745E-2</v>
      </c>
      <c r="G48" s="12"/>
      <c r="H48" s="12"/>
      <c r="I48" s="12"/>
      <c r="J48" s="12"/>
      <c r="K48" s="12"/>
      <c r="L48" s="12"/>
      <c r="M48" s="14"/>
      <c r="N48" s="9"/>
      <c r="O48" s="10"/>
      <c r="P48" s="4"/>
    </row>
    <row r="49" spans="1:29" x14ac:dyDescent="0.2">
      <c r="A49">
        <v>47</v>
      </c>
      <c r="B49" s="27">
        <v>2856.8017</v>
      </c>
      <c r="C49" s="28">
        <v>3.7545000000000002E-2</v>
      </c>
      <c r="G49" s="12"/>
      <c r="H49" s="12"/>
      <c r="I49" s="12"/>
      <c r="J49" s="12"/>
      <c r="K49" s="12"/>
      <c r="L49" s="13"/>
      <c r="M49" s="14"/>
      <c r="N49" s="9"/>
      <c r="O49" s="10"/>
      <c r="P49" s="4"/>
    </row>
    <row r="50" spans="1:29" x14ac:dyDescent="0.2">
      <c r="A50">
        <v>48</v>
      </c>
      <c r="B50" s="27">
        <v>2893.0554000000002</v>
      </c>
      <c r="C50" s="28">
        <v>3.8344999999999997E-2</v>
      </c>
      <c r="D50" s="18"/>
      <c r="E50" s="12"/>
      <c r="F50" s="12"/>
      <c r="G50" s="15"/>
      <c r="H50" s="12"/>
      <c r="I50" s="12"/>
      <c r="J50" s="12"/>
      <c r="K50" s="13"/>
      <c r="L50" s="12"/>
      <c r="M50" s="14"/>
      <c r="N50" s="9"/>
      <c r="O50" s="10"/>
      <c r="P50" s="4"/>
    </row>
    <row r="51" spans="1:29" x14ac:dyDescent="0.2">
      <c r="A51">
        <v>49</v>
      </c>
      <c r="B51" s="27">
        <v>2927.8827000000001</v>
      </c>
      <c r="C51" s="28">
        <v>3.9144999999999999E-2</v>
      </c>
      <c r="D51" s="18"/>
      <c r="E51" s="12"/>
      <c r="F51" s="12"/>
      <c r="G51" s="12"/>
      <c r="H51" s="12"/>
      <c r="I51" s="12"/>
      <c r="J51" s="12"/>
      <c r="K51" s="12"/>
      <c r="L51" s="12"/>
    </row>
    <row r="52" spans="1:29" x14ac:dyDescent="0.2">
      <c r="A52">
        <v>50</v>
      </c>
      <c r="B52" s="27">
        <v>2960.8474999999999</v>
      </c>
      <c r="C52" s="28">
        <v>3.9945000000000001E-2</v>
      </c>
      <c r="F52" s="4"/>
      <c r="G52" s="4"/>
      <c r="H52" s="4"/>
    </row>
    <row r="53" spans="1:29" x14ac:dyDescent="0.2">
      <c r="A53">
        <v>51</v>
      </c>
      <c r="B53" s="27">
        <v>2992.3094999999998</v>
      </c>
      <c r="C53" s="28">
        <v>4.0745000000000003E-2</v>
      </c>
    </row>
    <row r="54" spans="1:29" x14ac:dyDescent="0.2">
      <c r="A54">
        <v>52</v>
      </c>
      <c r="B54" s="27">
        <v>3022.5039000000002</v>
      </c>
      <c r="C54" s="28">
        <v>4.1544999999999999E-2</v>
      </c>
    </row>
    <row r="55" spans="1:29" x14ac:dyDescent="0.2">
      <c r="A55">
        <v>53</v>
      </c>
      <c r="B55" s="27">
        <v>3051.9472999999998</v>
      </c>
      <c r="C55" s="28">
        <v>4.2345000000000001E-2</v>
      </c>
    </row>
    <row r="56" spans="1:29" x14ac:dyDescent="0.2">
      <c r="A56">
        <v>54</v>
      </c>
      <c r="B56" s="27">
        <v>3080.5983000000001</v>
      </c>
      <c r="C56" s="28">
        <v>4.3145000000000003E-2</v>
      </c>
    </row>
    <row r="57" spans="1:29" x14ac:dyDescent="0.2">
      <c r="A57">
        <v>55</v>
      </c>
      <c r="B57" s="27">
        <v>3109.1666</v>
      </c>
      <c r="C57" s="28">
        <v>4.3944999999999998E-2</v>
      </c>
    </row>
    <row r="58" spans="1:29" x14ac:dyDescent="0.2">
      <c r="A58">
        <v>56</v>
      </c>
      <c r="B58" s="27">
        <v>3137.1736000000001</v>
      </c>
      <c r="C58" s="28">
        <v>4.4745E-2</v>
      </c>
    </row>
    <row r="59" spans="1:29" x14ac:dyDescent="0.2">
      <c r="A59">
        <v>57</v>
      </c>
      <c r="B59" s="27">
        <v>3164.1572999999999</v>
      </c>
      <c r="C59" s="28">
        <v>4.5545000000000002E-2</v>
      </c>
    </row>
    <row r="60" spans="1:29" x14ac:dyDescent="0.2">
      <c r="A60">
        <v>58</v>
      </c>
      <c r="B60" s="27">
        <v>3190.4522000000002</v>
      </c>
      <c r="C60" s="28">
        <v>4.6344999999999997E-2</v>
      </c>
      <c r="Q60" s="18"/>
      <c r="R60" s="12"/>
      <c r="S60" s="12"/>
      <c r="T60" s="12"/>
      <c r="U60" s="12"/>
      <c r="V60" s="12"/>
      <c r="W60" s="12"/>
      <c r="X60" s="12"/>
      <c r="Y60" s="12"/>
      <c r="Z60" s="14"/>
      <c r="AA60" s="9"/>
      <c r="AB60" s="10"/>
      <c r="AC60" s="4"/>
    </row>
    <row r="61" spans="1:29" x14ac:dyDescent="0.2">
      <c r="A61">
        <v>59</v>
      </c>
      <c r="B61" s="27">
        <v>3216.3323999999998</v>
      </c>
      <c r="C61" s="28">
        <v>4.7144999999999999E-2</v>
      </c>
      <c r="Q61" s="18"/>
      <c r="R61" s="191"/>
      <c r="S61" s="191"/>
      <c r="T61" s="191"/>
      <c r="U61" s="16"/>
      <c r="V61" s="12"/>
      <c r="W61" s="12"/>
      <c r="X61" s="12"/>
      <c r="Y61" s="12"/>
      <c r="Z61" s="14"/>
      <c r="AA61" s="9"/>
      <c r="AB61" s="7"/>
      <c r="AC61" s="4"/>
    </row>
    <row r="62" spans="1:29" x14ac:dyDescent="0.2">
      <c r="A62">
        <v>60</v>
      </c>
      <c r="B62" s="27">
        <v>3241.9038999999998</v>
      </c>
      <c r="C62" s="28">
        <v>4.7945000000000002E-2</v>
      </c>
      <c r="Q62" s="18"/>
      <c r="R62" s="191"/>
      <c r="S62" s="191"/>
      <c r="T62" s="191"/>
      <c r="U62" s="17"/>
      <c r="V62" s="12"/>
      <c r="W62" s="12"/>
      <c r="X62" s="12"/>
      <c r="Y62" s="12"/>
      <c r="Z62" s="14"/>
      <c r="AA62" s="9"/>
      <c r="AB62" s="7"/>
      <c r="AC62" s="11"/>
    </row>
    <row r="63" spans="1:29" x14ac:dyDescent="0.2">
      <c r="A63">
        <v>61</v>
      </c>
      <c r="B63" s="27">
        <v>3267.4173999999998</v>
      </c>
      <c r="C63" s="28">
        <v>4.8744999999999997E-2</v>
      </c>
    </row>
    <row r="64" spans="1:29" x14ac:dyDescent="0.2">
      <c r="A64">
        <v>62</v>
      </c>
      <c r="B64" s="27">
        <v>3290.8784000000001</v>
      </c>
      <c r="C64" s="28">
        <v>4.9544999999999999E-2</v>
      </c>
    </row>
    <row r="65" spans="1:3" x14ac:dyDescent="0.2">
      <c r="A65">
        <v>63</v>
      </c>
      <c r="B65" s="27">
        <v>3313.9787999999999</v>
      </c>
      <c r="C65" s="28">
        <v>5.0345000000000001E-2</v>
      </c>
    </row>
    <row r="66" spans="1:3" x14ac:dyDescent="0.2">
      <c r="A66">
        <v>64</v>
      </c>
      <c r="B66" s="27">
        <v>3337.0826999999999</v>
      </c>
      <c r="C66" s="28">
        <v>5.1145000000000003E-2</v>
      </c>
    </row>
    <row r="67" spans="1:3" x14ac:dyDescent="0.2">
      <c r="A67">
        <v>65</v>
      </c>
      <c r="B67" s="27">
        <v>3359.7239</v>
      </c>
      <c r="C67" s="28">
        <v>5.1944999999999998E-2</v>
      </c>
    </row>
    <row r="68" spans="1:3" x14ac:dyDescent="0.2">
      <c r="A68">
        <v>66</v>
      </c>
      <c r="B68" s="27">
        <v>3381.5479</v>
      </c>
      <c r="C68" s="28">
        <v>5.2745E-2</v>
      </c>
    </row>
    <row r="69" spans="1:3" x14ac:dyDescent="0.2">
      <c r="A69">
        <v>67</v>
      </c>
      <c r="B69" s="27">
        <v>3402.5695000000001</v>
      </c>
      <c r="C69" s="28">
        <v>5.3545000000000002E-2</v>
      </c>
    </row>
    <row r="70" spans="1:3" x14ac:dyDescent="0.2">
      <c r="A70">
        <v>68</v>
      </c>
      <c r="B70" s="27">
        <v>3421.1569</v>
      </c>
      <c r="C70" s="28">
        <v>5.4344999999999997E-2</v>
      </c>
    </row>
    <row r="71" spans="1:3" x14ac:dyDescent="0.2">
      <c r="A71">
        <v>69</v>
      </c>
      <c r="B71" s="27">
        <v>3439.0834</v>
      </c>
      <c r="C71" s="28">
        <v>5.5145E-2</v>
      </c>
    </row>
    <row r="72" spans="1:3" x14ac:dyDescent="0.2">
      <c r="A72">
        <v>70</v>
      </c>
      <c r="B72" s="27">
        <v>3453.9303</v>
      </c>
      <c r="C72" s="28">
        <v>5.5945000000000002E-2</v>
      </c>
    </row>
    <row r="73" spans="1:3" x14ac:dyDescent="0.2">
      <c r="A73">
        <v>71</v>
      </c>
      <c r="B73" s="27">
        <v>3467.0744</v>
      </c>
      <c r="C73" s="28">
        <v>5.6744999999999997E-2</v>
      </c>
    </row>
    <row r="74" spans="1:3" x14ac:dyDescent="0.2">
      <c r="A74">
        <v>72</v>
      </c>
      <c r="B74" s="27">
        <v>3479.5300999999999</v>
      </c>
      <c r="C74" s="28">
        <v>5.7544999999999999E-2</v>
      </c>
    </row>
    <row r="75" spans="1:3" x14ac:dyDescent="0.2">
      <c r="A75">
        <v>73</v>
      </c>
      <c r="B75" s="27">
        <v>3490.9830000000002</v>
      </c>
      <c r="C75" s="28">
        <v>5.8345000000000001E-2</v>
      </c>
    </row>
    <row r="76" spans="1:3" x14ac:dyDescent="0.2">
      <c r="A76">
        <v>74</v>
      </c>
      <c r="B76" s="27">
        <v>3502.4376999999999</v>
      </c>
      <c r="C76" s="28">
        <v>5.9145000000000003E-2</v>
      </c>
    </row>
    <row r="77" spans="1:3" x14ac:dyDescent="0.2">
      <c r="A77">
        <v>75</v>
      </c>
      <c r="B77" s="27">
        <v>3513.6006000000002</v>
      </c>
      <c r="C77" s="28">
        <v>5.9944999999999998E-2</v>
      </c>
    </row>
    <row r="78" spans="1:3" x14ac:dyDescent="0.2">
      <c r="A78">
        <v>76</v>
      </c>
      <c r="B78" s="27">
        <v>3524.0839000000001</v>
      </c>
      <c r="C78" s="28">
        <v>6.0745E-2</v>
      </c>
    </row>
    <row r="79" spans="1:3" x14ac:dyDescent="0.2">
      <c r="A79">
        <v>77</v>
      </c>
      <c r="B79" s="27">
        <v>3534.4881</v>
      </c>
      <c r="C79" s="28">
        <v>6.1545000000000002E-2</v>
      </c>
    </row>
    <row r="80" spans="1:3" x14ac:dyDescent="0.2">
      <c r="A80">
        <v>78</v>
      </c>
      <c r="B80" s="27">
        <v>3544.4513000000002</v>
      </c>
      <c r="C80" s="28">
        <v>6.2344999999999998E-2</v>
      </c>
    </row>
    <row r="81" spans="1:3" x14ac:dyDescent="0.2">
      <c r="A81">
        <v>79</v>
      </c>
      <c r="B81" s="27">
        <v>3552.9771999999998</v>
      </c>
      <c r="C81" s="28">
        <v>6.3145000000000007E-2</v>
      </c>
    </row>
    <row r="82" spans="1:3" x14ac:dyDescent="0.2">
      <c r="A82">
        <v>80</v>
      </c>
      <c r="B82" s="27">
        <v>3559.9526999999998</v>
      </c>
      <c r="C82" s="28">
        <v>6.3945000000000002E-2</v>
      </c>
    </row>
    <row r="83" spans="1:3" x14ac:dyDescent="0.2">
      <c r="A83">
        <v>81</v>
      </c>
      <c r="B83" s="27">
        <v>3566.7784999999999</v>
      </c>
      <c r="C83" s="28">
        <v>6.4744999999999997E-2</v>
      </c>
    </row>
    <row r="84" spans="1:3" x14ac:dyDescent="0.2">
      <c r="A84">
        <v>82</v>
      </c>
      <c r="B84" s="27">
        <v>3571.7271999999998</v>
      </c>
      <c r="C84" s="28">
        <v>6.5545000000000006E-2</v>
      </c>
    </row>
    <row r="85" spans="1:3" x14ac:dyDescent="0.2">
      <c r="A85">
        <v>83</v>
      </c>
      <c r="B85" s="27">
        <v>3575.8845999999999</v>
      </c>
      <c r="C85" s="28">
        <v>6.6345000000000001E-2</v>
      </c>
    </row>
    <row r="86" spans="1:3" x14ac:dyDescent="0.2">
      <c r="A86">
        <v>84</v>
      </c>
      <c r="B86" s="27">
        <v>3579.4344000000001</v>
      </c>
      <c r="C86" s="28">
        <v>6.7144999999999996E-2</v>
      </c>
    </row>
    <row r="87" spans="1:3" x14ac:dyDescent="0.2">
      <c r="A87">
        <v>85</v>
      </c>
      <c r="B87" s="27">
        <v>3582.4081000000001</v>
      </c>
      <c r="C87" s="28">
        <v>6.7945000000000005E-2</v>
      </c>
    </row>
    <row r="88" spans="1:3" x14ac:dyDescent="0.2">
      <c r="A88">
        <v>86</v>
      </c>
      <c r="B88" s="27">
        <v>3585.0934000000002</v>
      </c>
      <c r="C88" s="28">
        <v>6.8745000000000001E-2</v>
      </c>
    </row>
    <row r="89" spans="1:3" x14ac:dyDescent="0.2">
      <c r="A89">
        <v>87</v>
      </c>
      <c r="B89" s="27">
        <v>3587.7366000000002</v>
      </c>
      <c r="C89" s="28">
        <v>6.9544999999999996E-2</v>
      </c>
    </row>
    <row r="90" spans="1:3" x14ac:dyDescent="0.2">
      <c r="A90">
        <v>88</v>
      </c>
      <c r="B90" s="27">
        <v>3590.3818999999999</v>
      </c>
      <c r="C90" s="28">
        <v>7.0345000000000005E-2</v>
      </c>
    </row>
    <row r="91" spans="1:3" x14ac:dyDescent="0.2">
      <c r="A91">
        <v>89</v>
      </c>
      <c r="B91" s="27">
        <v>3593.0223000000001</v>
      </c>
      <c r="C91" s="28">
        <v>7.1145E-2</v>
      </c>
    </row>
    <row r="92" spans="1:3" x14ac:dyDescent="0.2">
      <c r="A92">
        <v>90</v>
      </c>
      <c r="B92" s="27">
        <v>3595.6633999999999</v>
      </c>
      <c r="C92" s="28">
        <v>7.1944999999999995E-2</v>
      </c>
    </row>
    <row r="93" spans="1:3" x14ac:dyDescent="0.2">
      <c r="A93">
        <v>91</v>
      </c>
      <c r="B93" s="27">
        <v>3598.3006999999998</v>
      </c>
      <c r="C93" s="28">
        <v>7.2745000000000004E-2</v>
      </c>
    </row>
    <row r="94" spans="1:3" x14ac:dyDescent="0.2">
      <c r="A94">
        <v>92</v>
      </c>
      <c r="B94" s="27">
        <v>3600.8348999999998</v>
      </c>
      <c r="C94" s="28">
        <v>7.3544999999999999E-2</v>
      </c>
    </row>
    <row r="95" spans="1:3" x14ac:dyDescent="0.2">
      <c r="A95">
        <v>93</v>
      </c>
      <c r="B95" s="27">
        <v>3602.9940999999999</v>
      </c>
      <c r="C95" s="28">
        <v>7.4344999999999994E-2</v>
      </c>
    </row>
    <row r="96" spans="1:3" x14ac:dyDescent="0.2">
      <c r="A96">
        <v>94</v>
      </c>
      <c r="B96" s="27">
        <v>3604.569</v>
      </c>
      <c r="C96" s="28">
        <v>7.5145000000000003E-2</v>
      </c>
    </row>
    <row r="97" spans="1:3" x14ac:dyDescent="0.2">
      <c r="A97">
        <v>95</v>
      </c>
      <c r="B97" s="27">
        <v>3605.9713999999999</v>
      </c>
      <c r="C97" s="28">
        <v>7.5944999999999999E-2</v>
      </c>
    </row>
    <row r="98" spans="1:3" x14ac:dyDescent="0.2">
      <c r="A98">
        <v>96</v>
      </c>
      <c r="B98" s="27">
        <v>3607.2579000000001</v>
      </c>
      <c r="C98" s="28">
        <v>7.6744999999999994E-2</v>
      </c>
    </row>
    <row r="99" spans="1:3" x14ac:dyDescent="0.2">
      <c r="A99">
        <v>97</v>
      </c>
      <c r="B99" s="27">
        <v>3608.5441999999998</v>
      </c>
      <c r="C99" s="28">
        <v>7.7545000000000003E-2</v>
      </c>
    </row>
    <row r="100" spans="1:3" x14ac:dyDescent="0.2">
      <c r="A100">
        <v>98</v>
      </c>
      <c r="B100" s="27">
        <v>3609.7685000000001</v>
      </c>
      <c r="C100" s="28">
        <v>7.8344999999999998E-2</v>
      </c>
    </row>
    <row r="101" spans="1:3" x14ac:dyDescent="0.2">
      <c r="A101">
        <v>99</v>
      </c>
      <c r="B101" s="27">
        <v>3610.9104000000002</v>
      </c>
      <c r="C101" s="28">
        <v>7.9144999999999993E-2</v>
      </c>
    </row>
    <row r="102" spans="1:3" x14ac:dyDescent="0.2">
      <c r="A102">
        <v>100</v>
      </c>
      <c r="B102" s="27">
        <v>3611.6954000000001</v>
      </c>
      <c r="C102" s="28">
        <v>7.9945000000000002E-2</v>
      </c>
    </row>
    <row r="103" spans="1:3" x14ac:dyDescent="0.2">
      <c r="A103">
        <v>101</v>
      </c>
      <c r="B103" s="27">
        <v>3612.0794000000001</v>
      </c>
      <c r="C103" s="28">
        <v>8.0744999999999997E-2</v>
      </c>
    </row>
    <row r="104" spans="1:3" x14ac:dyDescent="0.2">
      <c r="A104">
        <v>102</v>
      </c>
      <c r="B104" s="27">
        <v>3612.1361000000002</v>
      </c>
      <c r="C104" s="28">
        <v>8.1545000000000006E-2</v>
      </c>
    </row>
    <row r="105" spans="1:3" x14ac:dyDescent="0.2">
      <c r="A105">
        <v>103</v>
      </c>
      <c r="B105" s="27">
        <v>3612.0554000000002</v>
      </c>
      <c r="C105" s="28">
        <v>8.2345000000000002E-2</v>
      </c>
    </row>
    <row r="106" spans="1:3" x14ac:dyDescent="0.2">
      <c r="A106">
        <v>104</v>
      </c>
      <c r="B106" s="27">
        <v>3611.8863999999999</v>
      </c>
      <c r="C106" s="28">
        <v>8.3144999999999997E-2</v>
      </c>
    </row>
    <row r="107" spans="1:3" x14ac:dyDescent="0.2">
      <c r="A107">
        <v>105</v>
      </c>
      <c r="B107" s="27">
        <v>3611.6428999999998</v>
      </c>
      <c r="C107" s="28">
        <v>8.3945000000000006E-2</v>
      </c>
    </row>
    <row r="108" spans="1:3" x14ac:dyDescent="0.2">
      <c r="A108">
        <v>106</v>
      </c>
      <c r="B108" s="27">
        <v>3610.8179</v>
      </c>
      <c r="C108" s="28">
        <v>8.4745000000000001E-2</v>
      </c>
    </row>
    <row r="109" spans="1:3" x14ac:dyDescent="0.2">
      <c r="A109">
        <v>107</v>
      </c>
      <c r="B109" s="27">
        <v>3609.9506000000001</v>
      </c>
      <c r="C109" s="28">
        <v>8.5544999999999996E-2</v>
      </c>
    </row>
    <row r="110" spans="1:3" x14ac:dyDescent="0.2">
      <c r="A110">
        <v>108</v>
      </c>
      <c r="B110" s="27">
        <v>3608.9902999999999</v>
      </c>
      <c r="C110" s="28">
        <v>8.6345000000000005E-2</v>
      </c>
    </row>
    <row r="111" spans="1:3" x14ac:dyDescent="0.2">
      <c r="A111">
        <v>109</v>
      </c>
      <c r="B111" s="27">
        <v>3607.7736</v>
      </c>
      <c r="C111" s="28">
        <v>8.7145E-2</v>
      </c>
    </row>
    <row r="112" spans="1:3" x14ac:dyDescent="0.2">
      <c r="A112">
        <v>110</v>
      </c>
      <c r="B112" s="27">
        <v>3606.4384</v>
      </c>
      <c r="C112" s="28">
        <v>8.7944999999999995E-2</v>
      </c>
    </row>
    <row r="113" spans="1:3" x14ac:dyDescent="0.2">
      <c r="A113">
        <v>111</v>
      </c>
      <c r="B113" s="27">
        <v>3604.9321</v>
      </c>
      <c r="C113" s="28">
        <v>8.8745000000000004E-2</v>
      </c>
    </row>
    <row r="114" spans="1:3" x14ac:dyDescent="0.2">
      <c r="A114">
        <v>112</v>
      </c>
      <c r="B114" s="27">
        <v>3603.2082</v>
      </c>
      <c r="C114" s="28">
        <v>8.9545E-2</v>
      </c>
    </row>
    <row r="115" spans="1:3" x14ac:dyDescent="0.2">
      <c r="A115">
        <v>113</v>
      </c>
      <c r="B115" s="27">
        <v>3601.4564999999998</v>
      </c>
      <c r="C115" s="28">
        <v>9.0344999999999995E-2</v>
      </c>
    </row>
    <row r="116" spans="1:3" x14ac:dyDescent="0.2">
      <c r="A116">
        <v>114</v>
      </c>
      <c r="B116" s="27">
        <v>3599.5590000000002</v>
      </c>
      <c r="C116" s="28">
        <v>9.1145000000000004E-2</v>
      </c>
    </row>
    <row r="117" spans="1:3" x14ac:dyDescent="0.2">
      <c r="A117">
        <v>115</v>
      </c>
      <c r="B117" s="27">
        <v>3597.6567</v>
      </c>
      <c r="C117" s="28">
        <v>9.1944999999999999E-2</v>
      </c>
    </row>
    <row r="118" spans="1:3" x14ac:dyDescent="0.2">
      <c r="A118">
        <v>116</v>
      </c>
      <c r="B118" s="27">
        <v>3595.7532000000001</v>
      </c>
      <c r="C118" s="28">
        <v>9.2744999999999994E-2</v>
      </c>
    </row>
    <row r="119" spans="1:3" x14ac:dyDescent="0.2">
      <c r="A119">
        <v>117</v>
      </c>
      <c r="B119" s="27">
        <v>3593.7602999999999</v>
      </c>
      <c r="C119" s="28">
        <v>9.3545000000000003E-2</v>
      </c>
    </row>
    <row r="120" spans="1:3" x14ac:dyDescent="0.2">
      <c r="A120">
        <v>118</v>
      </c>
      <c r="B120" s="27">
        <v>3591.5785999999998</v>
      </c>
      <c r="C120" s="28">
        <v>9.4344999999999998E-2</v>
      </c>
    </row>
    <row r="121" spans="1:3" x14ac:dyDescent="0.2">
      <c r="A121">
        <v>119</v>
      </c>
      <c r="B121" s="27">
        <v>3589.3939</v>
      </c>
      <c r="C121" s="28">
        <v>9.5144999999999993E-2</v>
      </c>
    </row>
    <row r="122" spans="1:3" x14ac:dyDescent="0.2">
      <c r="A122">
        <v>120</v>
      </c>
      <c r="B122" s="27">
        <v>3587.2064999999998</v>
      </c>
      <c r="C122" s="28">
        <v>9.5945000000000003E-2</v>
      </c>
    </row>
    <row r="123" spans="1:3" x14ac:dyDescent="0.2">
      <c r="A123">
        <v>121</v>
      </c>
      <c r="B123" s="27">
        <v>3585.0214000000001</v>
      </c>
      <c r="C123" s="28">
        <v>9.6744999999999998E-2</v>
      </c>
    </row>
    <row r="124" spans="1:3" x14ac:dyDescent="0.2">
      <c r="A124">
        <v>122</v>
      </c>
      <c r="B124" s="27">
        <v>3582.8303999999998</v>
      </c>
      <c r="C124" s="28">
        <v>9.7545000000000007E-2</v>
      </c>
    </row>
    <row r="125" spans="1:3" x14ac:dyDescent="0.2">
      <c r="A125">
        <v>123</v>
      </c>
      <c r="B125" s="27">
        <v>3580.5054</v>
      </c>
      <c r="C125" s="28">
        <v>9.8345000000000002E-2</v>
      </c>
    </row>
    <row r="126" spans="1:3" x14ac:dyDescent="0.2">
      <c r="A126">
        <v>124</v>
      </c>
      <c r="B126" s="27">
        <v>3578.1574999999998</v>
      </c>
      <c r="C126" s="28">
        <v>9.9144999999999997E-2</v>
      </c>
    </row>
    <row r="127" spans="1:3" x14ac:dyDescent="0.2">
      <c r="A127">
        <v>125</v>
      </c>
      <c r="B127" s="27">
        <v>3575.8105</v>
      </c>
      <c r="C127" s="28">
        <v>9.9945000000000006E-2</v>
      </c>
    </row>
    <row r="128" spans="1:3" x14ac:dyDescent="0.2">
      <c r="A128">
        <v>126</v>
      </c>
      <c r="B128" s="27">
        <v>3573.4632999999999</v>
      </c>
      <c r="C128" s="28">
        <v>0.100745</v>
      </c>
    </row>
    <row r="129" spans="1:3" x14ac:dyDescent="0.2">
      <c r="A129">
        <v>127</v>
      </c>
      <c r="B129" s="27">
        <v>3571.0475000000001</v>
      </c>
      <c r="C129" s="28">
        <v>0.101545</v>
      </c>
    </row>
    <row r="130" spans="1:3" x14ac:dyDescent="0.2">
      <c r="A130">
        <v>128</v>
      </c>
      <c r="B130" s="27">
        <v>3568.5529999999999</v>
      </c>
      <c r="C130" s="28">
        <v>0.10234500000000001</v>
      </c>
    </row>
    <row r="131" spans="1:3" x14ac:dyDescent="0.2">
      <c r="A131">
        <v>129</v>
      </c>
      <c r="B131" s="27">
        <v>3566.0536999999999</v>
      </c>
      <c r="C131" s="28">
        <v>0.103145</v>
      </c>
    </row>
    <row r="132" spans="1:3" x14ac:dyDescent="0.2">
      <c r="A132">
        <v>130</v>
      </c>
      <c r="B132" s="27">
        <v>3563.5506999999998</v>
      </c>
      <c r="C132" s="28">
        <v>0.103945</v>
      </c>
    </row>
    <row r="133" spans="1:3" x14ac:dyDescent="0.2">
      <c r="A133">
        <v>131</v>
      </c>
      <c r="B133" s="27">
        <v>3561.0437999999999</v>
      </c>
      <c r="C133" s="28">
        <v>0.104745</v>
      </c>
    </row>
    <row r="134" spans="1:3" x14ac:dyDescent="0.2">
      <c r="A134">
        <v>132</v>
      </c>
      <c r="B134" s="27">
        <v>3558.5376000000001</v>
      </c>
      <c r="C134" s="28">
        <v>0.105545</v>
      </c>
    </row>
    <row r="135" spans="1:3" x14ac:dyDescent="0.2">
      <c r="A135">
        <v>133</v>
      </c>
      <c r="B135" s="27">
        <v>3556.0088000000001</v>
      </c>
      <c r="C135" s="28">
        <v>0.106345</v>
      </c>
    </row>
    <row r="136" spans="1:3" x14ac:dyDescent="0.2">
      <c r="A136">
        <v>134</v>
      </c>
      <c r="B136" s="27">
        <v>3553.4274999999998</v>
      </c>
      <c r="C136" s="28">
        <v>0.107145</v>
      </c>
    </row>
    <row r="137" spans="1:3" x14ac:dyDescent="0.2">
      <c r="A137">
        <v>135</v>
      </c>
      <c r="B137" s="27">
        <v>3550.8182999999999</v>
      </c>
      <c r="C137" s="28">
        <v>0.107945</v>
      </c>
    </row>
    <row r="138" spans="1:3" x14ac:dyDescent="0.2">
      <c r="A138">
        <v>136</v>
      </c>
      <c r="B138" s="27">
        <v>3548.1763999999998</v>
      </c>
      <c r="C138" s="28">
        <v>0.10874499999999999</v>
      </c>
    </row>
    <row r="139" spans="1:3" x14ac:dyDescent="0.2">
      <c r="A139">
        <v>137</v>
      </c>
      <c r="B139" s="27">
        <v>3545.5331000000001</v>
      </c>
      <c r="C139" s="28">
        <v>0.109545</v>
      </c>
    </row>
    <row r="140" spans="1:3" x14ac:dyDescent="0.2">
      <c r="A140">
        <v>138</v>
      </c>
      <c r="B140" s="27">
        <v>3542.8098</v>
      </c>
      <c r="C140" s="28">
        <v>0.110345</v>
      </c>
    </row>
    <row r="141" spans="1:3" x14ac:dyDescent="0.2">
      <c r="A141">
        <v>139</v>
      </c>
      <c r="B141" s="27">
        <v>3539.8775999999998</v>
      </c>
      <c r="C141" s="28">
        <v>0.11114499999999999</v>
      </c>
    </row>
    <row r="142" spans="1:3" x14ac:dyDescent="0.2">
      <c r="A142">
        <v>140</v>
      </c>
      <c r="B142" s="27">
        <v>3536.8834999999999</v>
      </c>
      <c r="C142" s="28">
        <v>0.111945</v>
      </c>
    </row>
    <row r="143" spans="1:3" x14ac:dyDescent="0.2">
      <c r="A143">
        <v>141</v>
      </c>
      <c r="B143" s="27">
        <v>3533.7907</v>
      </c>
      <c r="C143" s="28">
        <v>0.112745</v>
      </c>
    </row>
    <row r="144" spans="1:3" x14ac:dyDescent="0.2">
      <c r="A144">
        <v>142</v>
      </c>
      <c r="B144" s="27">
        <v>3530.6493</v>
      </c>
      <c r="C144" s="28">
        <v>0.11354499999999999</v>
      </c>
    </row>
    <row r="145" spans="1:3" x14ac:dyDescent="0.2">
      <c r="A145">
        <v>143</v>
      </c>
      <c r="B145" s="27">
        <v>3527.4958999999999</v>
      </c>
      <c r="C145" s="28">
        <v>0.114345</v>
      </c>
    </row>
    <row r="146" spans="1:3" x14ac:dyDescent="0.2">
      <c r="A146">
        <v>144</v>
      </c>
      <c r="B146" s="27">
        <v>3524.0405999999998</v>
      </c>
      <c r="C146" s="28">
        <v>0.115145</v>
      </c>
    </row>
    <row r="147" spans="1:3" x14ac:dyDescent="0.2">
      <c r="A147">
        <v>145</v>
      </c>
      <c r="B147" s="27">
        <v>3520.2053999999998</v>
      </c>
      <c r="C147" s="28">
        <v>0.11594500000000001</v>
      </c>
    </row>
    <row r="148" spans="1:3" x14ac:dyDescent="0.2">
      <c r="A148">
        <v>146</v>
      </c>
      <c r="B148" s="27">
        <v>3516.2982999999999</v>
      </c>
      <c r="C148" s="28">
        <v>0.116745</v>
      </c>
    </row>
    <row r="149" spans="1:3" x14ac:dyDescent="0.2">
      <c r="A149">
        <v>147</v>
      </c>
      <c r="B149" s="27">
        <v>3512.3892999999998</v>
      </c>
      <c r="C149" s="28">
        <v>0.117545</v>
      </c>
    </row>
    <row r="150" spans="1:3" x14ac:dyDescent="0.2">
      <c r="A150">
        <v>148</v>
      </c>
      <c r="B150" s="27">
        <v>3508.4789999999998</v>
      </c>
      <c r="C150" s="28">
        <v>0.11834500000000001</v>
      </c>
    </row>
    <row r="151" spans="1:3" x14ac:dyDescent="0.2">
      <c r="A151">
        <v>149</v>
      </c>
      <c r="B151" s="27">
        <v>3504.5652</v>
      </c>
      <c r="C151" s="28">
        <v>0.119145</v>
      </c>
    </row>
    <row r="152" spans="1:3" x14ac:dyDescent="0.2">
      <c r="A152">
        <v>150</v>
      </c>
      <c r="B152" s="27">
        <v>3500.6520999999998</v>
      </c>
      <c r="C152" s="28">
        <v>0.119945</v>
      </c>
    </row>
    <row r="153" spans="1:3" x14ac:dyDescent="0.2">
      <c r="A153">
        <v>151</v>
      </c>
      <c r="B153" s="27">
        <v>3496.7363999999998</v>
      </c>
      <c r="C153" s="28">
        <v>0.12074500000000001</v>
      </c>
    </row>
    <row r="154" spans="1:3" x14ac:dyDescent="0.2">
      <c r="A154">
        <v>152</v>
      </c>
      <c r="B154" s="27">
        <v>3492.8177000000001</v>
      </c>
      <c r="C154" s="28">
        <v>0.121545</v>
      </c>
    </row>
    <row r="155" spans="1:3" x14ac:dyDescent="0.2">
      <c r="A155">
        <v>153</v>
      </c>
      <c r="B155" s="27">
        <v>3488.8597</v>
      </c>
      <c r="C155" s="28">
        <v>0.122345</v>
      </c>
    </row>
    <row r="156" spans="1:3" x14ac:dyDescent="0.2">
      <c r="A156">
        <v>154</v>
      </c>
      <c r="B156" s="27">
        <v>3484.9016999999999</v>
      </c>
      <c r="C156" s="28">
        <v>0.123145</v>
      </c>
    </row>
    <row r="157" spans="1:3" x14ac:dyDescent="0.2">
      <c r="A157">
        <v>155</v>
      </c>
      <c r="B157" s="27">
        <v>3480.9434000000001</v>
      </c>
      <c r="C157" s="28">
        <v>0.123945</v>
      </c>
    </row>
    <row r="158" spans="1:3" x14ac:dyDescent="0.2">
      <c r="A158">
        <v>156</v>
      </c>
      <c r="B158" s="27">
        <v>3476.9829</v>
      </c>
      <c r="C158" s="28">
        <v>0.12474499999999999</v>
      </c>
    </row>
    <row r="159" spans="1:3" x14ac:dyDescent="0.2">
      <c r="A159">
        <v>157</v>
      </c>
      <c r="B159" s="27">
        <v>3472.9378000000002</v>
      </c>
      <c r="C159" s="28">
        <v>0.12554499999999999</v>
      </c>
    </row>
    <row r="160" spans="1:3" x14ac:dyDescent="0.2">
      <c r="A160">
        <v>158</v>
      </c>
      <c r="B160" s="27">
        <v>3468.8112000000001</v>
      </c>
      <c r="C160" s="28">
        <v>0.12634500000000001</v>
      </c>
    </row>
    <row r="161" spans="1:3" x14ac:dyDescent="0.2">
      <c r="A161">
        <v>159</v>
      </c>
      <c r="B161" s="27">
        <v>3464.6835000000001</v>
      </c>
      <c r="C161" s="28">
        <v>0.12714500000000001</v>
      </c>
    </row>
    <row r="162" spans="1:3" x14ac:dyDescent="0.2">
      <c r="A162">
        <v>160</v>
      </c>
      <c r="B162" s="27">
        <v>3460.5540999999998</v>
      </c>
      <c r="C162" s="28">
        <v>0.127945</v>
      </c>
    </row>
    <row r="163" spans="1:3" x14ac:dyDescent="0.2">
      <c r="A163">
        <v>161</v>
      </c>
      <c r="B163" s="27">
        <v>3456.4238999999998</v>
      </c>
      <c r="C163" s="28">
        <v>0.128745</v>
      </c>
    </row>
    <row r="164" spans="1:3" x14ac:dyDescent="0.2">
      <c r="A164">
        <v>162</v>
      </c>
      <c r="B164" s="27">
        <v>3452.2934</v>
      </c>
      <c r="C164" s="28">
        <v>0.12954499999999999</v>
      </c>
    </row>
    <row r="165" spans="1:3" x14ac:dyDescent="0.2">
      <c r="A165">
        <v>163</v>
      </c>
      <c r="B165" s="27">
        <v>3448.1592999999998</v>
      </c>
      <c r="C165" s="28">
        <v>0.13034499999999999</v>
      </c>
    </row>
    <row r="166" spans="1:3" x14ac:dyDescent="0.2">
      <c r="A166">
        <v>164</v>
      </c>
      <c r="B166" s="27">
        <v>3444.0230000000001</v>
      </c>
      <c r="C166" s="28">
        <v>0.13114500000000001</v>
      </c>
    </row>
    <row r="167" spans="1:3" x14ac:dyDescent="0.2">
      <c r="A167">
        <v>165</v>
      </c>
      <c r="B167" s="27">
        <v>3439.8899000000001</v>
      </c>
      <c r="C167" s="28">
        <v>0.13194500000000001</v>
      </c>
    </row>
    <row r="168" spans="1:3" x14ac:dyDescent="0.2">
      <c r="A168">
        <v>166</v>
      </c>
      <c r="B168" s="27">
        <v>3435.7471</v>
      </c>
      <c r="C168" s="28">
        <v>0.132745</v>
      </c>
    </row>
    <row r="169" spans="1:3" x14ac:dyDescent="0.2">
      <c r="A169">
        <v>167</v>
      </c>
      <c r="B169" s="27">
        <v>3431.5817000000002</v>
      </c>
      <c r="C169" s="28">
        <v>0.133545</v>
      </c>
    </row>
    <row r="170" spans="1:3" x14ac:dyDescent="0.2">
      <c r="A170">
        <v>168</v>
      </c>
      <c r="B170" s="27">
        <v>3427.4151999999999</v>
      </c>
      <c r="C170" s="28">
        <v>0.13434499999999999</v>
      </c>
    </row>
    <row r="171" spans="1:3" x14ac:dyDescent="0.2">
      <c r="A171">
        <v>169</v>
      </c>
      <c r="B171" s="27">
        <v>3423.1954999999998</v>
      </c>
      <c r="C171" s="28">
        <v>0.13514499999999999</v>
      </c>
    </row>
    <row r="172" spans="1:3" x14ac:dyDescent="0.2">
      <c r="A172">
        <v>170</v>
      </c>
      <c r="B172" s="27">
        <v>3418.8863000000001</v>
      </c>
      <c r="C172" s="28">
        <v>0.13594500000000001</v>
      </c>
    </row>
    <row r="173" spans="1:3" x14ac:dyDescent="0.2">
      <c r="A173">
        <v>171</v>
      </c>
      <c r="B173" s="27">
        <v>3414.5101</v>
      </c>
      <c r="C173" s="28">
        <v>0.13674500000000001</v>
      </c>
    </row>
    <row r="174" spans="1:3" x14ac:dyDescent="0.2">
      <c r="A174">
        <v>172</v>
      </c>
      <c r="B174" s="27">
        <v>3410.0726</v>
      </c>
      <c r="C174" s="28">
        <v>0.137545</v>
      </c>
    </row>
    <row r="175" spans="1:3" x14ac:dyDescent="0.2">
      <c r="A175">
        <v>173</v>
      </c>
      <c r="B175" s="27">
        <v>3405.5382</v>
      </c>
      <c r="C175" s="28">
        <v>0.138345</v>
      </c>
    </row>
    <row r="176" spans="1:3" x14ac:dyDescent="0.2">
      <c r="A176">
        <v>174</v>
      </c>
      <c r="B176" s="27">
        <v>3400.8912</v>
      </c>
      <c r="C176" s="28">
        <v>0.13914499999999999</v>
      </c>
    </row>
    <row r="177" spans="1:3" x14ac:dyDescent="0.2">
      <c r="A177">
        <v>175</v>
      </c>
      <c r="B177" s="27">
        <v>3396.2161000000001</v>
      </c>
      <c r="C177" s="28">
        <v>0.13994500000000001</v>
      </c>
    </row>
    <row r="178" spans="1:3" x14ac:dyDescent="0.2">
      <c r="A178">
        <v>176</v>
      </c>
      <c r="B178" s="27">
        <v>3391.5223000000001</v>
      </c>
      <c r="C178" s="28">
        <v>0.14074500000000001</v>
      </c>
    </row>
    <row r="179" spans="1:3" x14ac:dyDescent="0.2">
      <c r="A179">
        <v>177</v>
      </c>
      <c r="B179" s="27">
        <v>3386.7791000000002</v>
      </c>
      <c r="C179" s="28">
        <v>0.141545</v>
      </c>
    </row>
    <row r="180" spans="1:3" x14ac:dyDescent="0.2">
      <c r="A180">
        <v>178</v>
      </c>
      <c r="B180" s="27">
        <v>3382.029</v>
      </c>
      <c r="C180" s="28">
        <v>0.142345</v>
      </c>
    </row>
    <row r="181" spans="1:3" x14ac:dyDescent="0.2">
      <c r="A181">
        <v>179</v>
      </c>
      <c r="B181" s="27">
        <v>3377.2808</v>
      </c>
      <c r="C181" s="28">
        <v>0.14314499999999999</v>
      </c>
    </row>
    <row r="182" spans="1:3" x14ac:dyDescent="0.2">
      <c r="A182">
        <v>180</v>
      </c>
      <c r="B182" s="27">
        <v>3372.5232000000001</v>
      </c>
      <c r="C182" s="28">
        <v>0.14394499999999999</v>
      </c>
    </row>
    <row r="183" spans="1:3" x14ac:dyDescent="0.2">
      <c r="A183">
        <v>181</v>
      </c>
      <c r="B183" s="27">
        <v>3367.7662</v>
      </c>
      <c r="C183" s="28">
        <v>0.14474500000000001</v>
      </c>
    </row>
    <row r="184" spans="1:3" x14ac:dyDescent="0.2">
      <c r="A184">
        <v>182</v>
      </c>
      <c r="B184" s="27">
        <v>3363.0081</v>
      </c>
      <c r="C184" s="28">
        <v>0.14554500000000001</v>
      </c>
    </row>
    <row r="185" spans="1:3" x14ac:dyDescent="0.2">
      <c r="A185">
        <v>183</v>
      </c>
      <c r="B185" s="27">
        <v>3358.2489</v>
      </c>
      <c r="C185" s="28">
        <v>0.146345</v>
      </c>
    </row>
    <row r="186" spans="1:3" x14ac:dyDescent="0.2">
      <c r="A186">
        <v>184</v>
      </c>
      <c r="B186" s="27">
        <v>3353.4870999999998</v>
      </c>
      <c r="C186" s="28">
        <v>0.147145</v>
      </c>
    </row>
    <row r="187" spans="1:3" x14ac:dyDescent="0.2">
      <c r="A187">
        <v>185</v>
      </c>
      <c r="B187" s="27">
        <v>3348.7253000000001</v>
      </c>
      <c r="C187" s="28">
        <v>0.14794499999999999</v>
      </c>
    </row>
    <row r="188" spans="1:3" x14ac:dyDescent="0.2">
      <c r="A188">
        <v>186</v>
      </c>
      <c r="B188" s="27">
        <v>3343.9639000000002</v>
      </c>
      <c r="C188" s="28">
        <v>0.14874499999999999</v>
      </c>
    </row>
    <row r="189" spans="1:3" x14ac:dyDescent="0.2">
      <c r="A189">
        <v>187</v>
      </c>
      <c r="B189" s="27">
        <v>3339.1963999999998</v>
      </c>
      <c r="C189" s="28">
        <v>0.14954500000000001</v>
      </c>
    </row>
    <row r="190" spans="1:3" x14ac:dyDescent="0.2">
      <c r="A190">
        <v>188</v>
      </c>
      <c r="B190" s="27">
        <v>3334.3663000000001</v>
      </c>
      <c r="C190" s="28">
        <v>0.15034500000000001</v>
      </c>
    </row>
    <row r="191" spans="1:3" x14ac:dyDescent="0.2">
      <c r="A191">
        <v>189</v>
      </c>
      <c r="B191" s="27">
        <v>3329.4854999999998</v>
      </c>
      <c r="C191" s="28">
        <v>0.151145</v>
      </c>
    </row>
    <row r="192" spans="1:3" x14ac:dyDescent="0.2">
      <c r="A192">
        <v>190</v>
      </c>
      <c r="B192" s="27">
        <v>3324.6042000000002</v>
      </c>
      <c r="C192" s="28">
        <v>0.151945</v>
      </c>
    </row>
    <row r="193" spans="1:3" x14ac:dyDescent="0.2">
      <c r="A193">
        <v>191</v>
      </c>
      <c r="B193" s="27">
        <v>3319.7197999999999</v>
      </c>
      <c r="C193" s="28">
        <v>0.15274499999999999</v>
      </c>
    </row>
    <row r="194" spans="1:3" x14ac:dyDescent="0.2">
      <c r="A194">
        <v>192</v>
      </c>
      <c r="B194" s="27">
        <v>3314.8330000000001</v>
      </c>
      <c r="C194" s="28">
        <v>0.15354499999999999</v>
      </c>
    </row>
    <row r="195" spans="1:3" x14ac:dyDescent="0.2">
      <c r="A195">
        <v>193</v>
      </c>
      <c r="B195" s="27">
        <v>3309.9476</v>
      </c>
      <c r="C195" s="28">
        <v>0.15434500000000001</v>
      </c>
    </row>
    <row r="196" spans="1:3" x14ac:dyDescent="0.2">
      <c r="A196">
        <v>194</v>
      </c>
      <c r="B196" s="27">
        <v>3305.0590000000002</v>
      </c>
      <c r="C196" s="28">
        <v>0.15514500000000001</v>
      </c>
    </row>
    <row r="197" spans="1:3" x14ac:dyDescent="0.2">
      <c r="A197">
        <v>195</v>
      </c>
      <c r="B197" s="27">
        <v>3300.1689999999999</v>
      </c>
      <c r="C197" s="28">
        <v>0.155945</v>
      </c>
    </row>
    <row r="198" spans="1:3" x14ac:dyDescent="0.2">
      <c r="A198">
        <v>196</v>
      </c>
      <c r="B198" s="27">
        <v>3295.2791000000002</v>
      </c>
      <c r="C198" s="28">
        <v>0.156745</v>
      </c>
    </row>
    <row r="199" spans="1:3" x14ac:dyDescent="0.2">
      <c r="A199">
        <v>197</v>
      </c>
      <c r="B199" s="27">
        <v>3290.3885</v>
      </c>
      <c r="C199" s="28">
        <v>0.15754499999999999</v>
      </c>
    </row>
    <row r="200" spans="1:3" x14ac:dyDescent="0.2">
      <c r="A200">
        <v>198</v>
      </c>
      <c r="B200" s="27">
        <v>3285.4926</v>
      </c>
      <c r="C200" s="28">
        <v>0.15834500000000001</v>
      </c>
    </row>
    <row r="201" spans="1:3" x14ac:dyDescent="0.2">
      <c r="A201">
        <v>199</v>
      </c>
      <c r="B201" s="27">
        <v>3280.6010999999999</v>
      </c>
      <c r="C201" s="28">
        <v>0.15914500000000001</v>
      </c>
    </row>
    <row r="202" spans="1:3" x14ac:dyDescent="0.2">
      <c r="A202">
        <v>200</v>
      </c>
      <c r="B202" s="27">
        <v>3275.6069000000002</v>
      </c>
      <c r="C202" s="28">
        <v>0.159945</v>
      </c>
    </row>
    <row r="203" spans="1:3" x14ac:dyDescent="0.2">
      <c r="A203">
        <v>201</v>
      </c>
      <c r="B203" s="27">
        <v>3270.5603000000001</v>
      </c>
      <c r="C203" s="28">
        <v>0.160745</v>
      </c>
    </row>
    <row r="204" spans="1:3" x14ac:dyDescent="0.2">
      <c r="A204">
        <v>202</v>
      </c>
      <c r="B204" s="27">
        <v>3265.4333999999999</v>
      </c>
      <c r="C204" s="28">
        <v>0.16154499999999999</v>
      </c>
    </row>
    <row r="205" spans="1:3" x14ac:dyDescent="0.2">
      <c r="A205">
        <v>203</v>
      </c>
      <c r="B205" s="27">
        <v>3260.2257</v>
      </c>
      <c r="C205" s="28">
        <v>0.16234499999999999</v>
      </c>
    </row>
    <row r="206" spans="1:3" x14ac:dyDescent="0.2">
      <c r="A206">
        <v>204</v>
      </c>
      <c r="B206" s="27">
        <v>3254.9641999999999</v>
      </c>
      <c r="C206" s="28">
        <v>0.16314500000000001</v>
      </c>
    </row>
    <row r="207" spans="1:3" x14ac:dyDescent="0.2">
      <c r="A207">
        <v>205</v>
      </c>
      <c r="B207" s="27">
        <v>3249.6957000000002</v>
      </c>
      <c r="C207" s="28">
        <v>0.16394500000000001</v>
      </c>
    </row>
    <row r="208" spans="1:3" x14ac:dyDescent="0.2">
      <c r="A208">
        <v>206</v>
      </c>
      <c r="B208" s="27">
        <v>3244.422</v>
      </c>
      <c r="C208" s="28">
        <v>0.164745</v>
      </c>
    </row>
    <row r="209" spans="1:3" x14ac:dyDescent="0.2">
      <c r="A209">
        <v>207</v>
      </c>
      <c r="B209" s="27">
        <v>3239.1453999999999</v>
      </c>
      <c r="C209" s="28">
        <v>0.165545</v>
      </c>
    </row>
    <row r="210" spans="1:3" x14ac:dyDescent="0.2">
      <c r="A210">
        <v>208</v>
      </c>
      <c r="B210" s="27">
        <v>3233.8661999999999</v>
      </c>
      <c r="C210" s="28">
        <v>0.16634499999999999</v>
      </c>
    </row>
    <row r="211" spans="1:3" x14ac:dyDescent="0.2">
      <c r="A211">
        <v>209</v>
      </c>
      <c r="B211" s="27">
        <v>3228.5857999999998</v>
      </c>
      <c r="C211" s="28">
        <v>0.16714499999999999</v>
      </c>
    </row>
    <row r="212" spans="1:3" x14ac:dyDescent="0.2">
      <c r="A212">
        <v>210</v>
      </c>
      <c r="B212" s="27">
        <v>3223.3011000000001</v>
      </c>
      <c r="C212" s="28">
        <v>0.16794500000000001</v>
      </c>
    </row>
    <row r="213" spans="1:3" x14ac:dyDescent="0.2">
      <c r="A213">
        <v>211</v>
      </c>
      <c r="B213" s="27">
        <v>3218.0916000000002</v>
      </c>
      <c r="C213" s="28">
        <v>0.16874500000000001</v>
      </c>
    </row>
    <row r="214" spans="1:3" x14ac:dyDescent="0.2">
      <c r="A214">
        <v>212</v>
      </c>
      <c r="B214" s="27">
        <v>3213.0596</v>
      </c>
      <c r="C214" s="28">
        <v>0.169545</v>
      </c>
    </row>
    <row r="215" spans="1:3" x14ac:dyDescent="0.2">
      <c r="A215">
        <v>213</v>
      </c>
      <c r="B215" s="27">
        <v>3208.3388</v>
      </c>
      <c r="C215" s="28">
        <v>0.170345</v>
      </c>
    </row>
    <row r="216" spans="1:3" x14ac:dyDescent="0.2">
      <c r="A216">
        <v>214</v>
      </c>
      <c r="B216" s="27">
        <v>3203.6677</v>
      </c>
      <c r="C216" s="28">
        <v>0.17114499999999999</v>
      </c>
    </row>
    <row r="217" spans="1:3" x14ac:dyDescent="0.2">
      <c r="A217">
        <v>215</v>
      </c>
      <c r="B217" s="27">
        <v>3199.0794999999998</v>
      </c>
      <c r="C217" s="28">
        <v>0.17194499999999999</v>
      </c>
    </row>
    <row r="218" spans="1:3" x14ac:dyDescent="0.2">
      <c r="A218">
        <v>216</v>
      </c>
      <c r="B218" s="27">
        <v>3194.9364</v>
      </c>
      <c r="C218" s="28">
        <v>0.17274500000000001</v>
      </c>
    </row>
    <row r="219" spans="1:3" x14ac:dyDescent="0.2">
      <c r="A219">
        <v>217</v>
      </c>
      <c r="B219" s="27">
        <v>3191.3627000000001</v>
      </c>
      <c r="C219" s="28">
        <v>0.173545</v>
      </c>
    </row>
    <row r="220" spans="1:3" x14ac:dyDescent="0.2">
      <c r="A220">
        <v>218</v>
      </c>
      <c r="B220" s="27">
        <v>3188.3874999999998</v>
      </c>
      <c r="C220" s="28">
        <v>0.174345</v>
      </c>
    </row>
    <row r="221" spans="1:3" x14ac:dyDescent="0.2">
      <c r="A221">
        <v>219</v>
      </c>
      <c r="B221" s="27">
        <v>3185.3872999999999</v>
      </c>
      <c r="C221" s="28">
        <v>0.175145</v>
      </c>
    </row>
    <row r="222" spans="1:3" x14ac:dyDescent="0.2">
      <c r="A222">
        <v>220</v>
      </c>
      <c r="B222" s="27">
        <v>3182.6543000000001</v>
      </c>
      <c r="C222" s="28">
        <v>0.17594499999999999</v>
      </c>
    </row>
    <row r="223" spans="1:3" x14ac:dyDescent="0.2">
      <c r="A223">
        <v>221</v>
      </c>
      <c r="B223" s="27">
        <v>3181.0776000000001</v>
      </c>
      <c r="C223" s="28">
        <v>0.17674500000000001</v>
      </c>
    </row>
    <row r="224" spans="1:3" x14ac:dyDescent="0.2">
      <c r="A224">
        <v>222</v>
      </c>
      <c r="B224" s="27">
        <v>3180.3946000000001</v>
      </c>
      <c r="C224" s="28">
        <v>0.17754500000000001</v>
      </c>
    </row>
    <row r="225" spans="1:3" x14ac:dyDescent="0.2">
      <c r="A225">
        <v>223</v>
      </c>
      <c r="B225" s="27">
        <v>3179.7015000000001</v>
      </c>
      <c r="C225" s="28">
        <v>0.178345</v>
      </c>
    </row>
    <row r="226" spans="1:3" x14ac:dyDescent="0.2">
      <c r="A226">
        <v>224</v>
      </c>
      <c r="B226" s="27">
        <v>3179.0585999999998</v>
      </c>
      <c r="C226" s="28">
        <v>0.179145</v>
      </c>
    </row>
    <row r="227" spans="1:3" x14ac:dyDescent="0.2">
      <c r="A227">
        <v>225</v>
      </c>
      <c r="B227" s="27">
        <v>3179.6098000000002</v>
      </c>
      <c r="C227" s="28">
        <v>0.17994499999999999</v>
      </c>
    </row>
    <row r="228" spans="1:3" x14ac:dyDescent="0.2">
      <c r="A228">
        <v>226</v>
      </c>
      <c r="B228" s="27">
        <v>3180.5255999999999</v>
      </c>
      <c r="C228" s="28">
        <v>0.18074499999999999</v>
      </c>
    </row>
    <row r="229" spans="1:3" x14ac:dyDescent="0.2">
      <c r="A229">
        <v>227</v>
      </c>
      <c r="B229" s="27">
        <v>3181.6091999999999</v>
      </c>
      <c r="C229" s="28">
        <v>0.18154500000000001</v>
      </c>
    </row>
    <row r="230" spans="1:3" x14ac:dyDescent="0.2">
      <c r="A230">
        <v>228</v>
      </c>
      <c r="B230" s="27">
        <v>3182.6314000000002</v>
      </c>
      <c r="C230" s="28">
        <v>0.18234500000000001</v>
      </c>
    </row>
    <row r="231" spans="1:3" x14ac:dyDescent="0.2">
      <c r="A231">
        <v>229</v>
      </c>
      <c r="B231" s="27">
        <v>3183.9367999999999</v>
      </c>
      <c r="C231" s="28">
        <v>0.183145</v>
      </c>
    </row>
    <row r="232" spans="1:3" x14ac:dyDescent="0.2">
      <c r="A232">
        <v>230</v>
      </c>
      <c r="B232" s="27">
        <v>3185.2602000000002</v>
      </c>
      <c r="C232" s="28">
        <v>0.183945</v>
      </c>
    </row>
    <row r="233" spans="1:3" x14ac:dyDescent="0.2">
      <c r="A233">
        <v>231</v>
      </c>
      <c r="B233" s="27">
        <v>3186.5830999999998</v>
      </c>
      <c r="C233" s="28">
        <v>0.18474499999999999</v>
      </c>
    </row>
    <row r="234" spans="1:3" x14ac:dyDescent="0.2">
      <c r="A234">
        <v>232</v>
      </c>
      <c r="B234" s="27">
        <v>3187.8416000000002</v>
      </c>
      <c r="C234" s="28">
        <v>0.18554499999999999</v>
      </c>
    </row>
    <row r="235" spans="1:3" x14ac:dyDescent="0.2">
      <c r="A235">
        <v>233</v>
      </c>
      <c r="B235" s="27">
        <v>3189.0129999999999</v>
      </c>
      <c r="C235" s="28">
        <v>0.18634500000000001</v>
      </c>
    </row>
    <row r="236" spans="1:3" x14ac:dyDescent="0.2">
      <c r="A236">
        <v>234</v>
      </c>
      <c r="B236" s="27">
        <v>3190.1365999999998</v>
      </c>
      <c r="C236" s="28">
        <v>0.18714500000000001</v>
      </c>
    </row>
    <row r="237" spans="1:3" x14ac:dyDescent="0.2">
      <c r="A237">
        <v>235</v>
      </c>
      <c r="B237" s="27">
        <v>3191.2141999999999</v>
      </c>
      <c r="C237" s="28">
        <v>0.187945</v>
      </c>
    </row>
    <row r="238" spans="1:3" x14ac:dyDescent="0.2">
      <c r="A238">
        <v>236</v>
      </c>
      <c r="B238" s="27">
        <v>3192.2541000000001</v>
      </c>
      <c r="C238" s="28">
        <v>0.188745</v>
      </c>
    </row>
    <row r="239" spans="1:3" x14ac:dyDescent="0.2">
      <c r="A239">
        <v>237</v>
      </c>
      <c r="B239" s="27">
        <v>3193.2433999999998</v>
      </c>
      <c r="C239" s="28">
        <v>0.18954499999999999</v>
      </c>
    </row>
    <row r="240" spans="1:3" x14ac:dyDescent="0.2">
      <c r="A240">
        <v>238</v>
      </c>
      <c r="B240" s="27">
        <v>3194.1295</v>
      </c>
      <c r="C240" s="28">
        <v>0.19034499999999999</v>
      </c>
    </row>
    <row r="241" spans="1:3" x14ac:dyDescent="0.2">
      <c r="A241">
        <v>239</v>
      </c>
      <c r="B241" s="27">
        <v>3194.9546</v>
      </c>
      <c r="C241" s="28">
        <v>0.19114500000000001</v>
      </c>
    </row>
    <row r="242" spans="1:3" x14ac:dyDescent="0.2">
      <c r="A242">
        <v>240</v>
      </c>
      <c r="B242" s="27">
        <v>3195.7073999999998</v>
      </c>
      <c r="C242" s="28">
        <v>0.191945</v>
      </c>
    </row>
    <row r="243" spans="1:3" x14ac:dyDescent="0.2">
      <c r="A243">
        <v>241</v>
      </c>
      <c r="B243" s="27">
        <v>3196.4413</v>
      </c>
      <c r="C243" s="28">
        <v>0.192745</v>
      </c>
    </row>
    <row r="244" spans="1:3" x14ac:dyDescent="0.2">
      <c r="A244">
        <v>242</v>
      </c>
      <c r="B244" s="27">
        <v>3197.1037999999999</v>
      </c>
      <c r="C244" s="28">
        <v>0.19354499999999999</v>
      </c>
    </row>
    <row r="245" spans="1:3" x14ac:dyDescent="0.2">
      <c r="A245">
        <v>243</v>
      </c>
      <c r="B245" s="27">
        <v>3197.7201</v>
      </c>
      <c r="C245" s="28">
        <v>0.19434499999999999</v>
      </c>
    </row>
    <row r="246" spans="1:3" x14ac:dyDescent="0.2">
      <c r="A246">
        <v>244</v>
      </c>
      <c r="B246" s="27">
        <v>3198.3261000000002</v>
      </c>
      <c r="C246" s="28">
        <v>0.19514500000000001</v>
      </c>
    </row>
    <row r="247" spans="1:3" x14ac:dyDescent="0.2">
      <c r="A247">
        <v>245</v>
      </c>
      <c r="B247" s="27">
        <v>3198.9189000000001</v>
      </c>
      <c r="C247" s="28">
        <v>0.19594500000000001</v>
      </c>
    </row>
    <row r="248" spans="1:3" x14ac:dyDescent="0.2">
      <c r="A248">
        <v>246</v>
      </c>
      <c r="B248" s="27">
        <v>3199.5001999999999</v>
      </c>
      <c r="C248" s="28">
        <v>0.196745</v>
      </c>
    </row>
    <row r="249" spans="1:3" x14ac:dyDescent="0.2">
      <c r="A249">
        <v>247</v>
      </c>
      <c r="B249" s="27">
        <v>3200.0787</v>
      </c>
      <c r="C249" s="28">
        <v>0.197545</v>
      </c>
    </row>
    <row r="250" spans="1:3" x14ac:dyDescent="0.2">
      <c r="A250">
        <v>248</v>
      </c>
      <c r="B250" s="27">
        <v>3200.6558</v>
      </c>
      <c r="C250" s="28">
        <v>0.19834499999999999</v>
      </c>
    </row>
    <row r="251" spans="1:3" x14ac:dyDescent="0.2">
      <c r="A251">
        <v>249</v>
      </c>
      <c r="B251" s="27">
        <v>3201.2354</v>
      </c>
      <c r="C251" s="28">
        <v>0.19914499999999999</v>
      </c>
    </row>
    <row r="252" spans="1:3" x14ac:dyDescent="0.2">
      <c r="A252">
        <v>250</v>
      </c>
      <c r="B252" s="27">
        <v>3201.8063000000002</v>
      </c>
      <c r="C252" s="28">
        <v>0.19994500000000001</v>
      </c>
    </row>
    <row r="253" spans="1:3" x14ac:dyDescent="0.2">
      <c r="A253">
        <v>251</v>
      </c>
      <c r="B253" s="27">
        <v>3202.3708999999999</v>
      </c>
      <c r="C253" s="28">
        <v>0.20074500000000001</v>
      </c>
    </row>
    <row r="254" spans="1:3" x14ac:dyDescent="0.2">
      <c r="A254">
        <v>252</v>
      </c>
      <c r="B254" s="27">
        <v>3202.9108999999999</v>
      </c>
      <c r="C254" s="28">
        <v>0.201545</v>
      </c>
    </row>
    <row r="255" spans="1:3" x14ac:dyDescent="0.2">
      <c r="A255">
        <v>253</v>
      </c>
      <c r="B255" s="27">
        <v>3203.4344999999998</v>
      </c>
      <c r="C255" s="28">
        <v>0.202345</v>
      </c>
    </row>
    <row r="256" spans="1:3" x14ac:dyDescent="0.2">
      <c r="A256">
        <v>254</v>
      </c>
      <c r="B256" s="27">
        <v>3203.9123</v>
      </c>
      <c r="C256" s="28">
        <v>0.20314499999999999</v>
      </c>
    </row>
    <row r="257" spans="1:3" x14ac:dyDescent="0.2">
      <c r="A257">
        <v>255</v>
      </c>
      <c r="B257" s="27">
        <v>3204.3110000000001</v>
      </c>
      <c r="C257" s="28">
        <v>0.20394499999999999</v>
      </c>
    </row>
    <row r="258" spans="1:3" x14ac:dyDescent="0.2">
      <c r="A258">
        <v>256</v>
      </c>
      <c r="B258" s="27">
        <v>3204.7085000000002</v>
      </c>
      <c r="C258" s="28">
        <v>0.20474500000000001</v>
      </c>
    </row>
    <row r="259" spans="1:3" x14ac:dyDescent="0.2">
      <c r="A259">
        <v>257</v>
      </c>
      <c r="B259" s="27">
        <v>3205.0203000000001</v>
      </c>
      <c r="C259" s="28">
        <v>0.20554500000000001</v>
      </c>
    </row>
    <row r="260" spans="1:3" x14ac:dyDescent="0.2">
      <c r="A260">
        <v>258</v>
      </c>
      <c r="B260" s="27">
        <v>3205.3270000000002</v>
      </c>
      <c r="C260" s="28">
        <v>0.206345</v>
      </c>
    </row>
    <row r="261" spans="1:3" x14ac:dyDescent="0.2">
      <c r="A261">
        <v>259</v>
      </c>
      <c r="B261" s="27">
        <v>3205.6275000000001</v>
      </c>
      <c r="C261" s="28">
        <v>0.207145</v>
      </c>
    </row>
    <row r="262" spans="1:3" x14ac:dyDescent="0.2">
      <c r="A262">
        <v>260</v>
      </c>
      <c r="B262" s="27">
        <v>3205.9238999999998</v>
      </c>
      <c r="C262" s="28">
        <v>0.20794499999999999</v>
      </c>
    </row>
    <row r="263" spans="1:3" x14ac:dyDescent="0.2">
      <c r="A263">
        <v>261</v>
      </c>
      <c r="B263" s="27">
        <v>3206.2217000000001</v>
      </c>
      <c r="C263" s="28">
        <v>0.20874500000000001</v>
      </c>
    </row>
    <row r="264" spans="1:3" x14ac:dyDescent="0.2">
      <c r="A264">
        <v>262</v>
      </c>
      <c r="B264" s="27">
        <v>3206.5178999999998</v>
      </c>
      <c r="C264" s="28">
        <v>0.20954500000000001</v>
      </c>
    </row>
    <row r="265" spans="1:3" x14ac:dyDescent="0.2">
      <c r="A265">
        <v>263</v>
      </c>
      <c r="B265" s="27">
        <v>3206.8049999999998</v>
      </c>
      <c r="C265" s="28">
        <v>0.210345</v>
      </c>
    </row>
    <row r="266" spans="1:3" x14ac:dyDescent="0.2">
      <c r="A266">
        <v>264</v>
      </c>
      <c r="B266" s="27">
        <v>3207.0718000000002</v>
      </c>
      <c r="C266" s="28">
        <v>0.211145</v>
      </c>
    </row>
    <row r="267" spans="1:3" x14ac:dyDescent="0.2">
      <c r="A267">
        <v>265</v>
      </c>
      <c r="B267" s="27">
        <v>3207.3301000000001</v>
      </c>
      <c r="C267" s="28">
        <v>0.21194499999999999</v>
      </c>
    </row>
    <row r="268" spans="1:3" x14ac:dyDescent="0.2">
      <c r="A268">
        <v>266</v>
      </c>
      <c r="B268" s="27">
        <v>3207.5830999999998</v>
      </c>
      <c r="C268" s="28">
        <v>0.21274499999999999</v>
      </c>
    </row>
    <row r="269" spans="1:3" x14ac:dyDescent="0.2">
      <c r="A269">
        <v>267</v>
      </c>
      <c r="B269" s="27">
        <v>3207.8380000000002</v>
      </c>
      <c r="C269" s="28">
        <v>0.21354500000000001</v>
      </c>
    </row>
    <row r="270" spans="1:3" x14ac:dyDescent="0.2">
      <c r="A270">
        <v>268</v>
      </c>
      <c r="B270" s="27">
        <v>3208.0475000000001</v>
      </c>
      <c r="C270" s="28">
        <v>0.21434500000000001</v>
      </c>
    </row>
    <row r="271" spans="1:3" x14ac:dyDescent="0.2">
      <c r="A271">
        <v>269</v>
      </c>
      <c r="B271" s="27">
        <v>3208.2231999999999</v>
      </c>
      <c r="C271" s="28">
        <v>0.215145</v>
      </c>
    </row>
    <row r="272" spans="1:3" x14ac:dyDescent="0.2">
      <c r="A272">
        <v>270</v>
      </c>
      <c r="B272" s="27">
        <v>3208.3995</v>
      </c>
      <c r="C272" s="28">
        <v>0.215945</v>
      </c>
    </row>
    <row r="273" spans="1:3" x14ac:dyDescent="0.2">
      <c r="A273">
        <v>271</v>
      </c>
      <c r="B273" s="27">
        <v>3208.5412999999999</v>
      </c>
      <c r="C273" s="28">
        <v>0.21674499999999999</v>
      </c>
    </row>
    <row r="274" spans="1:3" x14ac:dyDescent="0.2">
      <c r="A274">
        <v>272</v>
      </c>
      <c r="B274" s="27">
        <v>3208.6151</v>
      </c>
      <c r="C274" s="28">
        <v>0.21754499999999999</v>
      </c>
    </row>
    <row r="275" spans="1:3" x14ac:dyDescent="0.2">
      <c r="A275">
        <v>273</v>
      </c>
      <c r="B275" s="27">
        <v>3208.6306</v>
      </c>
      <c r="C275" s="28">
        <v>0.21834500000000001</v>
      </c>
    </row>
    <row r="276" spans="1:3" x14ac:dyDescent="0.2">
      <c r="A276">
        <v>274</v>
      </c>
      <c r="B276" s="27">
        <v>3208.6152999999999</v>
      </c>
      <c r="C276" s="28">
        <v>0.21914500000000001</v>
      </c>
    </row>
    <row r="277" spans="1:3" x14ac:dyDescent="0.2">
      <c r="A277">
        <v>275</v>
      </c>
      <c r="B277" s="27">
        <v>3208.5990999999999</v>
      </c>
      <c r="C277" s="28">
        <v>0.219945</v>
      </c>
    </row>
    <row r="278" spans="1:3" x14ac:dyDescent="0.2">
      <c r="A278">
        <v>276</v>
      </c>
      <c r="B278" s="27">
        <v>3208.5825</v>
      </c>
      <c r="C278" s="28">
        <v>0.220745</v>
      </c>
    </row>
    <row r="279" spans="1:3" x14ac:dyDescent="0.2">
      <c r="A279">
        <v>277</v>
      </c>
      <c r="B279" s="27">
        <v>3208.5677999999998</v>
      </c>
      <c r="C279" s="28">
        <v>0.22154499999999999</v>
      </c>
    </row>
    <row r="280" spans="1:3" x14ac:dyDescent="0.2">
      <c r="A280">
        <v>278</v>
      </c>
      <c r="B280" s="27">
        <v>3208.5446000000002</v>
      </c>
      <c r="C280" s="28">
        <v>0.22234499999999999</v>
      </c>
    </row>
    <row r="281" spans="1:3" x14ac:dyDescent="0.2">
      <c r="A281">
        <v>279</v>
      </c>
      <c r="B281" s="27">
        <v>3208.5048999999999</v>
      </c>
      <c r="C281" s="28">
        <v>0.22314500000000001</v>
      </c>
    </row>
    <row r="282" spans="1:3" x14ac:dyDescent="0.2">
      <c r="A282">
        <v>280</v>
      </c>
      <c r="B282" s="27">
        <v>3208.3744999999999</v>
      </c>
      <c r="C282" s="28">
        <v>0.22394500000000001</v>
      </c>
    </row>
    <row r="283" spans="1:3" x14ac:dyDescent="0.2">
      <c r="A283">
        <v>281</v>
      </c>
      <c r="B283" s="27">
        <v>3208.2381</v>
      </c>
      <c r="C283" s="28">
        <v>0.224745</v>
      </c>
    </row>
    <row r="284" spans="1:3" x14ac:dyDescent="0.2">
      <c r="A284">
        <v>282</v>
      </c>
      <c r="B284" s="27">
        <v>3208.1010000000001</v>
      </c>
      <c r="C284" s="28">
        <v>0.225545</v>
      </c>
    </row>
    <row r="285" spans="1:3" x14ac:dyDescent="0.2">
      <c r="A285">
        <v>283</v>
      </c>
      <c r="B285" s="27">
        <v>3207.9623000000001</v>
      </c>
      <c r="C285" s="28">
        <v>0.22634499999999999</v>
      </c>
    </row>
    <row r="286" spans="1:3" x14ac:dyDescent="0.2">
      <c r="A286">
        <v>284</v>
      </c>
      <c r="B286" s="27">
        <v>3207.8245999999999</v>
      </c>
      <c r="C286" s="28">
        <v>0.22714500000000001</v>
      </c>
    </row>
    <row r="287" spans="1:3" x14ac:dyDescent="0.2">
      <c r="A287">
        <v>285</v>
      </c>
      <c r="B287" s="27">
        <v>3207.6538</v>
      </c>
      <c r="C287" s="28">
        <v>0.22794500000000001</v>
      </c>
    </row>
    <row r="288" spans="1:3" x14ac:dyDescent="0.2">
      <c r="A288">
        <v>286</v>
      </c>
      <c r="B288" s="27">
        <v>3207.4007999999999</v>
      </c>
      <c r="C288" s="28">
        <v>0.228745</v>
      </c>
    </row>
    <row r="289" spans="1:3" x14ac:dyDescent="0.2">
      <c r="A289">
        <v>287</v>
      </c>
      <c r="B289" s="27">
        <v>3207.0605999999998</v>
      </c>
      <c r="C289" s="28">
        <v>0.229545</v>
      </c>
    </row>
    <row r="290" spans="1:3" x14ac:dyDescent="0.2">
      <c r="A290">
        <v>288</v>
      </c>
      <c r="B290" s="27">
        <v>3206.7220000000002</v>
      </c>
      <c r="C290" s="28">
        <v>0.23034499999999999</v>
      </c>
    </row>
    <row r="291" spans="1:3" x14ac:dyDescent="0.2">
      <c r="A291">
        <v>289</v>
      </c>
      <c r="B291" s="27">
        <v>3206.3429999999998</v>
      </c>
      <c r="C291" s="28">
        <v>0.23114499999999999</v>
      </c>
    </row>
    <row r="292" spans="1:3" x14ac:dyDescent="0.2">
      <c r="A292">
        <v>290</v>
      </c>
      <c r="B292" s="27">
        <v>3205.9171999999999</v>
      </c>
      <c r="C292" s="28">
        <v>0.23194500000000001</v>
      </c>
    </row>
    <row r="293" spans="1:3" x14ac:dyDescent="0.2">
      <c r="A293">
        <v>291</v>
      </c>
      <c r="B293" s="27">
        <v>3205.4839000000002</v>
      </c>
      <c r="C293" s="28">
        <v>0.23274500000000001</v>
      </c>
    </row>
    <row r="294" spans="1:3" x14ac:dyDescent="0.2">
      <c r="A294">
        <v>292</v>
      </c>
      <c r="B294" s="27">
        <v>3205.0482000000002</v>
      </c>
      <c r="C294" s="28">
        <v>0.233545</v>
      </c>
    </row>
    <row r="295" spans="1:3" x14ac:dyDescent="0.2">
      <c r="A295">
        <v>293</v>
      </c>
      <c r="B295" s="27">
        <v>3204.6107000000002</v>
      </c>
      <c r="C295" s="28">
        <v>0.234345</v>
      </c>
    </row>
    <row r="296" spans="1:3" x14ac:dyDescent="0.2">
      <c r="A296">
        <v>294</v>
      </c>
      <c r="B296" s="27">
        <v>3204.1750999999999</v>
      </c>
      <c r="C296" s="28">
        <v>0.23514499999999999</v>
      </c>
    </row>
    <row r="297" spans="1:3" x14ac:dyDescent="0.2">
      <c r="A297">
        <v>295</v>
      </c>
      <c r="B297" s="27">
        <v>3203.7368999999999</v>
      </c>
      <c r="C297" s="28">
        <v>0.23594499999999999</v>
      </c>
    </row>
    <row r="298" spans="1:3" x14ac:dyDescent="0.2">
      <c r="A298">
        <v>296</v>
      </c>
      <c r="B298" s="27">
        <v>3203.2946000000002</v>
      </c>
      <c r="C298" s="28">
        <v>0.23674500000000001</v>
      </c>
    </row>
    <row r="299" spans="1:3" x14ac:dyDescent="0.2">
      <c r="A299">
        <v>297</v>
      </c>
      <c r="B299" s="27">
        <v>3202.8444</v>
      </c>
      <c r="C299" s="28">
        <v>0.23754500000000001</v>
      </c>
    </row>
    <row r="300" spans="1:3" x14ac:dyDescent="0.2">
      <c r="A300">
        <v>298</v>
      </c>
      <c r="B300" s="27">
        <v>3202.3944000000001</v>
      </c>
      <c r="C300" s="28">
        <v>0.238345</v>
      </c>
    </row>
    <row r="301" spans="1:3" x14ac:dyDescent="0.2">
      <c r="A301">
        <v>299</v>
      </c>
      <c r="B301" s="27">
        <v>3201.9421000000002</v>
      </c>
      <c r="C301" s="28">
        <v>0.239145</v>
      </c>
    </row>
    <row r="302" spans="1:3" x14ac:dyDescent="0.2">
      <c r="A302">
        <v>300</v>
      </c>
      <c r="B302" s="27">
        <v>3201.4875999999999</v>
      </c>
      <c r="C302" s="28">
        <v>0.23994499999999999</v>
      </c>
    </row>
    <row r="303" spans="1:3" x14ac:dyDescent="0.2">
      <c r="A303">
        <v>301</v>
      </c>
      <c r="B303" s="27">
        <v>3200.9243999999999</v>
      </c>
      <c r="C303" s="28">
        <v>0.24074499999999999</v>
      </c>
    </row>
    <row r="304" spans="1:3" x14ac:dyDescent="0.2">
      <c r="A304">
        <v>302</v>
      </c>
      <c r="B304" s="27">
        <v>3200.2296000000001</v>
      </c>
      <c r="C304" s="28">
        <v>0.24154500000000001</v>
      </c>
    </row>
    <row r="305" spans="1:3" x14ac:dyDescent="0.2">
      <c r="A305">
        <v>303</v>
      </c>
      <c r="B305" s="27">
        <v>3199.4994999999999</v>
      </c>
      <c r="C305" s="28">
        <v>0.242345</v>
      </c>
    </row>
    <row r="306" spans="1:3" x14ac:dyDescent="0.2">
      <c r="A306">
        <v>304</v>
      </c>
      <c r="B306" s="27">
        <v>3198.7678000000001</v>
      </c>
      <c r="C306" s="28">
        <v>0.243145</v>
      </c>
    </row>
    <row r="307" spans="1:3" x14ac:dyDescent="0.2">
      <c r="A307">
        <v>305</v>
      </c>
      <c r="B307" s="27">
        <v>3198.0291000000002</v>
      </c>
      <c r="C307" s="28">
        <v>0.243945</v>
      </c>
    </row>
    <row r="308" spans="1:3" x14ac:dyDescent="0.2">
      <c r="A308">
        <v>306</v>
      </c>
      <c r="B308" s="27">
        <v>3197.2020000000002</v>
      </c>
      <c r="C308" s="28">
        <v>0.24474499999999999</v>
      </c>
    </row>
    <row r="309" spans="1:3" x14ac:dyDescent="0.2">
      <c r="A309">
        <v>307</v>
      </c>
      <c r="B309" s="27">
        <v>3196.3515000000002</v>
      </c>
      <c r="C309" s="28">
        <v>0.24554500000000001</v>
      </c>
    </row>
    <row r="310" spans="1:3" x14ac:dyDescent="0.2">
      <c r="A310">
        <v>308</v>
      </c>
      <c r="B310" s="27">
        <v>3195.4994999999999</v>
      </c>
      <c r="C310" s="28">
        <v>0.24634500000000001</v>
      </c>
    </row>
    <row r="311" spans="1:3" x14ac:dyDescent="0.2">
      <c r="A311">
        <v>309</v>
      </c>
      <c r="B311" s="27">
        <v>3194.6410999999998</v>
      </c>
      <c r="C311" s="28">
        <v>0.247145</v>
      </c>
    </row>
    <row r="312" spans="1:3" x14ac:dyDescent="0.2">
      <c r="A312">
        <v>310</v>
      </c>
      <c r="B312" s="27">
        <v>3193.6632</v>
      </c>
      <c r="C312" s="28">
        <v>0.247945</v>
      </c>
    </row>
    <row r="313" spans="1:3" x14ac:dyDescent="0.2">
      <c r="A313">
        <v>311</v>
      </c>
      <c r="B313" s="27">
        <v>3192.4580000000001</v>
      </c>
      <c r="C313" s="28">
        <v>0.24874499999999999</v>
      </c>
    </row>
    <row r="314" spans="1:3" x14ac:dyDescent="0.2">
      <c r="A314">
        <v>312</v>
      </c>
      <c r="B314" s="27">
        <v>3191.0077000000001</v>
      </c>
      <c r="C314" s="28">
        <v>0.24954499999999999</v>
      </c>
    </row>
    <row r="315" spans="1:3" x14ac:dyDescent="0.2">
      <c r="A315">
        <v>313</v>
      </c>
      <c r="B315" s="27">
        <v>3189.4056</v>
      </c>
      <c r="C315" s="28">
        <v>0.25034499999999998</v>
      </c>
    </row>
    <row r="316" spans="1:3" x14ac:dyDescent="0.2">
      <c r="A316">
        <v>314</v>
      </c>
      <c r="B316" s="27">
        <v>3187.7485999999999</v>
      </c>
      <c r="C316" s="28">
        <v>0.25114500000000001</v>
      </c>
    </row>
    <row r="317" spans="1:3" x14ac:dyDescent="0.2">
      <c r="A317">
        <v>315</v>
      </c>
      <c r="B317" s="27">
        <v>3186.0951</v>
      </c>
      <c r="C317" s="28">
        <v>0.25194499999999997</v>
      </c>
    </row>
    <row r="318" spans="1:3" x14ac:dyDescent="0.2">
      <c r="A318">
        <v>316</v>
      </c>
      <c r="B318" s="27">
        <v>3184.4322000000002</v>
      </c>
      <c r="C318" s="28">
        <v>0.252745</v>
      </c>
    </row>
    <row r="319" spans="1:3" x14ac:dyDescent="0.2">
      <c r="A319">
        <v>317</v>
      </c>
      <c r="B319" s="27">
        <v>3182.7685000000001</v>
      </c>
      <c r="C319" s="28">
        <v>0.25354500000000002</v>
      </c>
    </row>
    <row r="320" spans="1:3" x14ac:dyDescent="0.2">
      <c r="A320">
        <v>318</v>
      </c>
      <c r="B320" s="27">
        <v>3181.0445</v>
      </c>
      <c r="C320" s="28">
        <v>0.25434499999999999</v>
      </c>
    </row>
    <row r="321" spans="1:3" x14ac:dyDescent="0.2">
      <c r="A321">
        <v>319</v>
      </c>
      <c r="B321" s="27">
        <v>3179.0853999999999</v>
      </c>
      <c r="C321" s="28">
        <v>0.25514500000000001</v>
      </c>
    </row>
    <row r="322" spans="1:3" x14ac:dyDescent="0.2">
      <c r="A322">
        <v>320</v>
      </c>
      <c r="B322" s="27">
        <v>3176.7954</v>
      </c>
      <c r="C322" s="28">
        <v>0.25594499999999998</v>
      </c>
    </row>
    <row r="323" spans="1:3" x14ac:dyDescent="0.2">
      <c r="A323">
        <v>321</v>
      </c>
      <c r="B323" s="27">
        <v>3174.4933000000001</v>
      </c>
      <c r="C323" s="28">
        <v>0.256745</v>
      </c>
    </row>
    <row r="324" spans="1:3" x14ac:dyDescent="0.2">
      <c r="A324">
        <v>322</v>
      </c>
      <c r="B324" s="27">
        <v>3171.8809000000001</v>
      </c>
      <c r="C324" s="28">
        <v>0.25754500000000002</v>
      </c>
    </row>
    <row r="325" spans="1:3" x14ac:dyDescent="0.2">
      <c r="A325">
        <v>323</v>
      </c>
      <c r="B325" s="27">
        <v>3169.3060999999998</v>
      </c>
      <c r="C325" s="28">
        <v>0.25834499999999999</v>
      </c>
    </row>
    <row r="326" spans="1:3" x14ac:dyDescent="0.2">
      <c r="A326">
        <v>324</v>
      </c>
      <c r="B326" s="27">
        <v>3166.7311</v>
      </c>
      <c r="C326" s="28">
        <v>0.25914500000000001</v>
      </c>
    </row>
    <row r="327" spans="1:3" x14ac:dyDescent="0.2">
      <c r="A327">
        <v>325</v>
      </c>
      <c r="B327" s="27">
        <v>3164.1565999999998</v>
      </c>
      <c r="C327" s="28">
        <v>0.25994499999999998</v>
      </c>
    </row>
    <row r="328" spans="1:3" x14ac:dyDescent="0.2">
      <c r="A328">
        <v>326</v>
      </c>
      <c r="B328" s="27">
        <v>3161.5796</v>
      </c>
      <c r="C328" s="28">
        <v>0.260745</v>
      </c>
    </row>
    <row r="329" spans="1:3" x14ac:dyDescent="0.2">
      <c r="A329">
        <v>327</v>
      </c>
      <c r="B329" s="27">
        <v>3159.0023000000001</v>
      </c>
      <c r="C329" s="28">
        <v>0.26154500000000003</v>
      </c>
    </row>
    <row r="330" spans="1:3" x14ac:dyDescent="0.2">
      <c r="A330">
        <v>328</v>
      </c>
      <c r="B330" s="27">
        <v>3156.7372</v>
      </c>
      <c r="C330" s="28">
        <v>0.26234499999999999</v>
      </c>
    </row>
    <row r="331" spans="1:3" x14ac:dyDescent="0.2">
      <c r="A331">
        <v>329</v>
      </c>
      <c r="B331" s="27">
        <v>3155.0707000000002</v>
      </c>
      <c r="C331" s="28">
        <v>0.26314500000000002</v>
      </c>
    </row>
    <row r="332" spans="1:3" x14ac:dyDescent="0.2">
      <c r="A332">
        <v>330</v>
      </c>
      <c r="B332" s="27">
        <v>3153.5590000000002</v>
      </c>
      <c r="C332" s="28">
        <v>0.26394499999999999</v>
      </c>
    </row>
    <row r="333" spans="1:3" x14ac:dyDescent="0.2">
      <c r="A333">
        <v>331</v>
      </c>
      <c r="B333" s="27">
        <v>3152.0453000000002</v>
      </c>
      <c r="C333" s="28">
        <v>0.26474500000000001</v>
      </c>
    </row>
    <row r="334" spans="1:3" x14ac:dyDescent="0.2">
      <c r="A334">
        <v>332</v>
      </c>
      <c r="B334" s="27">
        <v>3150.8607000000002</v>
      </c>
      <c r="C334" s="28">
        <v>0.26554499999999998</v>
      </c>
    </row>
    <row r="335" spans="1:3" x14ac:dyDescent="0.2">
      <c r="A335">
        <v>333</v>
      </c>
      <c r="B335" s="27">
        <v>3150.2501000000002</v>
      </c>
      <c r="C335" s="28">
        <v>0.266345</v>
      </c>
    </row>
    <row r="336" spans="1:3" x14ac:dyDescent="0.2">
      <c r="A336">
        <v>334</v>
      </c>
      <c r="B336" s="27">
        <v>3149.9598999999998</v>
      </c>
      <c r="C336" s="28">
        <v>0.26714500000000002</v>
      </c>
    </row>
    <row r="337" spans="1:3" x14ac:dyDescent="0.2">
      <c r="A337">
        <v>335</v>
      </c>
      <c r="B337" s="27">
        <v>3149.6559000000002</v>
      </c>
      <c r="C337" s="28">
        <v>0.26794499999999999</v>
      </c>
    </row>
    <row r="338" spans="1:3" x14ac:dyDescent="0.2">
      <c r="A338">
        <v>336</v>
      </c>
      <c r="B338" s="27">
        <v>3149.5979000000002</v>
      </c>
      <c r="C338" s="28">
        <v>0.26874500000000001</v>
      </c>
    </row>
    <row r="339" spans="1:3" x14ac:dyDescent="0.2">
      <c r="A339">
        <v>337</v>
      </c>
      <c r="B339" s="27">
        <v>3149.7312000000002</v>
      </c>
      <c r="C339" s="28">
        <v>0.26954499999999998</v>
      </c>
    </row>
    <row r="340" spans="1:3" x14ac:dyDescent="0.2">
      <c r="A340">
        <v>338</v>
      </c>
      <c r="B340" s="27">
        <v>3149.9245000000001</v>
      </c>
      <c r="C340" s="28">
        <v>0.270345</v>
      </c>
    </row>
    <row r="341" spans="1:3" x14ac:dyDescent="0.2">
      <c r="A341">
        <v>339</v>
      </c>
      <c r="B341" s="27">
        <v>3149.6819</v>
      </c>
      <c r="C341" s="28">
        <v>0.27114500000000002</v>
      </c>
    </row>
    <row r="342" spans="1:3" x14ac:dyDescent="0.2">
      <c r="A342">
        <v>340</v>
      </c>
      <c r="B342" s="27">
        <v>3148.8901999999998</v>
      </c>
      <c r="C342" s="28">
        <v>0.27194499999999999</v>
      </c>
    </row>
    <row r="343" spans="1:3" x14ac:dyDescent="0.2">
      <c r="A343">
        <v>341</v>
      </c>
      <c r="B343" s="27">
        <v>3145.8779</v>
      </c>
      <c r="C343" s="28">
        <v>0.27274500000000002</v>
      </c>
    </row>
    <row r="344" spans="1:3" x14ac:dyDescent="0.2">
      <c r="A344">
        <v>342</v>
      </c>
      <c r="B344" s="27">
        <v>3140.4542000000001</v>
      </c>
      <c r="C344" s="28">
        <v>0.27354499999999998</v>
      </c>
    </row>
    <row r="345" spans="1:3" x14ac:dyDescent="0.2">
      <c r="A345">
        <v>343</v>
      </c>
      <c r="B345" s="27">
        <v>3134.4996000000001</v>
      </c>
      <c r="C345" s="28">
        <v>0.27434500000000001</v>
      </c>
    </row>
    <row r="346" spans="1:3" x14ac:dyDescent="0.2">
      <c r="A346">
        <v>344</v>
      </c>
      <c r="B346" s="27">
        <v>3128.5455999999999</v>
      </c>
      <c r="C346" s="28">
        <v>0.27514499999999997</v>
      </c>
    </row>
    <row r="347" spans="1:3" x14ac:dyDescent="0.2">
      <c r="A347">
        <v>345</v>
      </c>
      <c r="B347" s="27">
        <v>3122.5852</v>
      </c>
      <c r="C347" s="28">
        <v>0.275945</v>
      </c>
    </row>
    <row r="348" spans="1:3" x14ac:dyDescent="0.2">
      <c r="A348">
        <v>346</v>
      </c>
      <c r="B348" s="27">
        <v>3116.6192999999998</v>
      </c>
      <c r="C348" s="28">
        <v>0.27674500000000002</v>
      </c>
    </row>
    <row r="349" spans="1:3" x14ac:dyDescent="0.2">
      <c r="A349">
        <v>347</v>
      </c>
      <c r="B349" s="27">
        <v>3110.6432</v>
      </c>
      <c r="C349" s="28">
        <v>0.27754499999999999</v>
      </c>
    </row>
    <row r="350" spans="1:3" x14ac:dyDescent="0.2">
      <c r="A350">
        <v>348</v>
      </c>
      <c r="B350" s="27">
        <v>3104.6574999999998</v>
      </c>
      <c r="C350" s="28">
        <v>0.27834500000000001</v>
      </c>
    </row>
    <row r="351" spans="1:3" x14ac:dyDescent="0.2">
      <c r="A351">
        <v>349</v>
      </c>
      <c r="B351" s="27">
        <v>3098.6651999999999</v>
      </c>
      <c r="C351" s="28">
        <v>0.27914499999999998</v>
      </c>
    </row>
    <row r="352" spans="1:3" x14ac:dyDescent="0.2">
      <c r="A352">
        <v>350</v>
      </c>
      <c r="B352" s="27">
        <v>3092.6686</v>
      </c>
      <c r="C352" s="28">
        <v>0.279945</v>
      </c>
    </row>
    <row r="353" spans="1:3" x14ac:dyDescent="0.2">
      <c r="A353">
        <v>351</v>
      </c>
      <c r="B353" s="27">
        <v>3086.5889000000002</v>
      </c>
      <c r="C353" s="28">
        <v>0.28074500000000002</v>
      </c>
    </row>
    <row r="354" spans="1:3" x14ac:dyDescent="0.2">
      <c r="A354">
        <v>352</v>
      </c>
      <c r="B354" s="27">
        <v>3080.41</v>
      </c>
      <c r="C354" s="28">
        <v>0.28154499999999999</v>
      </c>
    </row>
    <row r="355" spans="1:3" x14ac:dyDescent="0.2">
      <c r="A355">
        <v>353</v>
      </c>
      <c r="B355" s="27">
        <v>3074.2293</v>
      </c>
      <c r="C355" s="28">
        <v>0.28234500000000001</v>
      </c>
    </row>
    <row r="356" spans="1:3" x14ac:dyDescent="0.2">
      <c r="A356">
        <v>354</v>
      </c>
      <c r="B356" s="27">
        <v>3068.0448000000001</v>
      </c>
      <c r="C356" s="28">
        <v>0.28314499999999998</v>
      </c>
    </row>
    <row r="357" spans="1:3" x14ac:dyDescent="0.2">
      <c r="A357">
        <v>355</v>
      </c>
      <c r="B357" s="27">
        <v>3061.8526999999999</v>
      </c>
      <c r="C357" s="28">
        <v>0.283945</v>
      </c>
    </row>
    <row r="358" spans="1:3" x14ac:dyDescent="0.2">
      <c r="A358">
        <v>356</v>
      </c>
      <c r="B358" s="27">
        <v>3055.6617999999999</v>
      </c>
      <c r="C358" s="28">
        <v>0.28474500000000003</v>
      </c>
    </row>
    <row r="359" spans="1:3" x14ac:dyDescent="0.2">
      <c r="A359">
        <v>357</v>
      </c>
      <c r="B359" s="27">
        <v>3049.4611</v>
      </c>
      <c r="C359" s="28">
        <v>0.28554499999999999</v>
      </c>
    </row>
    <row r="360" spans="1:3" x14ac:dyDescent="0.2">
      <c r="A360">
        <v>358</v>
      </c>
      <c r="B360" s="27">
        <v>3043.2613999999999</v>
      </c>
      <c r="C360" s="28">
        <v>0.28634500000000002</v>
      </c>
    </row>
    <row r="361" spans="1:3" x14ac:dyDescent="0.2">
      <c r="A361">
        <v>359</v>
      </c>
      <c r="B361" s="27">
        <v>3037.0572999999999</v>
      </c>
      <c r="C361" s="28">
        <v>0.28714499999999998</v>
      </c>
    </row>
    <row r="362" spans="1:3" x14ac:dyDescent="0.2">
      <c r="A362">
        <v>360</v>
      </c>
      <c r="B362" s="27">
        <v>3030.8447999999999</v>
      </c>
      <c r="C362" s="28">
        <v>0.28794500000000001</v>
      </c>
    </row>
    <row r="363" spans="1:3" x14ac:dyDescent="0.2">
      <c r="A363">
        <v>361</v>
      </c>
      <c r="B363" s="27">
        <v>3024.5178000000001</v>
      </c>
      <c r="C363" s="28">
        <v>0.28874499999999997</v>
      </c>
    </row>
    <row r="364" spans="1:3" x14ac:dyDescent="0.2">
      <c r="A364">
        <v>362</v>
      </c>
      <c r="B364" s="27">
        <v>3018.1118000000001</v>
      </c>
      <c r="C364" s="28">
        <v>0.289545</v>
      </c>
    </row>
    <row r="365" spans="1:3" x14ac:dyDescent="0.2">
      <c r="A365">
        <v>363</v>
      </c>
      <c r="B365" s="27">
        <v>3011.7013000000002</v>
      </c>
      <c r="C365" s="28">
        <v>0.29034500000000002</v>
      </c>
    </row>
    <row r="366" spans="1:3" x14ac:dyDescent="0.2">
      <c r="A366">
        <v>364</v>
      </c>
      <c r="B366" s="27">
        <v>3005.2864</v>
      </c>
      <c r="C366" s="28">
        <v>0.29114499999999999</v>
      </c>
    </row>
    <row r="367" spans="1:3" x14ac:dyDescent="0.2">
      <c r="A367">
        <v>365</v>
      </c>
      <c r="B367" s="27">
        <v>2998.8690000000001</v>
      </c>
      <c r="C367" s="28">
        <v>0.29194500000000001</v>
      </c>
    </row>
    <row r="368" spans="1:3" x14ac:dyDescent="0.2">
      <c r="A368">
        <v>366</v>
      </c>
      <c r="B368" s="27">
        <v>2992.4452000000001</v>
      </c>
      <c r="C368" s="28">
        <v>0.29274499999999998</v>
      </c>
    </row>
    <row r="369" spans="1:3" x14ac:dyDescent="0.2">
      <c r="A369">
        <v>367</v>
      </c>
      <c r="B369" s="27">
        <v>2986.0189</v>
      </c>
      <c r="C369" s="28">
        <v>0.293545</v>
      </c>
    </row>
    <row r="370" spans="1:3" x14ac:dyDescent="0.2">
      <c r="A370">
        <v>368</v>
      </c>
      <c r="B370" s="27">
        <v>2979.5889999999999</v>
      </c>
      <c r="C370" s="28">
        <v>0.29434500000000002</v>
      </c>
    </row>
    <row r="371" spans="1:3" x14ac:dyDescent="0.2">
      <c r="A371">
        <v>369</v>
      </c>
      <c r="B371" s="27">
        <v>2973.1559999999999</v>
      </c>
      <c r="C371" s="28">
        <v>0.29514499999999999</v>
      </c>
    </row>
    <row r="372" spans="1:3" x14ac:dyDescent="0.2">
      <c r="A372">
        <v>370</v>
      </c>
      <c r="B372" s="27">
        <v>2966.7179999999998</v>
      </c>
      <c r="C372" s="28">
        <v>0.29594500000000001</v>
      </c>
    </row>
    <row r="373" spans="1:3" x14ac:dyDescent="0.2">
      <c r="A373">
        <v>371</v>
      </c>
      <c r="B373" s="27">
        <v>2960.2759999999998</v>
      </c>
      <c r="C373" s="28">
        <v>0.29674499999999998</v>
      </c>
    </row>
    <row r="374" spans="1:3" x14ac:dyDescent="0.2">
      <c r="A374">
        <v>372</v>
      </c>
      <c r="B374" s="27">
        <v>2953.8290000000002</v>
      </c>
      <c r="C374" s="28">
        <v>0.297545</v>
      </c>
    </row>
    <row r="375" spans="1:3" x14ac:dyDescent="0.2">
      <c r="A375">
        <v>373</v>
      </c>
      <c r="B375" s="27">
        <v>2947.375</v>
      </c>
      <c r="C375" s="28">
        <v>0.29834500000000003</v>
      </c>
    </row>
    <row r="376" spans="1:3" x14ac:dyDescent="0.2">
      <c r="A376">
        <v>374</v>
      </c>
      <c r="B376" s="27">
        <v>2940.92</v>
      </c>
      <c r="C376" s="28">
        <v>0.29914499999999999</v>
      </c>
    </row>
    <row r="377" spans="1:3" x14ac:dyDescent="0.2">
      <c r="A377">
        <v>375</v>
      </c>
      <c r="B377" s="27">
        <v>2934.46</v>
      </c>
      <c r="C377" s="28">
        <v>0.29994500000000002</v>
      </c>
    </row>
    <row r="378" spans="1:3" x14ac:dyDescent="0.2">
      <c r="A378">
        <v>376</v>
      </c>
      <c r="B378" s="27">
        <v>2928</v>
      </c>
      <c r="C378" s="28">
        <v>0.30074499999999998</v>
      </c>
    </row>
    <row r="379" spans="1:3" x14ac:dyDescent="0.2">
      <c r="A379">
        <v>377</v>
      </c>
      <c r="B379" s="27">
        <v>2921.53</v>
      </c>
      <c r="C379" s="28">
        <v>0.30154500000000001</v>
      </c>
    </row>
    <row r="380" spans="1:3" x14ac:dyDescent="0.2">
      <c r="A380">
        <v>378</v>
      </c>
      <c r="B380" s="27">
        <v>2915.0590000000002</v>
      </c>
      <c r="C380" s="28">
        <v>0.30234499999999997</v>
      </c>
    </row>
    <row r="381" spans="1:3" x14ac:dyDescent="0.2">
      <c r="A381">
        <v>379</v>
      </c>
      <c r="B381" s="27">
        <v>2908.585</v>
      </c>
      <c r="C381" s="28">
        <v>0.303145</v>
      </c>
    </row>
    <row r="382" spans="1:3" x14ac:dyDescent="0.2">
      <c r="A382">
        <v>380</v>
      </c>
      <c r="B382" s="27">
        <v>2902.1039999999998</v>
      </c>
      <c r="C382" s="28">
        <v>0.30394500000000002</v>
      </c>
    </row>
    <row r="383" spans="1:3" x14ac:dyDescent="0.2">
      <c r="A383">
        <v>381</v>
      </c>
      <c r="B383" s="27">
        <v>2895.6219999999998</v>
      </c>
      <c r="C383" s="28">
        <v>0.30474499999999999</v>
      </c>
    </row>
    <row r="384" spans="1:3" x14ac:dyDescent="0.2">
      <c r="A384">
        <v>382</v>
      </c>
      <c r="B384" s="27">
        <v>2889.1320000000001</v>
      </c>
      <c r="C384" s="28">
        <v>0.30554500000000001</v>
      </c>
    </row>
    <row r="385" spans="1:3" x14ac:dyDescent="0.2">
      <c r="A385">
        <v>383</v>
      </c>
      <c r="B385" s="27">
        <v>2882.64</v>
      </c>
      <c r="C385" s="28">
        <v>0.30634499999999998</v>
      </c>
    </row>
    <row r="386" spans="1:3" x14ac:dyDescent="0.2">
      <c r="A386">
        <v>384</v>
      </c>
      <c r="B386" s="27">
        <v>2876.1439999999998</v>
      </c>
      <c r="C386" s="28">
        <v>0.307145</v>
      </c>
    </row>
    <row r="387" spans="1:3" x14ac:dyDescent="0.2">
      <c r="A387">
        <v>385</v>
      </c>
      <c r="B387" s="27">
        <v>2869.893</v>
      </c>
      <c r="C387" s="28">
        <v>0.30794500000000002</v>
      </c>
    </row>
    <row r="388" spans="1:3" x14ac:dyDescent="0.2">
      <c r="A388">
        <v>386</v>
      </c>
      <c r="B388" s="27">
        <v>2865.7829999999999</v>
      </c>
      <c r="C388" s="28">
        <v>0.30874499999999999</v>
      </c>
    </row>
    <row r="389" spans="1:3" x14ac:dyDescent="0.2">
      <c r="A389">
        <v>387</v>
      </c>
      <c r="B389" s="27">
        <v>2864.3359999999998</v>
      </c>
      <c r="C389" s="28">
        <v>0.30954500000000001</v>
      </c>
    </row>
    <row r="390" spans="1:3" x14ac:dyDescent="0.2">
      <c r="A390">
        <v>388</v>
      </c>
      <c r="B390" s="27">
        <v>2864.3910000000001</v>
      </c>
      <c r="C390" s="28">
        <v>0.31034499999999998</v>
      </c>
    </row>
    <row r="391" spans="1:3" x14ac:dyDescent="0.2">
      <c r="A391">
        <v>389</v>
      </c>
      <c r="B391" s="27">
        <v>2866.02</v>
      </c>
      <c r="C391" s="28">
        <v>0.311145</v>
      </c>
    </row>
    <row r="392" spans="1:3" x14ac:dyDescent="0.2">
      <c r="A392">
        <v>390</v>
      </c>
      <c r="B392" s="27">
        <v>2867.998</v>
      </c>
      <c r="C392" s="28">
        <v>0.31194499999999997</v>
      </c>
    </row>
    <row r="393" spans="1:3" x14ac:dyDescent="0.2">
      <c r="A393">
        <v>391</v>
      </c>
      <c r="B393" s="27">
        <v>2870.1019999999999</v>
      </c>
      <c r="C393" s="28">
        <v>0.312745</v>
      </c>
    </row>
    <row r="394" spans="1:3" x14ac:dyDescent="0.2">
      <c r="A394">
        <v>392</v>
      </c>
      <c r="B394" s="27">
        <v>2872.2020000000002</v>
      </c>
      <c r="C394" s="28">
        <v>0.31354500000000002</v>
      </c>
    </row>
    <row r="395" spans="1:3" x14ac:dyDescent="0.2">
      <c r="A395">
        <v>393</v>
      </c>
      <c r="B395" s="27">
        <v>2874.3020000000001</v>
      </c>
      <c r="C395" s="28">
        <v>0.31434499999999999</v>
      </c>
    </row>
    <row r="396" spans="1:3" x14ac:dyDescent="0.2">
      <c r="A396">
        <v>394</v>
      </c>
      <c r="B396" s="27">
        <v>2876.4079999999999</v>
      </c>
      <c r="C396" s="28">
        <v>0.31514500000000001</v>
      </c>
    </row>
    <row r="397" spans="1:3" x14ac:dyDescent="0.2">
      <c r="A397">
        <v>395</v>
      </c>
      <c r="B397" s="27">
        <v>2878.509</v>
      </c>
      <c r="C397" s="28">
        <v>0.31594499999999998</v>
      </c>
    </row>
    <row r="398" spans="1:3" x14ac:dyDescent="0.2">
      <c r="A398">
        <v>396</v>
      </c>
      <c r="B398" s="27">
        <v>2880.5970000000002</v>
      </c>
      <c r="C398" s="28">
        <v>0.316745</v>
      </c>
    </row>
    <row r="399" spans="1:3" x14ac:dyDescent="0.2">
      <c r="A399">
        <v>397</v>
      </c>
      <c r="B399" s="27">
        <v>2882.0549999999998</v>
      </c>
      <c r="C399" s="28">
        <v>0.31754500000000002</v>
      </c>
    </row>
    <row r="400" spans="1:3" x14ac:dyDescent="0.2">
      <c r="A400">
        <v>398</v>
      </c>
      <c r="B400" s="27">
        <v>2882.9050000000002</v>
      </c>
      <c r="C400" s="28">
        <v>0.31834499999999999</v>
      </c>
    </row>
    <row r="401" spans="1:3" x14ac:dyDescent="0.2">
      <c r="A401">
        <v>399</v>
      </c>
      <c r="B401" s="27">
        <v>2883.7489999999998</v>
      </c>
      <c r="C401" s="28">
        <v>0.31914500000000001</v>
      </c>
    </row>
    <row r="402" spans="1:3" x14ac:dyDescent="0.2">
      <c r="A402">
        <v>400</v>
      </c>
      <c r="B402" s="27">
        <v>2884.596</v>
      </c>
      <c r="C402" s="28">
        <v>0.31994499999999998</v>
      </c>
    </row>
    <row r="403" spans="1:3" x14ac:dyDescent="0.2">
      <c r="A403">
        <v>401</v>
      </c>
      <c r="B403" s="27">
        <v>2885.4450000000002</v>
      </c>
      <c r="C403" s="28">
        <v>0.320745</v>
      </c>
    </row>
    <row r="404" spans="1:3" x14ac:dyDescent="0.2">
      <c r="A404">
        <v>402</v>
      </c>
      <c r="B404" s="27">
        <v>2886.2869999999998</v>
      </c>
      <c r="C404" s="28">
        <v>0.32154500000000003</v>
      </c>
    </row>
    <row r="405" spans="1:3" x14ac:dyDescent="0.2">
      <c r="A405">
        <v>403</v>
      </c>
      <c r="B405" s="27">
        <v>2887.134</v>
      </c>
      <c r="C405" s="28">
        <v>0.32234499999999999</v>
      </c>
    </row>
    <row r="406" spans="1:3" x14ac:dyDescent="0.2">
      <c r="A406">
        <v>404</v>
      </c>
      <c r="B406" s="27">
        <v>2887.9810000000002</v>
      </c>
      <c r="C406" s="28">
        <v>0.32314500000000002</v>
      </c>
    </row>
    <row r="407" spans="1:3" x14ac:dyDescent="0.2">
      <c r="A407">
        <v>405</v>
      </c>
      <c r="B407" s="27">
        <v>2888.8240000000001</v>
      </c>
      <c r="C407" s="28">
        <v>0.32394499999999998</v>
      </c>
    </row>
    <row r="408" spans="1:3" x14ac:dyDescent="0.2">
      <c r="A408">
        <v>406</v>
      </c>
      <c r="B408" s="27">
        <v>2889.2539999999999</v>
      </c>
      <c r="C408" s="28">
        <v>0.32474500000000001</v>
      </c>
    </row>
    <row r="409" spans="1:3" x14ac:dyDescent="0.2">
      <c r="A409">
        <v>407</v>
      </c>
      <c r="B409" s="27">
        <v>2890.0390000000002</v>
      </c>
      <c r="C409" s="28">
        <v>0.32554499999999997</v>
      </c>
    </row>
    <row r="410" spans="1:3" x14ac:dyDescent="0.2">
      <c r="A410">
        <v>408</v>
      </c>
      <c r="B410" s="27">
        <v>2890.8240000000001</v>
      </c>
      <c r="C410" s="28">
        <v>0.326345</v>
      </c>
    </row>
    <row r="411" spans="1:3" x14ac:dyDescent="0.2">
      <c r="A411">
        <v>409</v>
      </c>
      <c r="B411" s="27">
        <v>2891.5949999999998</v>
      </c>
      <c r="C411" s="28">
        <v>0.32714500000000002</v>
      </c>
    </row>
    <row r="412" spans="1:3" x14ac:dyDescent="0.2">
      <c r="A412">
        <v>410</v>
      </c>
      <c r="B412" s="27">
        <v>2892.3670000000002</v>
      </c>
      <c r="C412" s="28">
        <v>0.32794499999999999</v>
      </c>
    </row>
    <row r="413" spans="1:3" x14ac:dyDescent="0.2">
      <c r="A413">
        <v>411</v>
      </c>
      <c r="B413" s="27">
        <v>2893.1320000000001</v>
      </c>
      <c r="C413" s="28">
        <v>0.32874500000000001</v>
      </c>
    </row>
    <row r="414" spans="1:3" x14ac:dyDescent="0.2">
      <c r="A414">
        <v>412</v>
      </c>
      <c r="B414" s="27">
        <v>2893.91</v>
      </c>
      <c r="C414" s="28">
        <v>0.32954499999999998</v>
      </c>
    </row>
    <row r="415" spans="1:3" x14ac:dyDescent="0.2">
      <c r="A415">
        <v>413</v>
      </c>
      <c r="B415" s="27">
        <v>2894.69</v>
      </c>
      <c r="C415" s="28">
        <v>0.330345</v>
      </c>
    </row>
    <row r="416" spans="1:3" x14ac:dyDescent="0.2">
      <c r="A416">
        <v>414</v>
      </c>
      <c r="B416" s="27">
        <v>2895.4850000000001</v>
      </c>
      <c r="C416" s="28">
        <v>0.33114500000000002</v>
      </c>
    </row>
    <row r="417" spans="1:3" x14ac:dyDescent="0.2">
      <c r="A417">
        <v>415</v>
      </c>
      <c r="B417" s="27">
        <v>2896.28</v>
      </c>
      <c r="C417" s="28">
        <v>0.33194499999999999</v>
      </c>
    </row>
    <row r="418" spans="1:3" x14ac:dyDescent="0.2">
      <c r="A418">
        <v>416</v>
      </c>
      <c r="B418" s="27">
        <v>2897.0729999999999</v>
      </c>
      <c r="C418" s="28">
        <v>0.33274500000000001</v>
      </c>
    </row>
    <row r="419" spans="1:3" x14ac:dyDescent="0.2">
      <c r="A419">
        <v>417</v>
      </c>
      <c r="B419" s="27">
        <v>2897.8739999999998</v>
      </c>
      <c r="C419" s="28">
        <v>0.33354499999999998</v>
      </c>
    </row>
    <row r="420" spans="1:3" x14ac:dyDescent="0.2">
      <c r="A420">
        <v>418</v>
      </c>
      <c r="B420" s="27">
        <v>2898.652</v>
      </c>
      <c r="C420" s="28">
        <v>0.334345</v>
      </c>
    </row>
    <row r="421" spans="1:3" x14ac:dyDescent="0.2">
      <c r="A421">
        <v>419</v>
      </c>
      <c r="B421" s="27">
        <v>2899.4250000000002</v>
      </c>
      <c r="C421" s="28">
        <v>0.33514500000000003</v>
      </c>
    </row>
    <row r="422" spans="1:3" x14ac:dyDescent="0.2">
      <c r="A422">
        <v>420</v>
      </c>
      <c r="B422" s="27">
        <v>2900.1970000000001</v>
      </c>
      <c r="C422" s="28">
        <v>0.33594499999999999</v>
      </c>
    </row>
    <row r="423" spans="1:3" x14ac:dyDescent="0.2">
      <c r="A423">
        <v>421</v>
      </c>
      <c r="B423" s="27">
        <v>2900.9690000000001</v>
      </c>
      <c r="C423" s="28">
        <v>0.33674500000000002</v>
      </c>
    </row>
    <row r="424" spans="1:3" x14ac:dyDescent="0.2">
      <c r="A424">
        <v>422</v>
      </c>
      <c r="B424" s="27">
        <v>2901.741</v>
      </c>
      <c r="C424" s="28">
        <v>0.33754499999999998</v>
      </c>
    </row>
    <row r="425" spans="1:3" x14ac:dyDescent="0.2">
      <c r="A425">
        <v>423</v>
      </c>
      <c r="B425" s="27">
        <v>2902.5169999999998</v>
      </c>
      <c r="C425" s="28">
        <v>0.33834500000000001</v>
      </c>
    </row>
    <row r="426" spans="1:3" x14ac:dyDescent="0.2">
      <c r="A426">
        <v>424</v>
      </c>
      <c r="B426" s="27">
        <v>2903.2869999999998</v>
      </c>
      <c r="C426" s="28">
        <v>0.33914499999999997</v>
      </c>
    </row>
    <row r="427" spans="1:3" x14ac:dyDescent="0.2">
      <c r="A427">
        <v>425</v>
      </c>
      <c r="B427" s="27">
        <v>2904.0680000000002</v>
      </c>
      <c r="C427" s="28">
        <v>0.339945</v>
      </c>
    </row>
    <row r="428" spans="1:3" x14ac:dyDescent="0.2">
      <c r="A428">
        <v>426</v>
      </c>
      <c r="B428" s="27">
        <v>2904.8409999999999</v>
      </c>
      <c r="C428" s="28">
        <v>0.34074500000000002</v>
      </c>
    </row>
    <row r="429" spans="1:3" x14ac:dyDescent="0.2">
      <c r="A429">
        <v>427</v>
      </c>
      <c r="B429" s="27">
        <v>2905.6</v>
      </c>
      <c r="C429" s="28">
        <v>0.34154499999999999</v>
      </c>
    </row>
    <row r="430" spans="1:3" x14ac:dyDescent="0.2">
      <c r="A430">
        <v>428</v>
      </c>
      <c r="B430" s="27">
        <v>2906.3649999999998</v>
      </c>
      <c r="C430" s="28">
        <v>0.34234500000000001</v>
      </c>
    </row>
    <row r="431" spans="1:3" x14ac:dyDescent="0.2">
      <c r="A431">
        <v>429</v>
      </c>
      <c r="B431" s="27">
        <v>2907.0859999999998</v>
      </c>
      <c r="C431" s="28">
        <v>0.34314499999999998</v>
      </c>
    </row>
    <row r="432" spans="1:3" x14ac:dyDescent="0.2">
      <c r="A432">
        <v>430</v>
      </c>
      <c r="B432" s="27">
        <v>2907.6930000000002</v>
      </c>
      <c r="C432" s="28">
        <v>0.343945</v>
      </c>
    </row>
    <row r="433" spans="1:3" x14ac:dyDescent="0.2">
      <c r="A433">
        <v>431</v>
      </c>
      <c r="B433" s="27">
        <v>2908.2939999999999</v>
      </c>
      <c r="C433" s="28">
        <v>0.34474500000000002</v>
      </c>
    </row>
    <row r="434" spans="1:3" x14ac:dyDescent="0.2">
      <c r="A434">
        <v>432</v>
      </c>
      <c r="B434" s="27">
        <v>2908.8890000000001</v>
      </c>
      <c r="C434" s="28">
        <v>0.34554499999999999</v>
      </c>
    </row>
    <row r="435" spans="1:3" x14ac:dyDescent="0.2">
      <c r="A435">
        <v>433</v>
      </c>
      <c r="B435" s="27">
        <v>2909.4859999999999</v>
      </c>
      <c r="C435" s="28">
        <v>0.34634500000000001</v>
      </c>
    </row>
    <row r="436" spans="1:3" x14ac:dyDescent="0.2">
      <c r="A436">
        <v>434</v>
      </c>
      <c r="B436" s="27">
        <v>2910.0889999999999</v>
      </c>
      <c r="C436" s="28">
        <v>0.34714499999999998</v>
      </c>
    </row>
    <row r="437" spans="1:3" x14ac:dyDescent="0.2">
      <c r="A437">
        <v>435</v>
      </c>
      <c r="B437" s="27">
        <v>2910.6849999999999</v>
      </c>
      <c r="C437" s="28">
        <v>0.347945</v>
      </c>
    </row>
    <row r="438" spans="1:3" x14ac:dyDescent="0.2">
      <c r="A438">
        <v>436</v>
      </c>
      <c r="B438" s="27">
        <v>2911.277</v>
      </c>
      <c r="C438" s="28">
        <v>0.34874500000000003</v>
      </c>
    </row>
    <row r="439" spans="1:3" x14ac:dyDescent="0.2">
      <c r="A439">
        <v>437</v>
      </c>
      <c r="B439" s="27">
        <v>2911.8710000000001</v>
      </c>
      <c r="C439" s="28">
        <v>0.34954499999999999</v>
      </c>
    </row>
    <row r="440" spans="1:3" x14ac:dyDescent="0.2">
      <c r="A440">
        <v>438</v>
      </c>
      <c r="B440" s="27">
        <v>2912.4560000000001</v>
      </c>
      <c r="C440" s="28">
        <v>0.35034500000000002</v>
      </c>
    </row>
    <row r="441" spans="1:3" x14ac:dyDescent="0.2">
      <c r="A441">
        <v>439</v>
      </c>
      <c r="B441" s="27">
        <v>2913.0439999999999</v>
      </c>
      <c r="C441" s="28">
        <v>0.35114499999999998</v>
      </c>
    </row>
    <row r="442" spans="1:3" x14ac:dyDescent="0.2">
      <c r="A442">
        <v>440</v>
      </c>
      <c r="B442" s="27">
        <v>2913.6320000000001</v>
      </c>
      <c r="C442" s="28">
        <v>0.35194500000000001</v>
      </c>
    </row>
    <row r="443" spans="1:3" x14ac:dyDescent="0.2">
      <c r="A443">
        <v>441</v>
      </c>
      <c r="B443" s="27">
        <v>2914.2170000000001</v>
      </c>
      <c r="C443" s="28">
        <v>0.35274499999999998</v>
      </c>
    </row>
    <row r="444" spans="1:3" x14ac:dyDescent="0.2">
      <c r="A444">
        <v>442</v>
      </c>
      <c r="B444" s="27">
        <v>2914.8119999999999</v>
      </c>
      <c r="C444" s="28">
        <v>0.353545</v>
      </c>
    </row>
    <row r="445" spans="1:3" x14ac:dyDescent="0.2">
      <c r="A445">
        <v>443</v>
      </c>
      <c r="B445" s="27">
        <v>2915.39</v>
      </c>
      <c r="C445" s="28">
        <v>0.35434500000000002</v>
      </c>
    </row>
    <row r="446" spans="1:3" x14ac:dyDescent="0.2">
      <c r="A446">
        <v>444</v>
      </c>
      <c r="B446" s="27">
        <v>2915.9859999999999</v>
      </c>
      <c r="C446" s="28">
        <v>0.35514499999999999</v>
      </c>
    </row>
    <row r="447" spans="1:3" x14ac:dyDescent="0.2">
      <c r="A447">
        <v>445</v>
      </c>
      <c r="B447" s="27">
        <v>2916.5709999999999</v>
      </c>
      <c r="C447" s="28">
        <v>0.35594500000000001</v>
      </c>
    </row>
    <row r="448" spans="1:3" x14ac:dyDescent="0.2">
      <c r="A448">
        <v>446</v>
      </c>
      <c r="B448" s="27">
        <v>2917.0639999999999</v>
      </c>
      <c r="C448" s="28">
        <v>0.35674499999999998</v>
      </c>
    </row>
    <row r="449" spans="1:3" x14ac:dyDescent="0.2">
      <c r="A449">
        <v>447</v>
      </c>
      <c r="B449" s="27">
        <v>2917.48</v>
      </c>
      <c r="C449" s="28">
        <v>0.357545</v>
      </c>
    </row>
    <row r="450" spans="1:3" x14ac:dyDescent="0.2">
      <c r="A450">
        <v>448</v>
      </c>
      <c r="B450" s="27">
        <v>2917.8409999999999</v>
      </c>
      <c r="C450" s="28">
        <v>0.35834500000000002</v>
      </c>
    </row>
    <row r="451" spans="1:3" x14ac:dyDescent="0.2">
      <c r="A451">
        <v>449</v>
      </c>
      <c r="B451" s="27">
        <v>2918.181</v>
      </c>
      <c r="C451" s="28">
        <v>0.35914499999999999</v>
      </c>
    </row>
    <row r="452" spans="1:3" x14ac:dyDescent="0.2">
      <c r="A452">
        <v>450</v>
      </c>
      <c r="B452" s="27">
        <v>2918.453</v>
      </c>
      <c r="C452" s="28">
        <v>0.35994500000000001</v>
      </c>
    </row>
    <row r="453" spans="1:3" x14ac:dyDescent="0.2">
      <c r="A453">
        <v>451</v>
      </c>
      <c r="B453" s="27">
        <v>2918.6350000000002</v>
      </c>
      <c r="C453" s="28">
        <v>0.36074499999999998</v>
      </c>
    </row>
    <row r="454" spans="1:3" x14ac:dyDescent="0.2">
      <c r="A454">
        <v>452</v>
      </c>
      <c r="B454" s="27">
        <v>2918.8209999999999</v>
      </c>
      <c r="C454" s="28">
        <v>0.36154500000000001</v>
      </c>
    </row>
    <row r="455" spans="1:3" x14ac:dyDescent="0.2">
      <c r="A455">
        <v>453</v>
      </c>
      <c r="B455" s="27">
        <v>2919.0050000000001</v>
      </c>
      <c r="C455" s="28">
        <v>0.36234499999999997</v>
      </c>
    </row>
    <row r="456" spans="1:3" x14ac:dyDescent="0.2">
      <c r="A456">
        <v>454</v>
      </c>
      <c r="B456" s="27">
        <v>2919.194</v>
      </c>
      <c r="C456" s="28">
        <v>0.363145</v>
      </c>
    </row>
    <row r="457" spans="1:3" x14ac:dyDescent="0.2">
      <c r="A457">
        <v>455</v>
      </c>
      <c r="B457" s="27">
        <v>2919.377</v>
      </c>
      <c r="C457" s="28">
        <v>0.36394500000000002</v>
      </c>
    </row>
    <row r="458" spans="1:3" x14ac:dyDescent="0.2">
      <c r="A458">
        <v>456</v>
      </c>
      <c r="B458" s="1">
        <v>2919.5639999999999</v>
      </c>
      <c r="C458" s="1">
        <v>0.36474499999999999</v>
      </c>
    </row>
    <row r="459" spans="1:3" x14ac:dyDescent="0.2">
      <c r="A459">
        <v>457</v>
      </c>
      <c r="B459" s="1">
        <v>2919.75</v>
      </c>
      <c r="C459" s="1">
        <v>0.36554500000000001</v>
      </c>
    </row>
    <row r="460" spans="1:3" x14ac:dyDescent="0.2">
      <c r="A460">
        <v>458</v>
      </c>
      <c r="B460" s="1">
        <v>2919.9340000000002</v>
      </c>
      <c r="C460" s="1">
        <v>0.36634499999999998</v>
      </c>
    </row>
    <row r="461" spans="1:3" x14ac:dyDescent="0.2">
      <c r="A461">
        <v>459</v>
      </c>
      <c r="B461" s="1">
        <v>2920.1109999999999</v>
      </c>
      <c r="C461" s="1">
        <v>0.367145</v>
      </c>
    </row>
    <row r="462" spans="1:3" x14ac:dyDescent="0.2">
      <c r="A462">
        <v>460</v>
      </c>
      <c r="B462" s="1">
        <v>2920.2869999999998</v>
      </c>
      <c r="C462" s="1">
        <v>0.36794500000000002</v>
      </c>
    </row>
    <row r="463" spans="1:3" x14ac:dyDescent="0.2">
      <c r="A463">
        <v>461</v>
      </c>
      <c r="B463" s="1">
        <v>2920.47</v>
      </c>
      <c r="C463" s="1">
        <v>0.36874499999999999</v>
      </c>
    </row>
    <row r="464" spans="1:3" x14ac:dyDescent="0.2">
      <c r="A464">
        <v>462</v>
      </c>
      <c r="B464" s="1">
        <v>2920.6419999999998</v>
      </c>
      <c r="C464" s="1">
        <v>0.36954500000000001</v>
      </c>
    </row>
    <row r="465" spans="1:3" x14ac:dyDescent="0.2">
      <c r="A465">
        <v>463</v>
      </c>
      <c r="B465" s="1">
        <v>2920.7869999999998</v>
      </c>
      <c r="C465" s="1">
        <v>0.37034499999999998</v>
      </c>
    </row>
    <row r="466" spans="1:3" x14ac:dyDescent="0.2">
      <c r="A466">
        <v>464</v>
      </c>
      <c r="B466" s="1">
        <v>2920.933</v>
      </c>
      <c r="C466" s="1">
        <v>0.371145</v>
      </c>
    </row>
    <row r="467" spans="1:3" x14ac:dyDescent="0.2">
      <c r="A467">
        <v>465</v>
      </c>
      <c r="B467" s="1">
        <v>2921.0740000000001</v>
      </c>
      <c r="C467" s="1">
        <v>0.37194500000000003</v>
      </c>
    </row>
    <row r="468" spans="1:3" x14ac:dyDescent="0.2">
      <c r="A468">
        <v>466</v>
      </c>
      <c r="B468" s="1">
        <v>2921.212</v>
      </c>
      <c r="C468" s="1">
        <v>0.37274499999999999</v>
      </c>
    </row>
    <row r="469" spans="1:3" x14ac:dyDescent="0.2">
      <c r="A469">
        <v>467</v>
      </c>
      <c r="B469" s="1">
        <v>2921.346</v>
      </c>
      <c r="C469" s="1">
        <v>0.37354500000000002</v>
      </c>
    </row>
    <row r="470" spans="1:3" x14ac:dyDescent="0.2">
      <c r="A470">
        <v>468</v>
      </c>
      <c r="B470" s="1">
        <v>2921.48</v>
      </c>
      <c r="C470" s="1">
        <v>0.37434499999999998</v>
      </c>
    </row>
    <row r="471" spans="1:3" x14ac:dyDescent="0.2">
      <c r="A471">
        <v>469</v>
      </c>
      <c r="B471" s="1">
        <v>2921.614</v>
      </c>
      <c r="C471" s="1">
        <v>0.37514500000000001</v>
      </c>
    </row>
    <row r="472" spans="1:3" x14ac:dyDescent="0.2">
      <c r="A472">
        <v>470</v>
      </c>
      <c r="B472" s="1">
        <v>2921.7449999999999</v>
      </c>
      <c r="C472" s="1">
        <v>0.37594499999999997</v>
      </c>
    </row>
    <row r="473" spans="1:3" x14ac:dyDescent="0.2">
      <c r="A473">
        <v>471</v>
      </c>
      <c r="B473" s="1">
        <v>2921.8850000000002</v>
      </c>
      <c r="C473" s="1">
        <v>0.376745</v>
      </c>
    </row>
    <row r="474" spans="1:3" x14ac:dyDescent="0.2">
      <c r="A474">
        <v>472</v>
      </c>
      <c r="B474" s="1">
        <v>2922.0160000000001</v>
      </c>
      <c r="C474" s="1">
        <v>0.37754500000000002</v>
      </c>
    </row>
    <row r="475" spans="1:3" x14ac:dyDescent="0.2">
      <c r="A475">
        <v>473</v>
      </c>
      <c r="B475" s="1">
        <v>2922.1489999999999</v>
      </c>
      <c r="C475" s="1">
        <v>0.37834499999999999</v>
      </c>
    </row>
    <row r="476" spans="1:3" x14ac:dyDescent="0.2">
      <c r="A476">
        <v>474</v>
      </c>
      <c r="B476" s="1">
        <v>2922.2829999999999</v>
      </c>
      <c r="C476" s="1">
        <v>0.37914500000000001</v>
      </c>
    </row>
    <row r="477" spans="1:3" x14ac:dyDescent="0.2">
      <c r="A477">
        <v>475</v>
      </c>
      <c r="B477" s="1">
        <v>2922.4160000000002</v>
      </c>
      <c r="C477" s="1">
        <v>0.37994499999999998</v>
      </c>
    </row>
    <row r="478" spans="1:3" x14ac:dyDescent="0.2">
      <c r="A478">
        <v>476</v>
      </c>
      <c r="B478" s="1">
        <v>2922.5450000000001</v>
      </c>
      <c r="C478" s="1">
        <v>0.380745</v>
      </c>
    </row>
    <row r="479" spans="1:3" x14ac:dyDescent="0.2">
      <c r="A479">
        <v>477</v>
      </c>
      <c r="B479" s="1">
        <v>2922.6790000000001</v>
      </c>
      <c r="C479" s="1">
        <v>0.38154500000000002</v>
      </c>
    </row>
    <row r="480" spans="1:3" x14ac:dyDescent="0.2">
      <c r="A480">
        <v>478</v>
      </c>
      <c r="B480" s="1">
        <v>2922.8110000000001</v>
      </c>
      <c r="C480" s="1">
        <v>0.38234499999999999</v>
      </c>
    </row>
    <row r="481" spans="1:3" x14ac:dyDescent="0.2">
      <c r="A481">
        <v>479</v>
      </c>
      <c r="B481" s="1">
        <v>2922.8890000000001</v>
      </c>
      <c r="C481" s="1">
        <v>0.38314500000000001</v>
      </c>
    </row>
    <row r="482" spans="1:3" x14ac:dyDescent="0.2">
      <c r="A482">
        <v>480</v>
      </c>
      <c r="B482" s="1">
        <v>2922.9929999999999</v>
      </c>
      <c r="C482" s="1">
        <v>0.38394499999999998</v>
      </c>
    </row>
    <row r="483" spans="1:3" x14ac:dyDescent="0.2">
      <c r="A483">
        <v>481</v>
      </c>
      <c r="B483" s="1">
        <v>2923.0920000000001</v>
      </c>
      <c r="C483" s="1">
        <v>0.384745</v>
      </c>
    </row>
    <row r="484" spans="1:3" x14ac:dyDescent="0.2">
      <c r="A484">
        <v>482</v>
      </c>
      <c r="B484" s="1">
        <v>2923.1909999999998</v>
      </c>
      <c r="C484" s="1">
        <v>0.38554500000000003</v>
      </c>
    </row>
    <row r="485" spans="1:3" x14ac:dyDescent="0.2">
      <c r="A485">
        <v>483</v>
      </c>
      <c r="B485" s="1">
        <v>2923.288</v>
      </c>
      <c r="C485" s="1">
        <v>0.38634499999999999</v>
      </c>
    </row>
    <row r="486" spans="1:3" x14ac:dyDescent="0.2">
      <c r="A486">
        <v>484</v>
      </c>
      <c r="B486" s="1">
        <v>2923.386</v>
      </c>
      <c r="C486" s="1">
        <v>0.38714500000000002</v>
      </c>
    </row>
    <row r="487" spans="1:3" x14ac:dyDescent="0.2">
      <c r="A487">
        <v>485</v>
      </c>
      <c r="B487" s="1">
        <v>2923.49</v>
      </c>
      <c r="C487" s="1">
        <v>0.38794499999999998</v>
      </c>
    </row>
    <row r="488" spans="1:3" x14ac:dyDescent="0.2">
      <c r="A488">
        <v>486</v>
      </c>
      <c r="B488" s="1">
        <v>2923.5859999999998</v>
      </c>
      <c r="C488" s="1">
        <v>0.38874500000000001</v>
      </c>
    </row>
    <row r="489" spans="1:3" x14ac:dyDescent="0.2">
      <c r="A489">
        <v>487</v>
      </c>
      <c r="B489" s="1">
        <v>2923.6880000000001</v>
      </c>
      <c r="C489" s="1">
        <v>0.38954499999999997</v>
      </c>
    </row>
    <row r="490" spans="1:3" x14ac:dyDescent="0.2">
      <c r="A490">
        <v>488</v>
      </c>
      <c r="B490" s="1">
        <v>2923.7860000000001</v>
      </c>
      <c r="C490" s="1">
        <v>0.390345</v>
      </c>
    </row>
    <row r="491" spans="1:3" x14ac:dyDescent="0.2">
      <c r="A491">
        <v>489</v>
      </c>
      <c r="B491" s="1">
        <v>2923.8879999999999</v>
      </c>
      <c r="C491" s="1">
        <v>0.39114500000000002</v>
      </c>
    </row>
    <row r="492" spans="1:3" x14ac:dyDescent="0.2">
      <c r="A492">
        <v>490</v>
      </c>
      <c r="B492" s="1">
        <v>2923.98</v>
      </c>
      <c r="C492" s="1">
        <v>0.39194499999999999</v>
      </c>
    </row>
    <row r="493" spans="1:3" x14ac:dyDescent="0.2">
      <c r="A493">
        <v>491</v>
      </c>
      <c r="B493" s="1">
        <v>2924.069</v>
      </c>
      <c r="C493" s="1">
        <v>0.39274500000000001</v>
      </c>
    </row>
    <row r="494" spans="1:3" x14ac:dyDescent="0.2">
      <c r="A494">
        <v>492</v>
      </c>
      <c r="B494" s="1">
        <v>2924.1579999999999</v>
      </c>
      <c r="C494" s="1">
        <v>0.39354499999999998</v>
      </c>
    </row>
    <row r="495" spans="1:3" x14ac:dyDescent="0.2">
      <c r="A495">
        <v>493</v>
      </c>
      <c r="B495" s="1">
        <v>2924.2539999999999</v>
      </c>
      <c r="C495" s="1">
        <v>0.394345</v>
      </c>
    </row>
    <row r="496" spans="1:3" x14ac:dyDescent="0.2">
      <c r="A496">
        <v>494</v>
      </c>
      <c r="B496" s="1">
        <v>2924.3409999999999</v>
      </c>
      <c r="C496" s="1">
        <v>0.39514500000000002</v>
      </c>
    </row>
    <row r="497" spans="1:3" x14ac:dyDescent="0.2">
      <c r="A497">
        <v>495</v>
      </c>
      <c r="B497" s="1">
        <v>2924.4250000000002</v>
      </c>
      <c r="C497" s="1">
        <v>0.39594499999999999</v>
      </c>
    </row>
    <row r="498" spans="1:3" x14ac:dyDescent="0.2">
      <c r="A498">
        <v>496</v>
      </c>
      <c r="B498" s="1">
        <v>2924.5120000000002</v>
      </c>
      <c r="C498" s="1">
        <v>0.39674500000000001</v>
      </c>
    </row>
    <row r="499" spans="1:3" x14ac:dyDescent="0.2">
      <c r="A499">
        <v>497</v>
      </c>
      <c r="B499" s="1">
        <v>2924.5940000000001</v>
      </c>
      <c r="C499" s="1">
        <v>0.39754499999999998</v>
      </c>
    </row>
    <row r="500" spans="1:3" x14ac:dyDescent="0.2">
      <c r="A500">
        <v>498</v>
      </c>
      <c r="B500" s="1">
        <v>2924.6660000000002</v>
      </c>
      <c r="C500" s="1">
        <v>0.398345</v>
      </c>
    </row>
    <row r="501" spans="1:3" x14ac:dyDescent="0.2">
      <c r="A501">
        <v>499</v>
      </c>
      <c r="B501" s="1">
        <v>2924.7350000000001</v>
      </c>
      <c r="C501" s="1">
        <v>0.39914500000000003</v>
      </c>
    </row>
    <row r="502" spans="1:3" x14ac:dyDescent="0.2">
      <c r="A502">
        <v>500</v>
      </c>
      <c r="B502" s="1">
        <v>2924.8049999999998</v>
      </c>
      <c r="C502" s="1">
        <v>0.39994499999999999</v>
      </c>
    </row>
  </sheetData>
  <mergeCells count="5">
    <mergeCell ref="B1:C1"/>
    <mergeCell ref="F2:G2"/>
    <mergeCell ref="H2:I2"/>
    <mergeCell ref="R61:T61"/>
    <mergeCell ref="R62:T62"/>
  </mergeCells>
  <conditionalFormatting sqref="O5">
    <cfRule type="cellIs" dxfId="3" priority="3" operator="greaterThan">
      <formula>0.1</formula>
    </cfRule>
    <cfRule type="cellIs" dxfId="2" priority="4" operator="lessThan">
      <formula>0.1</formula>
    </cfRule>
  </conditionalFormatting>
  <conditionalFormatting sqref="J5:J9">
    <cfRule type="containsText" dxfId="1" priority="1" operator="containsText" text="Error!">
      <formula>NOT(ISERROR(SEARCH("Error!",J5)))</formula>
    </cfRule>
    <cfRule type="containsText" dxfId="0" priority="2" operator="containsText" text="Ok">
      <formula>NOT(ISERROR(SEARCH("Ok",J5)))</formula>
    </cfRule>
  </conditionalFormatting>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57"/>
  <sheetViews>
    <sheetView topLeftCell="A11" zoomScaleNormal="50" zoomScalePageLayoutView="50" workbookViewId="0">
      <selection activeCell="A27" sqref="A27:O27"/>
    </sheetView>
  </sheetViews>
  <sheetFormatPr baseColWidth="10" defaultRowHeight="16" x14ac:dyDescent="0.2"/>
  <cols>
    <col min="2" max="2" width="16.83203125" customWidth="1"/>
    <col min="5" max="5" width="14.83203125" bestFit="1" customWidth="1"/>
  </cols>
  <sheetData>
    <row r="1" spans="1:15" ht="22" thickBot="1" x14ac:dyDescent="0.3">
      <c r="A1" s="195" t="s">
        <v>81</v>
      </c>
      <c r="B1" s="196"/>
      <c r="C1" s="196"/>
      <c r="D1" s="196"/>
      <c r="E1" s="197"/>
      <c r="F1" s="195" t="s">
        <v>82</v>
      </c>
      <c r="G1" s="196"/>
      <c r="H1" s="196"/>
      <c r="I1" s="196"/>
      <c r="J1" s="197"/>
      <c r="K1" s="195" t="s">
        <v>83</v>
      </c>
      <c r="L1" s="196"/>
      <c r="M1" s="196"/>
      <c r="N1" s="196"/>
      <c r="O1" s="197"/>
    </row>
    <row r="2" spans="1:15" ht="17" thickBot="1" x14ac:dyDescent="0.25">
      <c r="A2" s="192" t="s">
        <v>70</v>
      </c>
      <c r="B2" s="193"/>
      <c r="C2" s="193"/>
      <c r="D2" s="193"/>
      <c r="E2" s="194"/>
      <c r="F2" s="193" t="s">
        <v>70</v>
      </c>
      <c r="G2" s="193"/>
      <c r="H2" s="193"/>
      <c r="I2" s="193"/>
      <c r="J2" s="194"/>
      <c r="K2" s="192" t="s">
        <v>70</v>
      </c>
      <c r="L2" s="193"/>
      <c r="M2" s="193"/>
      <c r="N2" s="193"/>
      <c r="O2" s="194"/>
    </row>
    <row r="3" spans="1:15" x14ac:dyDescent="0.2">
      <c r="A3" s="106"/>
      <c r="B3" s="4"/>
      <c r="C3" s="4"/>
      <c r="D3" s="4"/>
      <c r="E3" s="107"/>
      <c r="K3" s="106"/>
      <c r="L3" s="4"/>
      <c r="M3" s="4"/>
      <c r="N3" s="4"/>
      <c r="O3" s="107"/>
    </row>
    <row r="4" spans="1:15" ht="18" x14ac:dyDescent="0.25">
      <c r="A4" s="108" t="s">
        <v>19</v>
      </c>
      <c r="B4" s="90" t="s">
        <v>71</v>
      </c>
      <c r="C4" s="91" t="s">
        <v>72</v>
      </c>
      <c r="D4" s="92" t="s">
        <v>73</v>
      </c>
      <c r="E4" s="109"/>
      <c r="F4" s="105" t="s">
        <v>19</v>
      </c>
      <c r="G4" s="90" t="s">
        <v>71</v>
      </c>
      <c r="H4" s="91" t="s">
        <v>72</v>
      </c>
      <c r="I4" s="92" t="s">
        <v>73</v>
      </c>
      <c r="J4" s="22"/>
      <c r="K4" s="108" t="s">
        <v>19</v>
      </c>
      <c r="L4" s="90" t="s">
        <v>71</v>
      </c>
      <c r="M4" s="91" t="s">
        <v>72</v>
      </c>
      <c r="N4" s="92" t="s">
        <v>73</v>
      </c>
      <c r="O4" s="109"/>
    </row>
    <row r="5" spans="1:15" x14ac:dyDescent="0.2">
      <c r="A5" s="20">
        <v>1</v>
      </c>
      <c r="B5" s="93">
        <v>0.14599999999999999</v>
      </c>
      <c r="C5" s="94">
        <v>0.53349999999999997</v>
      </c>
      <c r="D5" s="95">
        <v>3.4439999999999998E-2</v>
      </c>
      <c r="E5" s="101">
        <f t="shared" ref="E5:E11" si="0">B5*EXP(-(((T_star-C5)/D5)^2))</f>
        <v>0.13000082634365961</v>
      </c>
      <c r="F5" s="1">
        <v>1</v>
      </c>
      <c r="G5" s="93">
        <v>0.86280000000000001</v>
      </c>
      <c r="H5" s="94">
        <v>0.76239999999999997</v>
      </c>
      <c r="I5" s="95">
        <v>0.1643</v>
      </c>
      <c r="J5" s="9">
        <f t="shared" ref="J5:J11" si="1">G5*EXP(-(((T_star-H5)/I5)^2))</f>
        <v>0.15037116193110822</v>
      </c>
      <c r="K5" s="20">
        <v>1</v>
      </c>
      <c r="L5" s="93">
        <v>1.024</v>
      </c>
      <c r="M5" s="94">
        <v>0.90180000000000005</v>
      </c>
      <c r="N5" s="95">
        <v>0.65549999999999997</v>
      </c>
      <c r="O5" s="101">
        <f t="shared" ref="O5:O11" si="2">L5*EXP(-(((T_star-M5)/N5)^2))</f>
        <v>0.76171889142181382</v>
      </c>
    </row>
    <row r="6" spans="1:15" x14ac:dyDescent="0.2">
      <c r="A6" s="20">
        <v>2</v>
      </c>
      <c r="B6" s="96">
        <v>0.59260000000000002</v>
      </c>
      <c r="C6" s="7">
        <v>0.41610000000000003</v>
      </c>
      <c r="D6" s="97">
        <v>0.31940000000000002</v>
      </c>
      <c r="E6" s="101">
        <f t="shared" si="0"/>
        <v>0.50323727674207919</v>
      </c>
      <c r="F6" s="1">
        <v>2</v>
      </c>
      <c r="G6" s="96">
        <v>0.92349999999999999</v>
      </c>
      <c r="H6" s="7">
        <v>0.50409999999999999</v>
      </c>
      <c r="I6" s="97">
        <v>0.1701</v>
      </c>
      <c r="J6" s="9">
        <f t="shared" si="1"/>
        <v>0.87104623936951375</v>
      </c>
      <c r="K6" s="20">
        <v>2</v>
      </c>
      <c r="L6" s="96">
        <v>0.60340000000000005</v>
      </c>
      <c r="M6" s="7">
        <v>0.1928</v>
      </c>
      <c r="N6" s="97">
        <v>0.1072</v>
      </c>
      <c r="O6" s="101">
        <f t="shared" si="2"/>
        <v>1.2205316905344408E-5</v>
      </c>
    </row>
    <row r="7" spans="1:15" x14ac:dyDescent="0.2">
      <c r="A7" s="20">
        <v>3</v>
      </c>
      <c r="B7" s="96">
        <v>7.3120000000000004E-2</v>
      </c>
      <c r="C7" s="7">
        <v>0.44950000000000001</v>
      </c>
      <c r="D7" s="97">
        <v>1.6670000000000001E-2</v>
      </c>
      <c r="E7" s="101">
        <f t="shared" si="0"/>
        <v>3.4745994675537717E-16</v>
      </c>
      <c r="F7" s="1">
        <v>3</v>
      </c>
      <c r="G7" s="96">
        <v>0.91949999999999998</v>
      </c>
      <c r="H7" s="7">
        <v>0.17849999999999999</v>
      </c>
      <c r="I7" s="97">
        <v>0.1147</v>
      </c>
      <c r="J7" s="9">
        <f t="shared" si="1"/>
        <v>3.3404768961125359E-5</v>
      </c>
      <c r="K7" s="20">
        <v>3</v>
      </c>
      <c r="L7" s="96">
        <v>0.24660000000000001</v>
      </c>
      <c r="M7" s="7">
        <v>0.4758</v>
      </c>
      <c r="N7" s="97">
        <v>0.1232</v>
      </c>
      <c r="O7" s="101">
        <f t="shared" si="2"/>
        <v>0.17949442441720964</v>
      </c>
    </row>
    <row r="8" spans="1:15" x14ac:dyDescent="0.2">
      <c r="A8" s="20">
        <v>4</v>
      </c>
      <c r="B8" s="96">
        <v>0.29649999999999999</v>
      </c>
      <c r="C8" s="7">
        <v>0.2215</v>
      </c>
      <c r="D8" s="97">
        <v>0.1087</v>
      </c>
      <c r="E8" s="101">
        <f t="shared" si="0"/>
        <v>4.1677952340854337E-5</v>
      </c>
      <c r="F8" s="1">
        <v>4</v>
      </c>
      <c r="G8" s="96">
        <v>0.96319999999999995</v>
      </c>
      <c r="H8" s="7">
        <v>1.022</v>
      </c>
      <c r="I8" s="97">
        <v>0.1694</v>
      </c>
      <c r="J8" s="9">
        <f t="shared" si="1"/>
        <v>3.4964582979850936E-4</v>
      </c>
      <c r="K8" s="20">
        <v>4</v>
      </c>
      <c r="L8" s="96">
        <v>6.1409999999999999E-2</v>
      </c>
      <c r="M8" s="7">
        <v>0.69030000000000002</v>
      </c>
      <c r="N8" s="97">
        <v>5.6640000000000003E-2</v>
      </c>
      <c r="O8" s="101">
        <f t="shared" si="2"/>
        <v>8.696803201204392E-5</v>
      </c>
    </row>
    <row r="9" spans="1:15" x14ac:dyDescent="0.2">
      <c r="A9" s="20">
        <v>5</v>
      </c>
      <c r="B9" s="96">
        <v>2.6880000000000001E-2</v>
      </c>
      <c r="C9" s="7">
        <v>0.36990000000000001</v>
      </c>
      <c r="D9" s="97">
        <v>1.5800000000000002E-2</v>
      </c>
      <c r="E9" s="101">
        <f t="shared" si="0"/>
        <v>8.8834054367001166E-56</v>
      </c>
      <c r="F9" s="1">
        <v>5</v>
      </c>
      <c r="G9" s="96">
        <v>0.47449999999999998</v>
      </c>
      <c r="H9" s="7">
        <v>0.32529999999999998</v>
      </c>
      <c r="I9" s="97">
        <v>9.4030000000000002E-2</v>
      </c>
      <c r="J9" s="9">
        <f t="shared" si="1"/>
        <v>1.9966882745361559E-3</v>
      </c>
      <c r="K9" s="20">
        <v>5</v>
      </c>
      <c r="L9" s="96">
        <v>0.25109999999999999</v>
      </c>
      <c r="M9" s="7">
        <v>0.32540000000000002</v>
      </c>
      <c r="N9" s="97">
        <v>7.0669999999999997E-2</v>
      </c>
      <c r="O9" s="101">
        <f t="shared" si="2"/>
        <v>1.5754910671069301E-5</v>
      </c>
    </row>
    <row r="10" spans="1:15" x14ac:dyDescent="0.2">
      <c r="A10" s="20">
        <v>6</v>
      </c>
      <c r="B10" s="96">
        <v>1.0629999999999999</v>
      </c>
      <c r="C10" s="7">
        <v>1.0029999999999999</v>
      </c>
      <c r="D10" s="97">
        <v>0.64600000000000002</v>
      </c>
      <c r="E10" s="101">
        <f t="shared" si="0"/>
        <v>0.64336471905150894</v>
      </c>
      <c r="F10" s="1">
        <v>6</v>
      </c>
      <c r="G10" s="96">
        <v>6.54E-2</v>
      </c>
      <c r="H10" s="7">
        <v>0.40639999999999998</v>
      </c>
      <c r="I10" s="97">
        <v>2.0539999999999999E-2</v>
      </c>
      <c r="J10" s="9">
        <f t="shared" si="1"/>
        <v>9.4251403145973071E-22</v>
      </c>
      <c r="K10" s="20">
        <v>6</v>
      </c>
      <c r="L10" s="96">
        <v>1E-4</v>
      </c>
      <c r="M10" s="7">
        <v>0.93899999999999995</v>
      </c>
      <c r="N10" s="97">
        <v>1.32E-3</v>
      </c>
      <c r="O10" s="101">
        <f t="shared" si="2"/>
        <v>0</v>
      </c>
    </row>
    <row r="11" spans="1:15" x14ac:dyDescent="0.2">
      <c r="A11" s="20">
        <v>7</v>
      </c>
      <c r="B11" s="98">
        <v>0.31269999999999998</v>
      </c>
      <c r="C11" s="99">
        <v>0.1462</v>
      </c>
      <c r="D11" s="100">
        <v>7.1809999999999999E-2</v>
      </c>
      <c r="E11" s="101">
        <f t="shared" si="0"/>
        <v>1.2162264964012119E-14</v>
      </c>
      <c r="F11" s="1">
        <v>7</v>
      </c>
      <c r="G11" s="98">
        <v>4.4609999999999997E-2</v>
      </c>
      <c r="H11" s="99">
        <v>0.44790000000000002</v>
      </c>
      <c r="I11" s="100">
        <v>1.584E-2</v>
      </c>
      <c r="J11" s="9">
        <f t="shared" si="1"/>
        <v>1.7834096538360206E-18</v>
      </c>
      <c r="K11" s="20">
        <v>7</v>
      </c>
      <c r="L11" s="98">
        <v>7.0860000000000006E-2</v>
      </c>
      <c r="M11" s="99">
        <v>0.39479999999999998</v>
      </c>
      <c r="N11" s="100">
        <v>2.2870000000000001E-2</v>
      </c>
      <c r="O11" s="101">
        <f t="shared" si="2"/>
        <v>1.1477949902914424E-20</v>
      </c>
    </row>
    <row r="12" spans="1:15" x14ac:dyDescent="0.2">
      <c r="A12" s="106"/>
      <c r="B12" s="4"/>
      <c r="C12" s="4"/>
      <c r="D12" s="4"/>
      <c r="E12" s="107"/>
      <c r="K12" s="106"/>
      <c r="L12" s="4"/>
      <c r="M12" s="4"/>
      <c r="N12" s="4"/>
      <c r="O12" s="107"/>
    </row>
    <row r="13" spans="1:15" x14ac:dyDescent="0.2">
      <c r="A13" s="110" t="s">
        <v>8</v>
      </c>
      <c r="B13" s="111">
        <f>SUM(E5:E11)</f>
        <v>1.2766445000896012</v>
      </c>
      <c r="C13" s="4"/>
      <c r="D13" s="4"/>
      <c r="E13" s="107"/>
      <c r="F13" s="2" t="s">
        <v>8</v>
      </c>
      <c r="G13" s="3">
        <f>SUM(J5:J11)</f>
        <v>1.0237971401739179</v>
      </c>
      <c r="K13" s="110" t="s">
        <v>8</v>
      </c>
      <c r="L13" s="111">
        <f>SUM(O5:O11)</f>
        <v>0.94132824409861193</v>
      </c>
      <c r="M13" s="4"/>
      <c r="N13" s="4"/>
      <c r="O13" s="107"/>
    </row>
    <row r="14" spans="1:15" x14ac:dyDescent="0.2">
      <c r="A14" s="106"/>
      <c r="B14" s="4"/>
      <c r="C14" s="4"/>
      <c r="D14" s="4"/>
      <c r="E14" s="107"/>
      <c r="K14" s="106"/>
      <c r="L14" s="4"/>
      <c r="M14" s="4"/>
      <c r="N14" s="4"/>
      <c r="O14" s="107"/>
    </row>
    <row r="15" spans="1:15" ht="18" x14ac:dyDescent="0.25">
      <c r="A15" s="108" t="s">
        <v>19</v>
      </c>
      <c r="B15" s="90" t="s">
        <v>74</v>
      </c>
      <c r="C15" s="91" t="s">
        <v>75</v>
      </c>
      <c r="D15" s="92" t="s">
        <v>76</v>
      </c>
      <c r="E15" s="107"/>
      <c r="F15" s="105" t="s">
        <v>19</v>
      </c>
      <c r="G15" s="90" t="s">
        <v>74</v>
      </c>
      <c r="H15" s="91" t="s">
        <v>75</v>
      </c>
      <c r="I15" s="92" t="s">
        <v>76</v>
      </c>
      <c r="K15" s="108" t="s">
        <v>19</v>
      </c>
      <c r="L15" s="90" t="s">
        <v>74</v>
      </c>
      <c r="M15" s="91" t="s">
        <v>75</v>
      </c>
      <c r="N15" s="92" t="s">
        <v>76</v>
      </c>
      <c r="O15" s="107"/>
    </row>
    <row r="16" spans="1:15" x14ac:dyDescent="0.2">
      <c r="A16" s="20">
        <v>1</v>
      </c>
      <c r="B16" s="93">
        <v>0.20080000000000001</v>
      </c>
      <c r="C16" s="94">
        <v>1.093</v>
      </c>
      <c r="D16" s="95">
        <v>0.54049999999999998</v>
      </c>
      <c r="E16" s="101">
        <f t="shared" ref="E16:E22" si="3">B16*EXP(-(((T_star-C16)/D16)^2))</f>
        <v>7.1897344858145834E-2</v>
      </c>
      <c r="F16" s="1">
        <v>1</v>
      </c>
      <c r="G16" s="93">
        <v>-0.13339999999999999</v>
      </c>
      <c r="H16" s="94">
        <v>0.77710000000000001</v>
      </c>
      <c r="I16" s="95">
        <v>4.9070000000000003E-2</v>
      </c>
      <c r="J16" s="9">
        <f t="shared" ref="J16:J22" si="4">G16*EXP(-(((T_star-H16)/I16)^2))</f>
        <v>-2.6812248273743117E-11</v>
      </c>
      <c r="K16" s="20">
        <v>1</v>
      </c>
      <c r="L16" s="93">
        <v>0.71819999999999995</v>
      </c>
      <c r="M16" s="94">
        <v>4.1509999999999998E-2</v>
      </c>
      <c r="N16" s="95">
        <v>9.0179999999999996E-2</v>
      </c>
      <c r="O16" s="101">
        <f t="shared" ref="O16:O22" si="5">L16*EXP(-(((T_star-M16)/N16)^2))</f>
        <v>2.0229404573246287E-14</v>
      </c>
    </row>
    <row r="17" spans="1:15" x14ac:dyDescent="0.2">
      <c r="A17" s="20">
        <v>2</v>
      </c>
      <c r="B17" s="96">
        <v>0.17899999999999999</v>
      </c>
      <c r="C17" s="7">
        <v>0.71689999999999998</v>
      </c>
      <c r="D17" s="97">
        <v>8.8359999999999994E-2</v>
      </c>
      <c r="E17" s="101">
        <f t="shared" si="3"/>
        <v>4.1077233869199698E-3</v>
      </c>
      <c r="F17" s="1">
        <v>2</v>
      </c>
      <c r="G17" s="96">
        <v>0.33119999999999999</v>
      </c>
      <c r="H17" s="7">
        <v>0.76470000000000005</v>
      </c>
      <c r="I17" s="97">
        <v>9.859999999999999E-4</v>
      </c>
      <c r="J17" s="9">
        <f t="shared" si="4"/>
        <v>0</v>
      </c>
      <c r="K17" s="20">
        <v>2</v>
      </c>
      <c r="L17" s="96">
        <v>0.13200000000000001</v>
      </c>
      <c r="M17" s="7">
        <v>0.60580000000000001</v>
      </c>
      <c r="N17" s="97">
        <v>4.845E-2</v>
      </c>
      <c r="O17" s="101">
        <f t="shared" si="5"/>
        <v>2.7662519419039317E-2</v>
      </c>
    </row>
    <row r="18" spans="1:15" x14ac:dyDescent="0.2">
      <c r="A18" s="20">
        <v>3</v>
      </c>
      <c r="B18" s="96">
        <v>0.14249999999999999</v>
      </c>
      <c r="C18" s="7">
        <v>0.48759999999999998</v>
      </c>
      <c r="D18" s="97">
        <v>4.956E-2</v>
      </c>
      <c r="E18" s="101">
        <f t="shared" si="3"/>
        <v>3.6855795921534457E-2</v>
      </c>
      <c r="F18" s="1">
        <v>3</v>
      </c>
      <c r="G18" s="96">
        <v>0.79849999999999999</v>
      </c>
      <c r="H18" s="7">
        <v>4.2840000000000003E-2</v>
      </c>
      <c r="I18" s="97">
        <v>9.3649999999999997E-2</v>
      </c>
      <c r="J18" s="9">
        <f t="shared" si="4"/>
        <v>2.5340999272225952E-13</v>
      </c>
      <c r="K18" s="20">
        <v>3</v>
      </c>
      <c r="L18" s="96">
        <v>0.12330000000000001</v>
      </c>
      <c r="M18" s="7">
        <v>0.4904</v>
      </c>
      <c r="N18" s="97">
        <v>4.3920000000000001E-2</v>
      </c>
      <c r="O18" s="101">
        <f t="shared" si="5"/>
        <v>2.5943530175283811E-2</v>
      </c>
    </row>
    <row r="19" spans="1:15" x14ac:dyDescent="0.2">
      <c r="A19" s="20">
        <v>4</v>
      </c>
      <c r="B19" s="96">
        <v>0.15329999999999999</v>
      </c>
      <c r="C19" s="7">
        <v>0.57089999999999996</v>
      </c>
      <c r="D19" s="97">
        <v>7.2559999999999999E-2</v>
      </c>
      <c r="E19" s="101">
        <f t="shared" si="3"/>
        <v>0.13526963610578871</v>
      </c>
      <c r="F19" s="1">
        <v>4</v>
      </c>
      <c r="G19" s="96">
        <v>1E-4</v>
      </c>
      <c r="H19" s="7">
        <v>0.57210000000000005</v>
      </c>
      <c r="I19" s="97">
        <v>1E-4</v>
      </c>
      <c r="J19" s="9">
        <f t="shared" si="4"/>
        <v>0</v>
      </c>
      <c r="K19" s="20">
        <v>4</v>
      </c>
      <c r="L19" s="96">
        <v>9.8049999999999998E-2</v>
      </c>
      <c r="M19" s="7">
        <v>0.54479999999999995</v>
      </c>
      <c r="N19" s="97">
        <v>1.7780000000000001E-2</v>
      </c>
      <c r="O19" s="101">
        <f t="shared" si="5"/>
        <v>9.7991820658710968E-2</v>
      </c>
    </row>
    <row r="20" spans="1:15" x14ac:dyDescent="0.2">
      <c r="A20" s="20">
        <v>5</v>
      </c>
      <c r="B20" s="96">
        <v>3623000000000</v>
      </c>
      <c r="C20" s="7">
        <v>97.61</v>
      </c>
      <c r="D20" s="97">
        <v>17.940000000000001</v>
      </c>
      <c r="E20" s="101">
        <f t="shared" si="3"/>
        <v>0.70087474916562909</v>
      </c>
      <c r="F20" s="1">
        <v>5</v>
      </c>
      <c r="G20" s="96">
        <v>0.15429999999999999</v>
      </c>
      <c r="H20" s="7">
        <v>0.4788</v>
      </c>
      <c r="I20" s="97">
        <v>0.105</v>
      </c>
      <c r="J20" s="9">
        <f t="shared" si="4"/>
        <v>0.10339881123518706</v>
      </c>
      <c r="K20" s="20">
        <v>5</v>
      </c>
      <c r="L20" s="96">
        <v>0.1429</v>
      </c>
      <c r="M20" s="7">
        <v>0.36520000000000002</v>
      </c>
      <c r="N20" s="97">
        <v>9.8150000000000001E-2</v>
      </c>
      <c r="O20" s="101">
        <f t="shared" si="5"/>
        <v>4.9412325367067409E-3</v>
      </c>
    </row>
    <row r="21" spans="1:15" x14ac:dyDescent="0.2">
      <c r="A21" s="20">
        <v>6</v>
      </c>
      <c r="B21" s="96">
        <v>9.4509999999999997E-2</v>
      </c>
      <c r="C21" s="7">
        <v>0.44240000000000002</v>
      </c>
      <c r="D21" s="97">
        <v>6.2619999999999995E-2</v>
      </c>
      <c r="E21" s="101">
        <f t="shared" si="3"/>
        <v>6.3722842847063425E-3</v>
      </c>
      <c r="F21" s="1">
        <v>6</v>
      </c>
      <c r="G21" s="96">
        <v>0.92520000000000002</v>
      </c>
      <c r="H21" s="7">
        <v>0.8165</v>
      </c>
      <c r="I21" s="97">
        <v>0.51</v>
      </c>
      <c r="J21" s="9">
        <f t="shared" si="4"/>
        <v>0.69721710237478396</v>
      </c>
      <c r="K21" s="20">
        <v>6</v>
      </c>
      <c r="L21" s="96">
        <v>0.65469999999999995</v>
      </c>
      <c r="M21" s="7">
        <v>0.84309999999999996</v>
      </c>
      <c r="N21" s="97">
        <v>0.71260000000000001</v>
      </c>
      <c r="O21" s="101">
        <f t="shared" si="5"/>
        <v>0.54974419960481313</v>
      </c>
    </row>
    <row r="22" spans="1:15" x14ac:dyDescent="0.2">
      <c r="A22" s="20">
        <v>7</v>
      </c>
      <c r="B22" s="98">
        <v>0.19639999999999999</v>
      </c>
      <c r="C22" s="99">
        <v>0.33450000000000002</v>
      </c>
      <c r="D22" s="100">
        <v>9.5219999999999999E-2</v>
      </c>
      <c r="E22" s="101">
        <f t="shared" si="3"/>
        <v>1.4655912508845538E-3</v>
      </c>
      <c r="F22" s="1">
        <v>7</v>
      </c>
      <c r="G22" s="98">
        <v>0.28089999999999998</v>
      </c>
      <c r="H22" s="99">
        <v>0.30030000000000001</v>
      </c>
      <c r="I22" s="100">
        <v>0.1216</v>
      </c>
      <c r="J22" s="9">
        <f t="shared" si="4"/>
        <v>4.8587609936832556E-3</v>
      </c>
      <c r="K22" s="20">
        <v>7</v>
      </c>
      <c r="L22" s="98">
        <v>1E-4</v>
      </c>
      <c r="M22" s="99">
        <v>0.71150000000000002</v>
      </c>
      <c r="N22" s="100">
        <v>1.8029999999999999E-4</v>
      </c>
      <c r="O22" s="101">
        <f t="shared" si="5"/>
        <v>0</v>
      </c>
    </row>
    <row r="23" spans="1:15" x14ac:dyDescent="0.2">
      <c r="A23" s="106"/>
      <c r="B23" s="4"/>
      <c r="C23" s="4"/>
      <c r="D23" s="4"/>
      <c r="E23" s="107"/>
      <c r="K23" s="106"/>
      <c r="L23" s="4"/>
      <c r="M23" s="4"/>
      <c r="N23" s="4"/>
      <c r="O23" s="107"/>
    </row>
    <row r="24" spans="1:15" x14ac:dyDescent="0.2">
      <c r="A24" s="110" t="s">
        <v>13</v>
      </c>
      <c r="B24" s="111">
        <f>SUM(E16:E22)</f>
        <v>0.95684312497360902</v>
      </c>
      <c r="C24" s="4"/>
      <c r="D24" s="4"/>
      <c r="E24" s="107"/>
      <c r="F24" s="2" t="s">
        <v>13</v>
      </c>
      <c r="G24" s="3">
        <f>SUM(J16:J22)</f>
        <v>0.80547467457709543</v>
      </c>
      <c r="K24" s="110" t="s">
        <v>13</v>
      </c>
      <c r="L24" s="111">
        <f>SUM(O16:O22)</f>
        <v>0.70628330239457426</v>
      </c>
      <c r="M24" s="4"/>
      <c r="N24" s="4"/>
      <c r="O24" s="107"/>
    </row>
    <row r="25" spans="1:15" x14ac:dyDescent="0.2">
      <c r="A25" s="106"/>
      <c r="B25" s="4"/>
      <c r="C25" s="4"/>
      <c r="D25" s="4"/>
      <c r="E25" s="107"/>
      <c r="K25" s="106"/>
      <c r="L25" s="4"/>
      <c r="M25" s="4"/>
      <c r="N25" s="4"/>
      <c r="O25" s="107"/>
    </row>
    <row r="26" spans="1:15" ht="17" thickBot="1" x14ac:dyDescent="0.25">
      <c r="A26" s="106"/>
      <c r="B26" s="4"/>
      <c r="C26" s="4"/>
      <c r="D26" s="4"/>
      <c r="E26" s="107"/>
      <c r="K26" s="106"/>
      <c r="L26" s="4"/>
      <c r="M26" s="4"/>
      <c r="N26" s="4"/>
      <c r="O26" s="107"/>
    </row>
    <row r="27" spans="1:15" ht="17" thickBot="1" x14ac:dyDescent="0.25">
      <c r="A27" s="192" t="s">
        <v>14</v>
      </c>
      <c r="B27" s="193"/>
      <c r="C27" s="193"/>
      <c r="D27" s="193"/>
      <c r="E27" s="194"/>
      <c r="F27" s="193" t="s">
        <v>14</v>
      </c>
      <c r="G27" s="193"/>
      <c r="H27" s="193"/>
      <c r="I27" s="193"/>
      <c r="J27" s="194"/>
      <c r="K27" s="192" t="s">
        <v>14</v>
      </c>
      <c r="L27" s="193"/>
      <c r="M27" s="193"/>
      <c r="N27" s="193"/>
      <c r="O27" s="194"/>
    </row>
    <row r="28" spans="1:15" x14ac:dyDescent="0.2">
      <c r="A28" s="20"/>
      <c r="B28" s="7"/>
      <c r="C28" s="7"/>
      <c r="D28" s="7"/>
      <c r="E28" s="21"/>
      <c r="F28" s="7"/>
      <c r="G28" s="7"/>
      <c r="H28" s="7"/>
      <c r="I28" s="7"/>
      <c r="J28" s="7"/>
      <c r="K28" s="20"/>
      <c r="L28" s="7"/>
      <c r="M28" s="7"/>
      <c r="N28" s="7"/>
      <c r="O28" s="21"/>
    </row>
    <row r="29" spans="1:15" x14ac:dyDescent="0.2">
      <c r="A29" s="106"/>
      <c r="B29" s="102" t="s">
        <v>9</v>
      </c>
      <c r="C29" s="104" t="s">
        <v>10</v>
      </c>
      <c r="D29" s="4"/>
      <c r="E29" s="107"/>
      <c r="G29" s="102" t="s">
        <v>9</v>
      </c>
      <c r="H29" s="104" t="s">
        <v>10</v>
      </c>
      <c r="K29" s="106"/>
      <c r="L29" s="102" t="s">
        <v>9</v>
      </c>
      <c r="M29" s="104" t="s">
        <v>10</v>
      </c>
      <c r="N29" s="4"/>
      <c r="O29" s="107"/>
    </row>
    <row r="30" spans="1:15" x14ac:dyDescent="0.2">
      <c r="A30" s="20" t="s">
        <v>77</v>
      </c>
      <c r="B30" s="46">
        <v>3.9449999999999999E-2</v>
      </c>
      <c r="C30" s="46">
        <v>-3.0689999999999999E-2</v>
      </c>
      <c r="D30" s="4"/>
      <c r="E30" s="107"/>
      <c r="F30" s="1" t="s">
        <v>77</v>
      </c>
      <c r="G30" s="46">
        <v>1.8329999999999999E-2</v>
      </c>
      <c r="H30" s="46">
        <v>-1.481E-2</v>
      </c>
      <c r="K30" s="20" t="s">
        <v>77</v>
      </c>
      <c r="L30" s="46">
        <v>9.5080000000000008E-3</v>
      </c>
      <c r="M30" s="46">
        <v>-7.8209999999999998E-3</v>
      </c>
      <c r="N30" s="4"/>
      <c r="O30" s="107"/>
    </row>
    <row r="31" spans="1:15" x14ac:dyDescent="0.2">
      <c r="A31" s="20" t="s">
        <v>78</v>
      </c>
      <c r="B31" s="47">
        <v>1.0489999999999999</v>
      </c>
      <c r="C31" s="47">
        <v>0.24940000000000001</v>
      </c>
      <c r="D31" s="4"/>
      <c r="E31" s="107"/>
      <c r="F31" s="1" t="s">
        <v>78</v>
      </c>
      <c r="G31" s="47">
        <v>0.82369999999999999</v>
      </c>
      <c r="H31" s="47">
        <v>4.0820000000000002E-2</v>
      </c>
      <c r="K31" s="20" t="s">
        <v>78</v>
      </c>
      <c r="L31" s="47">
        <v>0.41749999999999998</v>
      </c>
      <c r="M31" s="47">
        <v>3.1640000000000001E-2</v>
      </c>
      <c r="N31" s="4"/>
      <c r="O31" s="107"/>
    </row>
    <row r="32" spans="1:15" x14ac:dyDescent="0.2">
      <c r="A32" s="20" t="s">
        <v>79</v>
      </c>
      <c r="B32" s="48">
        <v>-0.73260000000000003</v>
      </c>
      <c r="C32" s="48">
        <v>1.1160000000000001</v>
      </c>
      <c r="D32" s="4"/>
      <c r="E32" s="107"/>
      <c r="F32" s="1" t="s">
        <v>79</v>
      </c>
      <c r="G32" s="48">
        <v>-0.7208</v>
      </c>
      <c r="H32" s="48">
        <v>1.2789999999999999</v>
      </c>
      <c r="K32" s="20" t="s">
        <v>79</v>
      </c>
      <c r="L32" s="48">
        <v>-3.7499999999999999E-2</v>
      </c>
      <c r="M32" s="48">
        <v>1.079</v>
      </c>
      <c r="N32" s="4"/>
      <c r="O32" s="107"/>
    </row>
    <row r="33" spans="1:15" x14ac:dyDescent="0.2">
      <c r="A33" s="106"/>
      <c r="B33" s="4"/>
      <c r="C33" s="4"/>
      <c r="D33" s="4"/>
      <c r="E33" s="107"/>
      <c r="K33" s="106"/>
      <c r="L33" s="4"/>
      <c r="M33" s="4"/>
      <c r="N33" s="4"/>
      <c r="O33" s="107"/>
    </row>
    <row r="34" spans="1:15" x14ac:dyDescent="0.2">
      <c r="A34" s="106"/>
      <c r="B34" s="4"/>
      <c r="C34" s="4"/>
      <c r="D34" s="4"/>
      <c r="E34" s="107"/>
      <c r="K34" s="106"/>
      <c r="L34" s="4"/>
      <c r="M34" s="4"/>
      <c r="N34" s="4"/>
      <c r="O34" s="107"/>
    </row>
    <row r="35" spans="1:15" x14ac:dyDescent="0.2">
      <c r="A35" s="110" t="s">
        <v>17</v>
      </c>
      <c r="B35" s="7">
        <f>B30*T_star+C30</f>
        <v>-9.1805515054318512E-3</v>
      </c>
      <c r="C35" s="4"/>
      <c r="D35" s="4"/>
      <c r="E35" s="107"/>
      <c r="F35" s="2" t="s">
        <v>17</v>
      </c>
      <c r="G35" s="1">
        <f>G30*T_star+H30</f>
        <v>-4.8158760226759412E-3</v>
      </c>
      <c r="K35" s="110" t="s">
        <v>17</v>
      </c>
      <c r="L35" s="7">
        <f>L30*T_star+M30</f>
        <v>-2.6369230345664393E-3</v>
      </c>
      <c r="M35" s="4"/>
      <c r="N35" s="4"/>
      <c r="O35" s="107"/>
    </row>
    <row r="36" spans="1:15" x14ac:dyDescent="0.2">
      <c r="A36" s="110" t="s">
        <v>16</v>
      </c>
      <c r="B36" s="7">
        <f>B31*T_star+C31</f>
        <v>0.8213495936831936</v>
      </c>
      <c r="C36" s="4"/>
      <c r="D36" s="4"/>
      <c r="E36" s="107"/>
      <c r="F36" s="2" t="s">
        <v>16</v>
      </c>
      <c r="G36" s="1">
        <f>G31*T_star+H31</f>
        <v>0.48992856083588804</v>
      </c>
      <c r="K36" s="110" t="s">
        <v>16</v>
      </c>
      <c r="L36" s="7">
        <f>L31*T_star+M31</f>
        <v>0.25927484781957422</v>
      </c>
      <c r="M36" s="4"/>
      <c r="N36" s="4"/>
      <c r="O36" s="107"/>
    </row>
    <row r="37" spans="1:15" x14ac:dyDescent="0.2">
      <c r="A37" s="110" t="s">
        <v>15</v>
      </c>
      <c r="B37" s="7">
        <f>B32*T_star+C32</f>
        <v>0.71656218080809575</v>
      </c>
      <c r="C37" s="4"/>
      <c r="D37" s="4"/>
      <c r="E37" s="107"/>
      <c r="F37" s="2" t="s">
        <v>15</v>
      </c>
      <c r="G37" s="1">
        <f>G32*T_star+H32</f>
        <v>0.88599593219557105</v>
      </c>
      <c r="K37" s="110" t="s">
        <v>15</v>
      </c>
      <c r="L37" s="7">
        <f>L32*T_star+M32</f>
        <v>1.0585537561838705</v>
      </c>
      <c r="M37" s="4"/>
      <c r="N37" s="4"/>
      <c r="O37" s="107"/>
    </row>
    <row r="38" spans="1:15" x14ac:dyDescent="0.2">
      <c r="A38" s="106"/>
      <c r="B38" s="4"/>
      <c r="C38" s="4"/>
      <c r="D38" s="4"/>
      <c r="E38" s="107"/>
      <c r="K38" s="106"/>
      <c r="L38" s="4"/>
      <c r="M38" s="4"/>
      <c r="N38" s="4"/>
      <c r="O38" s="107"/>
    </row>
    <row r="39" spans="1:15" ht="17" thickBot="1" x14ac:dyDescent="0.25">
      <c r="A39" s="106"/>
      <c r="B39" s="4"/>
      <c r="C39" s="4"/>
      <c r="D39" s="4"/>
      <c r="E39" s="107"/>
      <c r="K39" s="106"/>
      <c r="L39" s="4"/>
      <c r="M39" s="4"/>
      <c r="N39" s="4"/>
      <c r="O39" s="107"/>
    </row>
    <row r="40" spans="1:15" ht="17" thickBot="1" x14ac:dyDescent="0.25">
      <c r="A40" s="192" t="s">
        <v>18</v>
      </c>
      <c r="B40" s="193"/>
      <c r="C40" s="193"/>
      <c r="D40" s="193"/>
      <c r="E40" s="194"/>
      <c r="F40" s="193" t="s">
        <v>18</v>
      </c>
      <c r="G40" s="193"/>
      <c r="H40" s="193"/>
      <c r="I40" s="193"/>
      <c r="J40" s="194"/>
      <c r="K40" s="192" t="s">
        <v>18</v>
      </c>
      <c r="L40" s="193"/>
      <c r="M40" s="193"/>
      <c r="N40" s="193"/>
      <c r="O40" s="194"/>
    </row>
    <row r="41" spans="1:15" x14ac:dyDescent="0.2">
      <c r="A41" s="106"/>
      <c r="B41" s="4"/>
      <c r="C41" s="4"/>
      <c r="D41" s="4"/>
      <c r="E41" s="107"/>
      <c r="K41" s="106"/>
      <c r="L41" s="4"/>
      <c r="M41" s="4"/>
      <c r="N41" s="4"/>
      <c r="O41" s="107"/>
    </row>
    <row r="42" spans="1:15" x14ac:dyDescent="0.2">
      <c r="A42" s="106"/>
      <c r="B42" s="102" t="s">
        <v>9</v>
      </c>
      <c r="C42" s="103" t="s">
        <v>10</v>
      </c>
      <c r="D42" s="103" t="s">
        <v>11</v>
      </c>
      <c r="E42" s="112" t="s">
        <v>80</v>
      </c>
      <c r="G42" s="102" t="s">
        <v>9</v>
      </c>
      <c r="H42" s="103" t="s">
        <v>10</v>
      </c>
      <c r="I42" s="103" t="s">
        <v>11</v>
      </c>
      <c r="J42" s="104" t="s">
        <v>80</v>
      </c>
      <c r="K42" s="106"/>
      <c r="L42" s="102" t="s">
        <v>9</v>
      </c>
      <c r="M42" s="103" t="s">
        <v>10</v>
      </c>
      <c r="N42" s="103" t="s">
        <v>11</v>
      </c>
      <c r="O42" s="112" t="s">
        <v>80</v>
      </c>
    </row>
    <row r="43" spans="1:15" x14ac:dyDescent="0.2">
      <c r="A43" s="106"/>
      <c r="B43" s="93">
        <v>-5.0750000000000002</v>
      </c>
      <c r="C43" s="94">
        <v>7.1120000000000001</v>
      </c>
      <c r="D43" s="94">
        <v>-1.5720000000000001</v>
      </c>
      <c r="E43" s="113">
        <v>0.10489999999999999</v>
      </c>
      <c r="G43" s="93">
        <v>-2.0990000000000002</v>
      </c>
      <c r="H43" s="94">
        <v>3.1819999999999999</v>
      </c>
      <c r="I43" s="94">
        <v>-0.69889999999999997</v>
      </c>
      <c r="J43" s="95">
        <v>4.8099999999999997E-2</v>
      </c>
      <c r="K43" s="106"/>
      <c r="L43" s="93">
        <v>-0.38200000000000001</v>
      </c>
      <c r="M43" s="94">
        <v>0.63339999999999996</v>
      </c>
      <c r="N43" s="94">
        <v>-5.0999999999999997E-2</v>
      </c>
      <c r="O43" s="113">
        <v>2E-3</v>
      </c>
    </row>
    <row r="44" spans="1:15" x14ac:dyDescent="0.2">
      <c r="A44" s="106"/>
      <c r="B44" s="98">
        <v>16.16</v>
      </c>
      <c r="C44" s="99">
        <v>-26.5</v>
      </c>
      <c r="D44" s="99">
        <v>10.92</v>
      </c>
      <c r="E44" s="114">
        <v>1.0549999999999999</v>
      </c>
      <c r="G44" s="98">
        <v>8.4169999999999998</v>
      </c>
      <c r="H44" s="99">
        <v>-14.51</v>
      </c>
      <c r="I44" s="99">
        <v>6.75</v>
      </c>
      <c r="J44" s="100">
        <v>0.90610000000000002</v>
      </c>
      <c r="K44" s="106"/>
      <c r="L44" s="98">
        <v>-2.7E-2</v>
      </c>
      <c r="M44" s="99">
        <v>-1.8</v>
      </c>
      <c r="N44" s="99">
        <v>2.036</v>
      </c>
      <c r="O44" s="114">
        <v>1.0669999999999999</v>
      </c>
    </row>
    <row r="45" spans="1:15" x14ac:dyDescent="0.2">
      <c r="A45" s="106"/>
      <c r="B45" s="4"/>
      <c r="C45" s="4"/>
      <c r="D45" s="4"/>
      <c r="E45" s="107"/>
      <c r="K45" s="106"/>
      <c r="L45" s="4"/>
      <c r="M45" s="4"/>
      <c r="N45" s="4"/>
      <c r="O45" s="107"/>
    </row>
    <row r="46" spans="1:15" x14ac:dyDescent="0.2">
      <c r="A46" s="110" t="s">
        <v>20</v>
      </c>
      <c r="B46" s="4">
        <f>B43*T_star^3+C43*T_star^2+D43*T_star+E43</f>
        <v>0.53945427756652964</v>
      </c>
      <c r="C46" s="4"/>
      <c r="D46" s="4"/>
      <c r="E46" s="107"/>
      <c r="F46" s="2" t="s">
        <v>20</v>
      </c>
      <c r="G46">
        <f>G43*T_star^3+H43*T_star^2+I43*T_star+J43</f>
        <v>0.27275944741463209</v>
      </c>
      <c r="K46" s="110" t="s">
        <v>20</v>
      </c>
      <c r="L46" s="4">
        <f>L43*T_star^3+M43*T_star^2+N43*T_star+O43</f>
        <v>0.10057272166496327</v>
      </c>
      <c r="M46" s="4"/>
      <c r="N46" s="4"/>
      <c r="O46" s="107"/>
    </row>
    <row r="47" spans="1:15" x14ac:dyDescent="0.2">
      <c r="A47" s="110" t="s">
        <v>21</v>
      </c>
      <c r="B47" s="4">
        <f>B44*T_star^3+C44*T_star^2+D44*T_star+E44</f>
        <v>1.750364777326672</v>
      </c>
      <c r="C47" s="4"/>
      <c r="D47" s="4"/>
      <c r="E47" s="107"/>
      <c r="F47" s="2" t="s">
        <v>21</v>
      </c>
      <c r="G47">
        <f>G44*T_star^3+H44*T_star^2+I44*T_star+J44</f>
        <v>1.6371845191770329</v>
      </c>
      <c r="K47" s="110" t="s">
        <v>21</v>
      </c>
      <c r="L47" s="4">
        <f>L44*T_star^3+M44*T_star^2+N44*T_star+O44</f>
        <v>1.6376158215218126</v>
      </c>
      <c r="M47" s="4"/>
      <c r="N47" s="4"/>
      <c r="O47" s="107"/>
    </row>
    <row r="48" spans="1:15" x14ac:dyDescent="0.2">
      <c r="A48" s="106"/>
      <c r="B48" s="4"/>
      <c r="C48" s="4"/>
      <c r="D48" s="4"/>
      <c r="E48" s="107"/>
      <c r="K48" s="106"/>
      <c r="L48" s="4"/>
      <c r="M48" s="4"/>
      <c r="N48" s="4"/>
      <c r="O48" s="107"/>
    </row>
    <row r="49" spans="1:15" ht="17" thickBot="1" x14ac:dyDescent="0.25">
      <c r="A49" s="106"/>
      <c r="B49" s="4"/>
      <c r="C49" s="4"/>
      <c r="D49" s="4"/>
      <c r="E49" s="107"/>
      <c r="K49" s="106"/>
      <c r="L49" s="4"/>
      <c r="M49" s="4"/>
      <c r="N49" s="4"/>
      <c r="O49" s="107"/>
    </row>
    <row r="50" spans="1:15" ht="17" thickBot="1" x14ac:dyDescent="0.25">
      <c r="A50" s="192" t="s">
        <v>22</v>
      </c>
      <c r="B50" s="193"/>
      <c r="C50" s="193"/>
      <c r="D50" s="193"/>
      <c r="E50" s="194"/>
      <c r="F50" s="192" t="s">
        <v>22</v>
      </c>
      <c r="G50" s="193"/>
      <c r="H50" s="193"/>
      <c r="I50" s="193"/>
      <c r="J50" s="194"/>
      <c r="K50" s="192" t="s">
        <v>22</v>
      </c>
      <c r="L50" s="193"/>
      <c r="M50" s="193"/>
      <c r="N50" s="193"/>
      <c r="O50" s="194"/>
    </row>
    <row r="51" spans="1:15" x14ac:dyDescent="0.2">
      <c r="A51" s="106"/>
      <c r="B51" s="4"/>
      <c r="C51" s="4"/>
      <c r="D51" s="4"/>
      <c r="E51" s="107"/>
      <c r="F51" s="106"/>
      <c r="G51" s="4"/>
      <c r="H51" s="4"/>
      <c r="I51" s="4"/>
      <c r="J51" s="107"/>
      <c r="K51" s="106"/>
      <c r="L51" s="4"/>
      <c r="M51" s="4"/>
      <c r="N51" s="4"/>
      <c r="O51" s="107"/>
    </row>
    <row r="52" spans="1:15" x14ac:dyDescent="0.2">
      <c r="A52" s="106"/>
      <c r="B52" s="102" t="s">
        <v>9</v>
      </c>
      <c r="C52" s="103" t="s">
        <v>10</v>
      </c>
      <c r="D52" s="103" t="s">
        <v>11</v>
      </c>
      <c r="E52" s="112" t="s">
        <v>80</v>
      </c>
      <c r="F52" s="106"/>
      <c r="G52" s="102" t="s">
        <v>9</v>
      </c>
      <c r="H52" s="103" t="s">
        <v>10</v>
      </c>
      <c r="I52" s="103" t="s">
        <v>11</v>
      </c>
      <c r="J52" s="112" t="s">
        <v>80</v>
      </c>
      <c r="K52" s="106"/>
      <c r="L52" s="102" t="s">
        <v>9</v>
      </c>
      <c r="M52" s="103" t="s">
        <v>10</v>
      </c>
      <c r="N52" s="103" t="s">
        <v>11</v>
      </c>
      <c r="O52" s="112" t="s">
        <v>80</v>
      </c>
    </row>
    <row r="53" spans="1:15" x14ac:dyDescent="0.2">
      <c r="A53" s="106"/>
      <c r="B53" s="93">
        <v>-1.5640000000000001</v>
      </c>
      <c r="C53" s="94">
        <v>2.1930000000000001</v>
      </c>
      <c r="D53" s="94">
        <v>-0.35199999999999998</v>
      </c>
      <c r="E53" s="113">
        <v>1.49E-2</v>
      </c>
      <c r="F53" s="106"/>
      <c r="G53" s="93">
        <v>-0.59540000000000004</v>
      </c>
      <c r="H53" s="94">
        <v>0.81699999999999995</v>
      </c>
      <c r="I53" s="94">
        <v>-9.1910000000000006E-2</v>
      </c>
      <c r="J53" s="113">
        <v>1.8190000000000001E-3</v>
      </c>
      <c r="K53" s="106"/>
      <c r="L53" s="93">
        <v>-6.6930000000000003E-2</v>
      </c>
      <c r="M53" s="94">
        <v>0.14180000000000001</v>
      </c>
      <c r="N53" s="94">
        <v>1.24E-2</v>
      </c>
      <c r="O53" s="113">
        <v>-2.0119999999999999E-3</v>
      </c>
    </row>
    <row r="54" spans="1:15" x14ac:dyDescent="0.2">
      <c r="A54" s="106"/>
      <c r="B54" s="98">
        <v>1.756</v>
      </c>
      <c r="C54" s="99">
        <v>-8.7189999999999994</v>
      </c>
      <c r="D54" s="99">
        <v>8.2850000000000001</v>
      </c>
      <c r="E54" s="114">
        <v>1.198</v>
      </c>
      <c r="F54" s="106"/>
      <c r="G54" s="98">
        <v>0.73150000000000004</v>
      </c>
      <c r="H54" s="99">
        <v>-3.7029999999999998</v>
      </c>
      <c r="I54" s="99">
        <v>4.391</v>
      </c>
      <c r="J54" s="114">
        <v>1.1160000000000001</v>
      </c>
      <c r="K54" s="106"/>
      <c r="L54" s="98">
        <v>-0.40799999999999997</v>
      </c>
      <c r="M54" s="99">
        <v>-1.333</v>
      </c>
      <c r="N54" s="99">
        <v>2.5209999999999999</v>
      </c>
      <c r="O54" s="114">
        <v>1.0580000000000001</v>
      </c>
    </row>
    <row r="55" spans="1:15" x14ac:dyDescent="0.2">
      <c r="A55" s="106"/>
      <c r="B55" s="4"/>
      <c r="C55" s="4"/>
      <c r="D55" s="4"/>
      <c r="E55" s="107"/>
      <c r="F55" s="106"/>
      <c r="G55" s="4"/>
      <c r="H55" s="4"/>
      <c r="I55" s="4"/>
      <c r="J55" s="107"/>
      <c r="K55" s="106"/>
      <c r="L55" s="4"/>
      <c r="M55" s="4"/>
      <c r="N55" s="4"/>
      <c r="O55" s="107"/>
    </row>
    <row r="56" spans="1:15" x14ac:dyDescent="0.2">
      <c r="A56" s="110" t="s">
        <v>23</v>
      </c>
      <c r="B56" s="4">
        <f>B53*T_star^3+C53*T_star^2+D53*T_star+E53</f>
        <v>0.22140796606161681</v>
      </c>
      <c r="C56" s="4"/>
      <c r="D56" s="4"/>
      <c r="E56" s="107"/>
      <c r="F56" s="110" t="s">
        <v>23</v>
      </c>
      <c r="G56" s="4">
        <f>G53*T_star^3+H53*T_star^2+I53*T_star+J53</f>
        <v>9.8077439540988701E-2</v>
      </c>
      <c r="H56" s="4"/>
      <c r="I56" s="4"/>
      <c r="J56" s="107"/>
      <c r="K56" s="110" t="s">
        <v>23</v>
      </c>
      <c r="L56" s="4">
        <f>L53*T_star^3+M53*T_star^2+N53*T_star+O53</f>
        <v>3.605463457167251E-2</v>
      </c>
      <c r="M56" s="4"/>
      <c r="N56" s="4"/>
      <c r="O56" s="107"/>
    </row>
    <row r="57" spans="1:15" ht="17" thickBot="1" x14ac:dyDescent="0.25">
      <c r="A57" s="115" t="s">
        <v>24</v>
      </c>
      <c r="B57" s="116">
        <f>B54*T_star^3+C54*T_star^2+D54*T_star+E54</f>
        <v>3.4079032529881865</v>
      </c>
      <c r="C57" s="116"/>
      <c r="D57" s="116"/>
      <c r="E57" s="117"/>
      <c r="F57" s="115" t="s">
        <v>24</v>
      </c>
      <c r="G57" s="116">
        <f>G54*T_star^3+H54*T_star^2+I54*T_star+J54</f>
        <v>2.5278601988985714</v>
      </c>
      <c r="H57" s="116"/>
      <c r="I57" s="116"/>
      <c r="J57" s="117"/>
      <c r="K57" s="115" t="s">
        <v>24</v>
      </c>
      <c r="L57" s="116">
        <f>L54*T_star^3+M54*T_star^2+N54*T_star+O54</f>
        <v>1.9701283477458458</v>
      </c>
      <c r="M57" s="116"/>
      <c r="N57" s="116"/>
      <c r="O57" s="117"/>
    </row>
  </sheetData>
  <sheetProtection password="C62A" sheet="1" objects="1" scenarios="1"/>
  <mergeCells count="15">
    <mergeCell ref="K1:O1"/>
    <mergeCell ref="K2:O2"/>
    <mergeCell ref="K27:O27"/>
    <mergeCell ref="K40:O40"/>
    <mergeCell ref="K50:O50"/>
    <mergeCell ref="A1:E1"/>
    <mergeCell ref="F1:J1"/>
    <mergeCell ref="F2:J2"/>
    <mergeCell ref="F27:J27"/>
    <mergeCell ref="F40:J40"/>
    <mergeCell ref="F50:J50"/>
    <mergeCell ref="A2:E2"/>
    <mergeCell ref="A27:E27"/>
    <mergeCell ref="A40:E40"/>
    <mergeCell ref="A50:E5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6"/>
  <sheetViews>
    <sheetView topLeftCell="D21" workbookViewId="0">
      <selection activeCell="T46" sqref="T46"/>
    </sheetView>
  </sheetViews>
  <sheetFormatPr baseColWidth="10" defaultRowHeight="16" x14ac:dyDescent="0.2"/>
  <cols>
    <col min="5" max="6" width="12.1640625" customWidth="1"/>
  </cols>
  <sheetData>
    <row r="1" spans="1:26" x14ac:dyDescent="0.2">
      <c r="K1" s="204" t="s">
        <v>98</v>
      </c>
      <c r="L1" s="204"/>
      <c r="M1" s="204"/>
      <c r="O1" s="204" t="s">
        <v>88</v>
      </c>
      <c r="P1" s="204"/>
      <c r="Q1" s="204"/>
      <c r="T1" s="204" t="s">
        <v>89</v>
      </c>
      <c r="U1" s="204"/>
      <c r="V1" s="204"/>
    </row>
    <row r="2" spans="1:26" x14ac:dyDescent="0.2">
      <c r="G2" s="125" t="s">
        <v>85</v>
      </c>
      <c r="H2" s="126" t="s">
        <v>86</v>
      </c>
      <c r="I2" s="127" t="s">
        <v>87</v>
      </c>
      <c r="J2" s="150"/>
      <c r="K2" s="125" t="s">
        <v>85</v>
      </c>
      <c r="L2" s="126" t="s">
        <v>86</v>
      </c>
      <c r="M2" s="127" t="s">
        <v>87</v>
      </c>
      <c r="O2" s="125" t="s">
        <v>85</v>
      </c>
      <c r="P2" s="126" t="s">
        <v>86</v>
      </c>
      <c r="Q2" s="127" t="s">
        <v>87</v>
      </c>
      <c r="T2" s="125" t="s">
        <v>85</v>
      </c>
      <c r="U2" s="126" t="s">
        <v>86</v>
      </c>
      <c r="V2" s="127" t="s">
        <v>87</v>
      </c>
    </row>
    <row r="3" spans="1:26" ht="18" x14ac:dyDescent="0.25">
      <c r="A3" s="198" t="s">
        <v>84</v>
      </c>
      <c r="B3" s="199"/>
      <c r="C3" s="199"/>
      <c r="D3" s="200"/>
      <c r="F3" s="90" t="s">
        <v>27</v>
      </c>
      <c r="G3" s="201" t="s">
        <v>25</v>
      </c>
      <c r="H3" s="202"/>
      <c r="I3" s="203"/>
      <c r="J3" s="151"/>
      <c r="K3" s="201" t="s">
        <v>25</v>
      </c>
      <c r="L3" s="202"/>
      <c r="M3" s="203"/>
      <c r="O3" s="201" t="s">
        <v>25</v>
      </c>
      <c r="P3" s="202"/>
      <c r="Q3" s="203"/>
      <c r="S3" s="132" t="s">
        <v>91</v>
      </c>
      <c r="T3" s="201" t="s">
        <v>93</v>
      </c>
      <c r="U3" s="202"/>
      <c r="V3" s="203"/>
    </row>
    <row r="4" spans="1:26" x14ac:dyDescent="0.2">
      <c r="A4" s="61"/>
      <c r="B4" s="140"/>
      <c r="C4" s="140"/>
      <c r="D4" s="64"/>
      <c r="E4" s="208" t="s">
        <v>26</v>
      </c>
      <c r="F4" s="93">
        <v>0</v>
      </c>
      <c r="G4" s="93">
        <v>0</v>
      </c>
      <c r="H4" s="94">
        <v>0</v>
      </c>
      <c r="I4" s="95">
        <v>0</v>
      </c>
      <c r="J4" s="7"/>
      <c r="K4" s="93">
        <v>0</v>
      </c>
      <c r="L4" s="94">
        <v>0</v>
      </c>
      <c r="M4" s="95">
        <v>0</v>
      </c>
      <c r="O4" s="93">
        <v>0</v>
      </c>
      <c r="P4" s="94">
        <v>0</v>
      </c>
      <c r="Q4" s="95">
        <v>0</v>
      </c>
      <c r="S4" s="142">
        <f t="shared" ref="S4:S46" si="0">F4*Gamma*Delta_ystar</f>
        <v>0</v>
      </c>
      <c r="T4" s="128">
        <f t="shared" ref="T4:V5" si="1">G4*Gamma*Sa_y</f>
        <v>0</v>
      </c>
      <c r="U4" s="120">
        <f t="shared" si="1"/>
        <v>0</v>
      </c>
      <c r="V4" s="121">
        <f t="shared" si="1"/>
        <v>0</v>
      </c>
    </row>
    <row r="5" spans="1:26" x14ac:dyDescent="0.2">
      <c r="A5" s="70"/>
      <c r="B5" s="138"/>
      <c r="C5" s="138"/>
      <c r="D5" s="73"/>
      <c r="E5" s="209"/>
      <c r="F5" s="98">
        <v>1</v>
      </c>
      <c r="G5" s="98">
        <v>1</v>
      </c>
      <c r="H5" s="99">
        <v>1</v>
      </c>
      <c r="I5" s="100">
        <v>1</v>
      </c>
      <c r="J5" s="7"/>
      <c r="K5" s="98">
        <v>1</v>
      </c>
      <c r="L5" s="141">
        <v>1</v>
      </c>
      <c r="M5" s="100">
        <v>1</v>
      </c>
      <c r="O5" s="96">
        <v>1</v>
      </c>
      <c r="P5" s="7">
        <v>1</v>
      </c>
      <c r="Q5" s="97">
        <v>1</v>
      </c>
      <c r="S5" s="143">
        <f t="shared" si="0"/>
        <v>0.04</v>
      </c>
      <c r="T5" s="129">
        <f t="shared" si="1"/>
        <v>0.7645548011893758</v>
      </c>
      <c r="U5" s="10">
        <f t="shared" si="1"/>
        <v>0.7645548011893758</v>
      </c>
      <c r="V5" s="122">
        <f t="shared" si="1"/>
        <v>0.7645548011893758</v>
      </c>
    </row>
    <row r="6" spans="1:26" x14ac:dyDescent="0.2">
      <c r="A6" s="61"/>
      <c r="B6" s="134" t="s">
        <v>85</v>
      </c>
      <c r="C6" s="134" t="s">
        <v>86</v>
      </c>
      <c r="D6" s="135" t="s">
        <v>87</v>
      </c>
      <c r="E6" s="208" t="s">
        <v>3</v>
      </c>
      <c r="F6" s="128">
        <v>1</v>
      </c>
      <c r="G6" s="129">
        <f>B$7*POWER($F6,B$8)</f>
        <v>1.2766445000896012</v>
      </c>
      <c r="H6" s="10">
        <f t="shared" ref="H6:I6" si="2">C$7*POWER($F6,C$8)</f>
        <v>1.0237971401739179</v>
      </c>
      <c r="I6" s="122">
        <f t="shared" si="2"/>
        <v>0.94132824409861193</v>
      </c>
      <c r="J6" s="10"/>
      <c r="K6" s="128">
        <f>G6</f>
        <v>1.2766445000896012</v>
      </c>
      <c r="L6" s="120">
        <f t="shared" ref="L6:M6" si="3">H6</f>
        <v>1.0237971401739179</v>
      </c>
      <c r="M6" s="121">
        <f t="shared" si="3"/>
        <v>0.94132824409861193</v>
      </c>
      <c r="O6" s="128">
        <f>K6-(K$6-O$5)</f>
        <v>1</v>
      </c>
      <c r="P6" s="120">
        <f>L6-(L$6-P$5)</f>
        <v>1</v>
      </c>
      <c r="Q6" s="121">
        <f>M6-(M$6-Q$5)</f>
        <v>1</v>
      </c>
      <c r="R6" s="25"/>
      <c r="S6" s="142">
        <f t="shared" si="0"/>
        <v>0.04</v>
      </c>
      <c r="T6" s="128">
        <f t="shared" ref="T6:T46" si="4">O6*Gamma*Sa_y</f>
        <v>0.7645548011893758</v>
      </c>
      <c r="U6" s="120">
        <f t="shared" ref="U6:U46" si="5">P6*Gamma*Sa_y</f>
        <v>0.7645548011893758</v>
      </c>
      <c r="V6" s="121">
        <f t="shared" ref="V6:V46" si="6">Q6*Gamma*Sa_y</f>
        <v>0.7645548011893758</v>
      </c>
      <c r="X6" s="25"/>
      <c r="Y6" s="25"/>
      <c r="Z6" s="25"/>
    </row>
    <row r="7" spans="1:26" x14ac:dyDescent="0.2">
      <c r="A7" s="65" t="s">
        <v>8</v>
      </c>
      <c r="B7" s="136">
        <f>'Coefficients (Sa(T1))'!B13</f>
        <v>1.2766445000896012</v>
      </c>
      <c r="C7" s="136">
        <f>'Coefficients (Sa(T1))'!G13</f>
        <v>1.0237971401739179</v>
      </c>
      <c r="D7" s="137">
        <f>'Coefficients (Sa(T1))'!L13</f>
        <v>0.94132824409861193</v>
      </c>
      <c r="E7" s="210"/>
      <c r="F7" s="129">
        <f t="shared" ref="F7:F14" si="7">F6+($F$15-$F$6)/9</f>
        <v>1.1666666666666667</v>
      </c>
      <c r="G7" s="129">
        <f t="shared" ref="G7:G15" si="8">B$7*POWER($F7,B$8)</f>
        <v>1.4795428718917325</v>
      </c>
      <c r="H7" s="10">
        <f t="shared" ref="H7:H15" si="9">C$7*POWER($F7,C$8)</f>
        <v>1.159145238759302</v>
      </c>
      <c r="I7" s="122">
        <f t="shared" ref="I7:I15" si="10">D$7*POWER($F7,D$8)</f>
        <v>1.0496016127583729</v>
      </c>
      <c r="J7" s="10"/>
      <c r="K7" s="129">
        <f>IF(G7&lt;K6,K6,G7)</f>
        <v>1.4795428718917325</v>
      </c>
      <c r="L7" s="10">
        <f t="shared" ref="L7:M21" si="11">IF(H7&lt;L6,L6,H7)</f>
        <v>1.159145238759302</v>
      </c>
      <c r="M7" s="122">
        <f t="shared" si="11"/>
        <v>1.0496016127583729</v>
      </c>
      <c r="O7" s="129">
        <f>K7-(K$6-O$5)</f>
        <v>1.2028983718021313</v>
      </c>
      <c r="P7" s="10">
        <f t="shared" ref="P7:Q7" si="12">L7-(L$6-P$5)</f>
        <v>1.1353480985853841</v>
      </c>
      <c r="Q7" s="122">
        <f t="shared" si="12"/>
        <v>1.108273368659761</v>
      </c>
      <c r="R7" s="25"/>
      <c r="S7" s="144">
        <f t="shared" si="0"/>
        <v>4.6666666666666662E-2</v>
      </c>
      <c r="T7" s="129">
        <f t="shared" si="4"/>
        <v>0.91968172550420235</v>
      </c>
      <c r="U7" s="10">
        <f t="shared" si="5"/>
        <v>0.86803583979468413</v>
      </c>
      <c r="V7" s="122">
        <f t="shared" si="6"/>
        <v>0.84733572503914334</v>
      </c>
      <c r="X7" s="25"/>
      <c r="Y7" s="25"/>
      <c r="Z7" s="25"/>
    </row>
    <row r="8" spans="1:26" x14ac:dyDescent="0.2">
      <c r="A8" s="65" t="s">
        <v>13</v>
      </c>
      <c r="B8" s="136">
        <f>'Coefficients (Sa(T1))'!B24</f>
        <v>0.95684312497360902</v>
      </c>
      <c r="C8" s="136">
        <f>'Coefficients (Sa(T1))'!G24</f>
        <v>0.80547467457709543</v>
      </c>
      <c r="D8" s="137">
        <f>'Coefficients (Sa(T1))'!L24</f>
        <v>0.70628330239457426</v>
      </c>
      <c r="E8" s="210"/>
      <c r="F8" s="129">
        <f t="shared" si="7"/>
        <v>1.3333333333333335</v>
      </c>
      <c r="G8" s="129">
        <f t="shared" si="8"/>
        <v>1.6811898129245997</v>
      </c>
      <c r="H8" s="10">
        <f t="shared" si="9"/>
        <v>1.2907701108227048</v>
      </c>
      <c r="I8" s="122">
        <f t="shared" si="10"/>
        <v>1.1534087272447657</v>
      </c>
      <c r="J8" s="10"/>
      <c r="K8" s="129">
        <f t="shared" ref="K8:K15" si="13">IF(G8&lt;K7,K7,G8)</f>
        <v>1.6811898129245997</v>
      </c>
      <c r="L8" s="10">
        <f t="shared" ref="L8:L15" si="14">IF(H8&lt;L7,L7,H8)</f>
        <v>1.2907701108227048</v>
      </c>
      <c r="M8" s="122">
        <f t="shared" ref="M8:M15" si="15">IF(I8&lt;M7,M7,I8)</f>
        <v>1.1534087272447657</v>
      </c>
      <c r="O8" s="129">
        <f>K8-(K$6-O$5)</f>
        <v>1.4045453128349985</v>
      </c>
      <c r="P8" s="10">
        <f t="shared" ref="P8:P15" si="16">L8-(L$6-P$5)</f>
        <v>1.2669729706487869</v>
      </c>
      <c r="Q8" s="122">
        <f t="shared" ref="Q8:Q15" si="17">M8-(M$6-Q$5)</f>
        <v>1.2120804831461538</v>
      </c>
      <c r="R8" s="25"/>
      <c r="S8" s="144">
        <f t="shared" si="0"/>
        <v>5.3333333333333337E-2</v>
      </c>
      <c r="T8" s="129">
        <f t="shared" si="4"/>
        <v>1.0738518624160318</v>
      </c>
      <c r="U8" s="10">
        <f t="shared" si="5"/>
        <v>0.96867026768669606</v>
      </c>
      <c r="V8" s="122">
        <f t="shared" si="6"/>
        <v>0.92670195281733014</v>
      </c>
      <c r="X8" s="25"/>
      <c r="Y8" s="25"/>
      <c r="Z8" s="25"/>
    </row>
    <row r="9" spans="1:26" x14ac:dyDescent="0.2">
      <c r="A9" s="69"/>
      <c r="B9" s="4"/>
      <c r="C9" s="4"/>
      <c r="D9" s="68"/>
      <c r="E9" s="210"/>
      <c r="F9" s="129">
        <f t="shared" si="7"/>
        <v>1.5000000000000002</v>
      </c>
      <c r="G9" s="129">
        <f t="shared" si="8"/>
        <v>1.8817489795217657</v>
      </c>
      <c r="H9" s="10">
        <f t="shared" si="9"/>
        <v>1.4192240487259677</v>
      </c>
      <c r="I9" s="122">
        <f t="shared" si="10"/>
        <v>1.2534626731830132</v>
      </c>
      <c r="J9" s="10"/>
      <c r="K9" s="129">
        <f t="shared" si="13"/>
        <v>1.8817489795217657</v>
      </c>
      <c r="L9" s="10">
        <f t="shared" si="14"/>
        <v>1.4192240487259677</v>
      </c>
      <c r="M9" s="122">
        <f t="shared" si="15"/>
        <v>1.2534626731830132</v>
      </c>
      <c r="O9" s="129">
        <f t="shared" ref="O9:O15" si="18">K9-(K$6-O$5)</f>
        <v>1.6051044794321645</v>
      </c>
      <c r="P9" s="10">
        <f t="shared" si="16"/>
        <v>1.3954269085520499</v>
      </c>
      <c r="Q9" s="122">
        <f t="shared" si="17"/>
        <v>1.3121344290844013</v>
      </c>
      <c r="R9" s="25"/>
      <c r="S9" s="144">
        <f t="shared" si="0"/>
        <v>6.0000000000000005E-2</v>
      </c>
      <c r="T9" s="129">
        <f t="shared" si="4"/>
        <v>1.227190336160435</v>
      </c>
      <c r="U9" s="10">
        <f t="shared" si="5"/>
        <v>1.0668803426423177</v>
      </c>
      <c r="V9" s="122">
        <f t="shared" si="6"/>
        <v>1.0031986775623594</v>
      </c>
      <c r="X9" s="25"/>
      <c r="Y9" s="25"/>
      <c r="Z9" s="25"/>
    </row>
    <row r="10" spans="1:26" x14ac:dyDescent="0.2">
      <c r="A10" s="69"/>
      <c r="B10" s="4"/>
      <c r="C10" s="4"/>
      <c r="D10" s="68"/>
      <c r="E10" s="210"/>
      <c r="F10" s="129">
        <f t="shared" si="7"/>
        <v>1.666666666666667</v>
      </c>
      <c r="G10" s="129">
        <f t="shared" si="8"/>
        <v>2.0813467032275894</v>
      </c>
      <c r="H10" s="10">
        <f t="shared" si="9"/>
        <v>1.5449252151762558</v>
      </c>
      <c r="I10" s="122">
        <f t="shared" si="10"/>
        <v>1.3502965473599615</v>
      </c>
      <c r="J10" s="10"/>
      <c r="K10" s="129">
        <f t="shared" si="13"/>
        <v>2.0813467032275894</v>
      </c>
      <c r="L10" s="10">
        <f t="shared" si="14"/>
        <v>1.5449252151762558</v>
      </c>
      <c r="M10" s="122">
        <f t="shared" si="15"/>
        <v>1.3502965473599615</v>
      </c>
      <c r="O10" s="129">
        <f t="shared" si="18"/>
        <v>1.8047022031379882</v>
      </c>
      <c r="P10" s="10">
        <f t="shared" si="16"/>
        <v>1.5211280750023379</v>
      </c>
      <c r="Q10" s="122">
        <f t="shared" si="17"/>
        <v>1.4089683032613496</v>
      </c>
      <c r="R10" s="25"/>
      <c r="S10" s="144">
        <f t="shared" si="0"/>
        <v>6.666666666666668E-2</v>
      </c>
      <c r="T10" s="129">
        <f t="shared" si="4"/>
        <v>1.3797937341261932</v>
      </c>
      <c r="U10" s="10">
        <f t="shared" si="5"/>
        <v>1.1629857729669903</v>
      </c>
      <c r="V10" s="122">
        <f t="shared" si="6"/>
        <v>1.0772334809821131</v>
      </c>
      <c r="X10" s="25"/>
      <c r="Y10" s="25"/>
      <c r="Z10" s="25"/>
    </row>
    <row r="11" spans="1:26" x14ac:dyDescent="0.2">
      <c r="A11" s="69"/>
      <c r="B11" s="4"/>
      <c r="C11" s="4"/>
      <c r="D11" s="68"/>
      <c r="E11" s="210"/>
      <c r="F11" s="129">
        <f t="shared" si="7"/>
        <v>1.8333333333333337</v>
      </c>
      <c r="G11" s="129">
        <f t="shared" si="8"/>
        <v>2.2800834153255729</v>
      </c>
      <c r="H11" s="10">
        <f t="shared" si="9"/>
        <v>1.6682004003645663</v>
      </c>
      <c r="I11" s="122">
        <f t="shared" si="10"/>
        <v>1.4443223094911508</v>
      </c>
      <c r="J11" s="10"/>
      <c r="K11" s="129">
        <f t="shared" si="13"/>
        <v>2.2800834153255729</v>
      </c>
      <c r="L11" s="10">
        <f t="shared" si="14"/>
        <v>1.6682004003645663</v>
      </c>
      <c r="M11" s="122">
        <f t="shared" si="15"/>
        <v>1.4443223094911508</v>
      </c>
      <c r="O11" s="129">
        <f t="shared" si="18"/>
        <v>2.0034389152359715</v>
      </c>
      <c r="P11" s="10">
        <f t="shared" si="16"/>
        <v>1.6444032601906484</v>
      </c>
      <c r="Q11" s="122">
        <f t="shared" si="17"/>
        <v>1.5029940653925389</v>
      </c>
      <c r="R11" s="25"/>
      <c r="S11" s="144">
        <f t="shared" si="0"/>
        <v>7.3333333333333348E-2</v>
      </c>
      <c r="T11" s="129">
        <f t="shared" si="4"/>
        <v>1.5317388415332969</v>
      </c>
      <c r="U11" s="10">
        <f t="shared" si="5"/>
        <v>1.2572364076702227</v>
      </c>
      <c r="V11" s="122">
        <f t="shared" si="6"/>
        <v>1.1491213288550042</v>
      </c>
      <c r="X11" s="25"/>
      <c r="Y11" s="25"/>
      <c r="Z11" s="25"/>
    </row>
    <row r="12" spans="1:26" x14ac:dyDescent="0.2">
      <c r="A12" s="69"/>
      <c r="B12" s="4"/>
      <c r="C12" s="4"/>
      <c r="D12" s="68"/>
      <c r="E12" s="210"/>
      <c r="F12" s="129">
        <f t="shared" si="7"/>
        <v>2.0000000000000004</v>
      </c>
      <c r="G12" s="129">
        <f t="shared" si="8"/>
        <v>2.4780408442845427</v>
      </c>
      <c r="H12" s="10">
        <f t="shared" si="9"/>
        <v>1.7893114863996125</v>
      </c>
      <c r="I12" s="122">
        <f t="shared" si="10"/>
        <v>1.5358667877954228</v>
      </c>
      <c r="J12" s="10"/>
      <c r="K12" s="129">
        <f t="shared" si="13"/>
        <v>2.4780408442845427</v>
      </c>
      <c r="L12" s="10">
        <f t="shared" si="14"/>
        <v>1.7893114863996125</v>
      </c>
      <c r="M12" s="122">
        <f t="shared" si="15"/>
        <v>1.5358667877954228</v>
      </c>
      <c r="O12" s="129">
        <f t="shared" si="18"/>
        <v>2.2013963441949418</v>
      </c>
      <c r="P12" s="10">
        <f t="shared" si="16"/>
        <v>1.7655143462256946</v>
      </c>
      <c r="Q12" s="122">
        <f t="shared" si="17"/>
        <v>1.5945385436968109</v>
      </c>
      <c r="R12" s="25"/>
      <c r="S12" s="144">
        <f t="shared" si="0"/>
        <v>8.0000000000000016E-2</v>
      </c>
      <c r="T12" s="129">
        <f t="shared" si="4"/>
        <v>1.6830881442749823</v>
      </c>
      <c r="U12" s="10">
        <f t="shared" si="5"/>
        <v>1.3498324699755766</v>
      </c>
      <c r="V12" s="122">
        <f t="shared" si="6"/>
        <v>1.219112099264912</v>
      </c>
      <c r="X12" s="25"/>
      <c r="Y12" s="25"/>
      <c r="Z12" s="25"/>
    </row>
    <row r="13" spans="1:26" x14ac:dyDescent="0.2">
      <c r="A13" s="69"/>
      <c r="B13" s="4"/>
      <c r="C13" s="4"/>
      <c r="D13" s="68"/>
      <c r="E13" s="210"/>
      <c r="F13" s="129">
        <f t="shared" si="7"/>
        <v>2.166666666666667</v>
      </c>
      <c r="G13" s="129">
        <f t="shared" si="8"/>
        <v>2.6752867754430132</v>
      </c>
      <c r="H13" s="10">
        <f t="shared" si="9"/>
        <v>1.9084726744853395</v>
      </c>
      <c r="I13" s="122">
        <f t="shared" si="10"/>
        <v>1.6251948758266668</v>
      </c>
      <c r="J13" s="10"/>
      <c r="K13" s="129">
        <f t="shared" si="13"/>
        <v>2.6752867754430132</v>
      </c>
      <c r="L13" s="10">
        <f t="shared" si="14"/>
        <v>1.9084726744853395</v>
      </c>
      <c r="M13" s="122">
        <f t="shared" si="15"/>
        <v>1.6251948758266668</v>
      </c>
      <c r="O13" s="129">
        <f t="shared" si="18"/>
        <v>2.3986422753534118</v>
      </c>
      <c r="P13" s="10">
        <f t="shared" si="16"/>
        <v>1.8846755343114217</v>
      </c>
      <c r="Q13" s="122">
        <f t="shared" si="17"/>
        <v>1.6838666317280548</v>
      </c>
      <c r="R13" s="25"/>
      <c r="S13" s="144">
        <f t="shared" si="0"/>
        <v>8.666666666666667E-2</v>
      </c>
      <c r="T13" s="129">
        <f t="shared" si="4"/>
        <v>1.8338934679572596</v>
      </c>
      <c r="U13" s="10">
        <f t="shared" si="5"/>
        <v>1.4409377284419496</v>
      </c>
      <c r="V13" s="122">
        <f t="shared" si="6"/>
        <v>1.2874083178502669</v>
      </c>
      <c r="X13" s="25"/>
      <c r="Y13" s="25"/>
      <c r="Z13" s="25"/>
    </row>
    <row r="14" spans="1:26" x14ac:dyDescent="0.2">
      <c r="A14" s="69"/>
      <c r="B14" s="4"/>
      <c r="C14" s="4"/>
      <c r="D14" s="68"/>
      <c r="E14" s="210"/>
      <c r="F14" s="129">
        <f t="shared" si="7"/>
        <v>2.3333333333333335</v>
      </c>
      <c r="G14" s="129">
        <f t="shared" si="8"/>
        <v>2.8718783241226835</v>
      </c>
      <c r="H14" s="10">
        <f t="shared" si="9"/>
        <v>2.0258621642224024</v>
      </c>
      <c r="I14" s="122">
        <f t="shared" si="10"/>
        <v>1.7125251128481191</v>
      </c>
      <c r="J14" s="10"/>
      <c r="K14" s="129">
        <f t="shared" si="13"/>
        <v>2.8718783241226835</v>
      </c>
      <c r="L14" s="10">
        <f t="shared" si="14"/>
        <v>2.0258621642224024</v>
      </c>
      <c r="M14" s="122">
        <f t="shared" si="15"/>
        <v>1.7125251128481191</v>
      </c>
      <c r="O14" s="129">
        <f t="shared" si="18"/>
        <v>2.5952338240330821</v>
      </c>
      <c r="P14" s="10">
        <f t="shared" si="16"/>
        <v>2.0020650240484845</v>
      </c>
      <c r="Q14" s="122">
        <f t="shared" si="17"/>
        <v>1.7711968687495072</v>
      </c>
      <c r="R14" s="25"/>
      <c r="S14" s="144">
        <f t="shared" si="0"/>
        <v>9.3333333333333324E-2</v>
      </c>
      <c r="T14" s="129">
        <f t="shared" si="4"/>
        <v>1.9841984803735564</v>
      </c>
      <c r="U14" s="10">
        <f t="shared" si="5"/>
        <v>1.5306884264295919</v>
      </c>
      <c r="V14" s="122">
        <f t="shared" si="6"/>
        <v>1.3541770698540245</v>
      </c>
      <c r="X14" s="25"/>
      <c r="Y14" s="25"/>
      <c r="Z14" s="25"/>
    </row>
    <row r="15" spans="1:26" x14ac:dyDescent="0.2">
      <c r="A15" s="70"/>
      <c r="B15" s="138"/>
      <c r="C15" s="138"/>
      <c r="D15" s="73"/>
      <c r="E15" s="209"/>
      <c r="F15" s="130">
        <f>Input!I6</f>
        <v>2.5</v>
      </c>
      <c r="G15" s="130">
        <f t="shared" si="8"/>
        <v>3.0678642602185828</v>
      </c>
      <c r="H15" s="123">
        <f t="shared" si="9"/>
        <v>2.1416303414256603</v>
      </c>
      <c r="I15" s="124">
        <f t="shared" si="10"/>
        <v>1.7980405139806916</v>
      </c>
      <c r="J15" s="10"/>
      <c r="K15" s="130">
        <f t="shared" si="13"/>
        <v>3.0678642602185828</v>
      </c>
      <c r="L15" s="123">
        <f t="shared" si="14"/>
        <v>2.1416303414256603</v>
      </c>
      <c r="M15" s="124">
        <f t="shared" si="15"/>
        <v>1.7980405139806916</v>
      </c>
      <c r="O15" s="130">
        <f t="shared" si="18"/>
        <v>2.7912197601289819</v>
      </c>
      <c r="P15" s="123">
        <f t="shared" si="16"/>
        <v>2.1178332012517425</v>
      </c>
      <c r="Q15" s="124">
        <f t="shared" si="17"/>
        <v>1.8567122698820797</v>
      </c>
      <c r="R15" s="25"/>
      <c r="S15" s="143">
        <f t="shared" si="0"/>
        <v>0.1</v>
      </c>
      <c r="T15" s="130">
        <f t="shared" si="4"/>
        <v>2.1340404687812708</v>
      </c>
      <c r="U15" s="123">
        <f t="shared" si="5"/>
        <v>1.6191995421352852</v>
      </c>
      <c r="V15" s="124">
        <f t="shared" si="6"/>
        <v>1.4195582803655682</v>
      </c>
      <c r="X15" s="25"/>
      <c r="Y15" s="25"/>
      <c r="Z15" s="25"/>
    </row>
    <row r="16" spans="1:26" x14ac:dyDescent="0.2">
      <c r="A16" s="61"/>
      <c r="B16" s="134" t="s">
        <v>85</v>
      </c>
      <c r="C16" s="134" t="s">
        <v>86</v>
      </c>
      <c r="D16" s="135" t="s">
        <v>87</v>
      </c>
      <c r="E16" s="208" t="s">
        <v>4</v>
      </c>
      <c r="F16" s="128">
        <f>F15</f>
        <v>2.5</v>
      </c>
      <c r="G16" s="128">
        <f>B$17*POWER($F16,2)+B$18*F16+B$19</f>
        <v>2.7125577181071305</v>
      </c>
      <c r="H16" s="120">
        <f t="shared" ref="H16:I16" si="19">C$17*POWER($F16,2)+C$18*G16+C$19</f>
        <v>2.1848562060703536</v>
      </c>
      <c r="I16" s="121">
        <f t="shared" si="19"/>
        <v>1.6085512475543735</v>
      </c>
      <c r="J16" s="10"/>
      <c r="K16" s="128">
        <f>G16</f>
        <v>2.7125577181071305</v>
      </c>
      <c r="L16" s="120">
        <f t="shared" ref="L16:M16" si="20">H16</f>
        <v>2.1848562060703536</v>
      </c>
      <c r="M16" s="121">
        <f t="shared" si="20"/>
        <v>1.6085512475543735</v>
      </c>
      <c r="O16" s="128">
        <f>K16-(K$16-O$15)</f>
        <v>2.7912197601289819</v>
      </c>
      <c r="P16" s="120">
        <f t="shared" ref="P16:Q16" si="21">L16-(L$16-P$15)</f>
        <v>2.1178332012517425</v>
      </c>
      <c r="Q16" s="121">
        <f t="shared" si="21"/>
        <v>1.8567122698820797</v>
      </c>
      <c r="R16" s="25"/>
      <c r="S16" s="142">
        <f t="shared" si="0"/>
        <v>0.1</v>
      </c>
      <c r="T16" s="128">
        <f t="shared" si="4"/>
        <v>2.1340404687812708</v>
      </c>
      <c r="U16" s="120">
        <f t="shared" si="5"/>
        <v>1.6191995421352852</v>
      </c>
      <c r="V16" s="121">
        <f t="shared" si="6"/>
        <v>1.4195582803655682</v>
      </c>
      <c r="X16" s="25"/>
      <c r="Y16" s="25"/>
      <c r="Z16" s="25"/>
    </row>
    <row r="17" spans="1:26" x14ac:dyDescent="0.2">
      <c r="A17" s="65" t="s">
        <v>17</v>
      </c>
      <c r="B17" s="4">
        <f>'Coefficients (Sa(T1))'!B35</f>
        <v>-9.1805515054318512E-3</v>
      </c>
      <c r="C17" s="4">
        <f>'Coefficients (Sa(T1))'!G35</f>
        <v>-4.8158760226759412E-3</v>
      </c>
      <c r="D17" s="68">
        <f>'Coefficients (Sa(T1))'!L35</f>
        <v>-2.6369230345664393E-3</v>
      </c>
      <c r="E17" s="210"/>
      <c r="F17" s="129">
        <f t="shared" ref="F17:F24" si="22">F16+($F$25-$F$16)/9</f>
        <v>2.6944444444444446</v>
      </c>
      <c r="G17" s="129">
        <f t="shared" ref="G17:G25" si="23">B$17*POWER($F17,2)+B$18*F17+B$19</f>
        <v>2.8629919431746882</v>
      </c>
      <c r="H17" s="10">
        <f t="shared" ref="H17:H25" si="24">C$17*POWER($F17,2)+C$18*G17+C$19</f>
        <v>2.2536940460371122</v>
      </c>
      <c r="I17" s="122">
        <f t="shared" ref="I17:I25" si="25">D$17*POWER($F17,2)+D$18*H17+D$19</f>
        <v>1.6237357943845576</v>
      </c>
      <c r="J17" s="10"/>
      <c r="K17" s="129">
        <f>IF(G17&lt;K16,K16,G17)</f>
        <v>2.8629919431746882</v>
      </c>
      <c r="L17" s="10">
        <f t="shared" si="11"/>
        <v>2.2536940460371122</v>
      </c>
      <c r="M17" s="122">
        <f>IF(I17&lt;M16,M16,I17)</f>
        <v>1.6237357943845576</v>
      </c>
      <c r="O17" s="129">
        <f t="shared" ref="O17:O25" si="26">K17-(K$16-O$15)</f>
        <v>2.9416539851965395</v>
      </c>
      <c r="P17" s="10">
        <f t="shared" ref="P17:P25" si="27">L17-(L$16-P$15)</f>
        <v>2.1866710412185011</v>
      </c>
      <c r="Q17" s="122">
        <f t="shared" ref="Q17:Q25" si="28">M17-(M$16-Q$15)</f>
        <v>1.8718968167122638</v>
      </c>
      <c r="R17" s="25"/>
      <c r="S17" s="144">
        <f t="shared" si="0"/>
        <v>0.10777777777777779</v>
      </c>
      <c r="T17" s="129">
        <f t="shared" si="4"/>
        <v>2.2490556778198756</v>
      </c>
      <c r="U17" s="10">
        <f t="shared" si="5"/>
        <v>1.6718298431853764</v>
      </c>
      <c r="V17" s="122">
        <f t="shared" si="6"/>
        <v>1.4311676985484703</v>
      </c>
      <c r="X17" s="25"/>
      <c r="Y17" s="25"/>
      <c r="Z17" s="25"/>
    </row>
    <row r="18" spans="1:26" x14ac:dyDescent="0.2">
      <c r="A18" s="65" t="s">
        <v>16</v>
      </c>
      <c r="B18" s="4">
        <f>'Coefficients (Sa(T1))'!B36</f>
        <v>0.8213495936831936</v>
      </c>
      <c r="C18" s="4">
        <f>'Coefficients (Sa(T1))'!G36</f>
        <v>0.48992856083588804</v>
      </c>
      <c r="D18" s="68">
        <f>'Coefficients (Sa(T1))'!L36</f>
        <v>0.25927484781957422</v>
      </c>
      <c r="E18" s="210"/>
      <c r="F18" s="129">
        <f t="shared" si="22"/>
        <v>2.8888888888888893</v>
      </c>
      <c r="G18" s="129">
        <f t="shared" si="23"/>
        <v>3.0127319598722364</v>
      </c>
      <c r="H18" s="10">
        <f t="shared" si="24"/>
        <v>2.3218276100315549</v>
      </c>
      <c r="I18" s="122">
        <f t="shared" si="25"/>
        <v>1.6385383432113356</v>
      </c>
      <c r="J18" s="10"/>
      <c r="K18" s="129">
        <f t="shared" ref="K18:K46" si="29">IF(G18&lt;K17,K17,G18)</f>
        <v>3.0127319598722364</v>
      </c>
      <c r="L18" s="10">
        <f t="shared" si="11"/>
        <v>2.3218276100315549</v>
      </c>
      <c r="M18" s="122">
        <f t="shared" si="11"/>
        <v>1.6385383432113356</v>
      </c>
      <c r="O18" s="129">
        <f t="shared" si="26"/>
        <v>3.0913940018940878</v>
      </c>
      <c r="P18" s="10">
        <f t="shared" si="27"/>
        <v>2.2548046052129438</v>
      </c>
      <c r="Q18" s="122">
        <f t="shared" si="28"/>
        <v>1.8866993655390418</v>
      </c>
      <c r="R18" s="25"/>
      <c r="S18" s="144">
        <f t="shared" si="0"/>
        <v>0.11555555555555556</v>
      </c>
      <c r="T18" s="129">
        <f t="shared" si="4"/>
        <v>2.3635401265161629</v>
      </c>
      <c r="U18" s="10">
        <f t="shared" si="5"/>
        <v>1.7239216866594711</v>
      </c>
      <c r="V18" s="122">
        <f t="shared" si="6"/>
        <v>1.4424850583238236</v>
      </c>
      <c r="X18" s="25"/>
      <c r="Y18" s="25"/>
      <c r="Z18" s="25"/>
    </row>
    <row r="19" spans="1:26" x14ac:dyDescent="0.2">
      <c r="A19" s="65" t="s">
        <v>15</v>
      </c>
      <c r="B19" s="4">
        <f>'Coefficients (Sa(T1))'!B37</f>
        <v>0.71656218080809575</v>
      </c>
      <c r="C19" s="4">
        <f>'Coefficients (Sa(T1))'!G37</f>
        <v>0.88599593219557105</v>
      </c>
      <c r="D19" s="68">
        <f>'Coefficients (Sa(T1))'!L37</f>
        <v>1.0585537561838705</v>
      </c>
      <c r="E19" s="210"/>
      <c r="F19" s="129">
        <f t="shared" si="22"/>
        <v>3.0833333333333339</v>
      </c>
      <c r="G19" s="129">
        <f t="shared" si="23"/>
        <v>3.1617777681997752</v>
      </c>
      <c r="H19" s="10">
        <f t="shared" si="24"/>
        <v>2.3892568980536808</v>
      </c>
      <c r="I19" s="122">
        <f t="shared" si="25"/>
        <v>1.6529588940347075</v>
      </c>
      <c r="J19" s="10"/>
      <c r="K19" s="129">
        <f t="shared" si="29"/>
        <v>3.1617777681997752</v>
      </c>
      <c r="L19" s="10">
        <f t="shared" si="11"/>
        <v>2.3892568980536808</v>
      </c>
      <c r="M19" s="122">
        <f t="shared" si="11"/>
        <v>1.6529588940347075</v>
      </c>
      <c r="O19" s="129">
        <f t="shared" si="26"/>
        <v>3.2404398102216265</v>
      </c>
      <c r="P19" s="10">
        <f t="shared" si="27"/>
        <v>2.3222338932350697</v>
      </c>
      <c r="Q19" s="122">
        <f t="shared" si="28"/>
        <v>1.9011199163624137</v>
      </c>
      <c r="R19" s="25"/>
      <c r="S19" s="144">
        <f t="shared" si="0"/>
        <v>0.12333333333333336</v>
      </c>
      <c r="T19" s="129">
        <f t="shared" si="4"/>
        <v>2.477493814870134</v>
      </c>
      <c r="U19" s="10">
        <f t="shared" si="5"/>
        <v>1.7754750725575688</v>
      </c>
      <c r="V19" s="122">
        <f t="shared" si="6"/>
        <v>1.4535103596916281</v>
      </c>
      <c r="X19" s="25"/>
      <c r="Y19" s="25"/>
      <c r="Z19" s="25"/>
    </row>
    <row r="20" spans="1:26" x14ac:dyDescent="0.2">
      <c r="A20" s="69"/>
      <c r="B20" s="4"/>
      <c r="C20" s="4"/>
      <c r="D20" s="68"/>
      <c r="E20" s="210"/>
      <c r="F20" s="129">
        <f t="shared" si="22"/>
        <v>3.2777777777777786</v>
      </c>
      <c r="G20" s="129">
        <f t="shared" si="23"/>
        <v>3.3101293681573041</v>
      </c>
      <c r="H20" s="10">
        <f t="shared" si="24"/>
        <v>2.4559819101034899</v>
      </c>
      <c r="I20" s="122">
        <f t="shared" si="25"/>
        <v>1.6669974468546733</v>
      </c>
      <c r="J20" s="10"/>
      <c r="K20" s="129">
        <f t="shared" si="29"/>
        <v>3.3101293681573041</v>
      </c>
      <c r="L20" s="10">
        <f t="shared" si="11"/>
        <v>2.4559819101034899</v>
      </c>
      <c r="M20" s="122">
        <f t="shared" si="11"/>
        <v>1.6669974468546733</v>
      </c>
      <c r="O20" s="129">
        <f t="shared" si="26"/>
        <v>3.3887914101791554</v>
      </c>
      <c r="P20" s="10">
        <f t="shared" si="27"/>
        <v>2.3889589052848788</v>
      </c>
      <c r="Q20" s="122">
        <f t="shared" si="28"/>
        <v>1.9151584691823795</v>
      </c>
      <c r="R20" s="25"/>
      <c r="S20" s="144">
        <f t="shared" si="0"/>
        <v>0.13111111111111112</v>
      </c>
      <c r="T20" s="129">
        <f t="shared" si="4"/>
        <v>2.5909167428817885</v>
      </c>
      <c r="U20" s="10">
        <f t="shared" si="5"/>
        <v>1.8264900008796694</v>
      </c>
      <c r="V20" s="122">
        <f t="shared" si="6"/>
        <v>1.4642436026518832</v>
      </c>
      <c r="X20" s="25"/>
      <c r="Y20" s="25"/>
      <c r="Z20" s="25"/>
    </row>
    <row r="21" spans="1:26" x14ac:dyDescent="0.2">
      <c r="A21" s="69"/>
      <c r="B21" s="4"/>
      <c r="C21" s="4"/>
      <c r="D21" s="68"/>
      <c r="E21" s="210"/>
      <c r="F21" s="129">
        <f t="shared" si="22"/>
        <v>3.4722222222222232</v>
      </c>
      <c r="G21" s="129">
        <f t="shared" si="23"/>
        <v>3.4577867597448235</v>
      </c>
      <c r="H21" s="10">
        <f t="shared" si="24"/>
        <v>2.5220026461809821</v>
      </c>
      <c r="I21" s="122">
        <f t="shared" si="25"/>
        <v>1.680654001671233</v>
      </c>
      <c r="J21" s="10"/>
      <c r="K21" s="129">
        <f t="shared" si="29"/>
        <v>3.4577867597448235</v>
      </c>
      <c r="L21" s="10">
        <f t="shared" si="11"/>
        <v>2.5220026461809821</v>
      </c>
      <c r="M21" s="122">
        <f t="shared" si="11"/>
        <v>1.680654001671233</v>
      </c>
      <c r="O21" s="129">
        <f t="shared" si="26"/>
        <v>3.5364488017666749</v>
      </c>
      <c r="P21" s="10">
        <f t="shared" si="27"/>
        <v>2.454979641362371</v>
      </c>
      <c r="Q21" s="122">
        <f t="shared" si="28"/>
        <v>1.9288150239989392</v>
      </c>
      <c r="R21" s="25"/>
      <c r="S21" s="144">
        <f t="shared" si="0"/>
        <v>0.13888888888888892</v>
      </c>
      <c r="T21" s="129">
        <f t="shared" si="4"/>
        <v>2.7038089105511265</v>
      </c>
      <c r="U21" s="10">
        <f t="shared" si="5"/>
        <v>1.8769664716257726</v>
      </c>
      <c r="V21" s="122">
        <f t="shared" si="6"/>
        <v>1.4746847872045901</v>
      </c>
      <c r="X21" s="25"/>
      <c r="Y21" s="25"/>
      <c r="Z21" s="25"/>
    </row>
    <row r="22" spans="1:26" x14ac:dyDescent="0.2">
      <c r="A22" s="69"/>
      <c r="B22" s="4"/>
      <c r="C22" s="4"/>
      <c r="D22" s="68"/>
      <c r="E22" s="210"/>
      <c r="F22" s="129">
        <f t="shared" si="22"/>
        <v>3.6666666666666679</v>
      </c>
      <c r="G22" s="129">
        <f t="shared" si="23"/>
        <v>3.604749942962334</v>
      </c>
      <c r="H22" s="10">
        <f t="shared" si="24"/>
        <v>2.5873191062861576</v>
      </c>
      <c r="I22" s="122">
        <f t="shared" si="25"/>
        <v>1.6939285584843864</v>
      </c>
      <c r="J22" s="10"/>
      <c r="K22" s="129">
        <f t="shared" si="29"/>
        <v>3.604749942962334</v>
      </c>
      <c r="L22" s="10">
        <f t="shared" ref="L22:L46" si="30">IF(H22&lt;L21,L21,H22)</f>
        <v>2.5873191062861576</v>
      </c>
      <c r="M22" s="122">
        <f t="shared" ref="M22:M46" si="31">IF(I22&lt;M21,M21,I22)</f>
        <v>1.6939285584843864</v>
      </c>
      <c r="O22" s="129">
        <f t="shared" si="26"/>
        <v>3.6834119849841853</v>
      </c>
      <c r="P22" s="10">
        <f t="shared" si="27"/>
        <v>2.5202961014675465</v>
      </c>
      <c r="Q22" s="122">
        <f t="shared" si="28"/>
        <v>1.9420895808120926</v>
      </c>
      <c r="R22" s="25"/>
      <c r="S22" s="144">
        <f t="shared" si="0"/>
        <v>0.1466666666666667</v>
      </c>
      <c r="T22" s="129">
        <f t="shared" si="4"/>
        <v>2.8161703178781479</v>
      </c>
      <c r="U22" s="10">
        <f t="shared" si="5"/>
        <v>1.9269044847958789</v>
      </c>
      <c r="V22" s="122">
        <f t="shared" si="6"/>
        <v>1.4848339133497475</v>
      </c>
      <c r="X22" s="25"/>
      <c r="Y22" s="25"/>
      <c r="Z22" s="25"/>
    </row>
    <row r="23" spans="1:26" x14ac:dyDescent="0.2">
      <c r="A23" s="69"/>
      <c r="B23" s="4"/>
      <c r="C23" s="4"/>
      <c r="D23" s="68"/>
      <c r="E23" s="210"/>
      <c r="F23" s="129">
        <f t="shared" si="22"/>
        <v>3.8611111111111125</v>
      </c>
      <c r="G23" s="129">
        <f t="shared" si="23"/>
        <v>3.7510189178098341</v>
      </c>
      <c r="H23" s="10">
        <f t="shared" si="24"/>
        <v>2.6519312904190171</v>
      </c>
      <c r="I23" s="122">
        <f t="shared" si="25"/>
        <v>1.7068211172941339</v>
      </c>
      <c r="J23" s="10"/>
      <c r="K23" s="129">
        <f>IF(G23&lt;K22,K22,G23)</f>
        <v>3.7510189178098341</v>
      </c>
      <c r="L23" s="10">
        <f t="shared" si="30"/>
        <v>2.6519312904190171</v>
      </c>
      <c r="M23" s="122">
        <f t="shared" si="31"/>
        <v>1.7068211172941339</v>
      </c>
      <c r="O23" s="129">
        <f t="shared" si="26"/>
        <v>3.8296809598316854</v>
      </c>
      <c r="P23" s="10">
        <f t="shared" si="27"/>
        <v>2.584908285600406</v>
      </c>
      <c r="Q23" s="122">
        <f t="shared" si="28"/>
        <v>1.9549821396218401</v>
      </c>
      <c r="R23" s="25"/>
      <c r="S23" s="144">
        <f t="shared" si="0"/>
        <v>0.1544444444444445</v>
      </c>
      <c r="T23" s="129">
        <f t="shared" si="4"/>
        <v>2.9280009648628522</v>
      </c>
      <c r="U23" s="10">
        <f t="shared" si="5"/>
        <v>1.9763040403899885</v>
      </c>
      <c r="V23" s="122">
        <f t="shared" si="6"/>
        <v>1.4946909810873563</v>
      </c>
      <c r="X23" s="25"/>
      <c r="Y23" s="25"/>
      <c r="Z23" s="25"/>
    </row>
    <row r="24" spans="1:26" x14ac:dyDescent="0.2">
      <c r="A24" s="69"/>
      <c r="B24" s="4"/>
      <c r="C24" s="4"/>
      <c r="D24" s="68"/>
      <c r="E24" s="210"/>
      <c r="F24" s="129">
        <f t="shared" si="22"/>
        <v>4.0555555555555571</v>
      </c>
      <c r="G24" s="129">
        <f t="shared" si="23"/>
        <v>3.8965936842873257</v>
      </c>
      <c r="H24" s="10">
        <f t="shared" si="24"/>
        <v>2.7158391985795598</v>
      </c>
      <c r="I24" s="122">
        <f t="shared" si="25"/>
        <v>1.7193316781004753</v>
      </c>
      <c r="J24" s="10"/>
      <c r="K24" s="129">
        <f t="shared" si="29"/>
        <v>3.8965936842873257</v>
      </c>
      <c r="L24" s="10">
        <f t="shared" si="30"/>
        <v>2.7158391985795598</v>
      </c>
      <c r="M24" s="122">
        <f t="shared" si="31"/>
        <v>1.7193316781004753</v>
      </c>
      <c r="O24" s="129">
        <f t="shared" si="26"/>
        <v>3.975255726309177</v>
      </c>
      <c r="P24" s="10">
        <f t="shared" si="27"/>
        <v>2.6488161937609487</v>
      </c>
      <c r="Q24" s="122">
        <f t="shared" si="28"/>
        <v>1.9674927004281815</v>
      </c>
      <c r="R24" s="25"/>
      <c r="S24" s="144">
        <f t="shared" si="0"/>
        <v>0.1622222222222223</v>
      </c>
      <c r="T24" s="129">
        <f t="shared" si="4"/>
        <v>3.0393008515052409</v>
      </c>
      <c r="U24" s="10">
        <f t="shared" si="5"/>
        <v>2.0251651384081013</v>
      </c>
      <c r="V24" s="122">
        <f t="shared" si="6"/>
        <v>1.5042559904174162</v>
      </c>
      <c r="X24" s="25"/>
      <c r="Y24" s="25"/>
      <c r="Z24" s="25"/>
    </row>
    <row r="25" spans="1:26" x14ac:dyDescent="0.2">
      <c r="A25" s="70"/>
      <c r="B25" s="138"/>
      <c r="C25" s="138"/>
      <c r="D25" s="73"/>
      <c r="E25" s="209"/>
      <c r="F25" s="130">
        <f>Input!$I$7</f>
        <v>4.25</v>
      </c>
      <c r="G25" s="130">
        <f t="shared" si="23"/>
        <v>4.0414742423948056</v>
      </c>
      <c r="H25" s="123">
        <f t="shared" si="24"/>
        <v>2.7790428307677848</v>
      </c>
      <c r="I25" s="124">
        <f t="shared" si="25"/>
        <v>1.7314602409034103</v>
      </c>
      <c r="J25" s="10"/>
      <c r="K25" s="130">
        <f>IF(G25&lt;K24,K24,G25)</f>
        <v>4.0414742423948056</v>
      </c>
      <c r="L25" s="123">
        <f t="shared" si="30"/>
        <v>2.7790428307677848</v>
      </c>
      <c r="M25" s="124">
        <f t="shared" si="31"/>
        <v>1.7314602409034103</v>
      </c>
      <c r="O25" s="130">
        <f t="shared" si="26"/>
        <v>4.1201362844166569</v>
      </c>
      <c r="P25" s="123">
        <f t="shared" si="27"/>
        <v>2.7120198259491737</v>
      </c>
      <c r="Q25" s="124">
        <f t="shared" si="28"/>
        <v>1.9796212632311165</v>
      </c>
      <c r="R25" s="25"/>
      <c r="S25" s="143">
        <f t="shared" si="0"/>
        <v>0.16999999999999998</v>
      </c>
      <c r="T25" s="130">
        <f t="shared" si="4"/>
        <v>3.1500699778053107</v>
      </c>
      <c r="U25" s="123">
        <f t="shared" si="5"/>
        <v>2.073487778850216</v>
      </c>
      <c r="V25" s="124">
        <f t="shared" si="6"/>
        <v>1.5135289413399273</v>
      </c>
      <c r="X25" s="25"/>
      <c r="Y25" s="25"/>
      <c r="Z25" s="25"/>
    </row>
    <row r="26" spans="1:26" ht="16" customHeight="1" x14ac:dyDescent="0.2">
      <c r="A26" s="61"/>
      <c r="B26" s="134" t="s">
        <v>85</v>
      </c>
      <c r="C26" s="134" t="s">
        <v>86</v>
      </c>
      <c r="D26" s="135" t="s">
        <v>87</v>
      </c>
      <c r="E26" s="205" t="s">
        <v>28</v>
      </c>
      <c r="F26" s="128">
        <f>F25</f>
        <v>4.25</v>
      </c>
      <c r="G26" s="128">
        <f>B$27*$F26+B$28</f>
        <v>4.043045456984423</v>
      </c>
      <c r="H26" s="120">
        <f t="shared" ref="H26:I26" si="32">C$27*$F26+C$28</f>
        <v>2.7964121706892193</v>
      </c>
      <c r="I26" s="121">
        <f t="shared" si="32"/>
        <v>2.0650498885979065</v>
      </c>
      <c r="J26" s="10"/>
      <c r="K26" s="128">
        <f>G26</f>
        <v>4.043045456984423</v>
      </c>
      <c r="L26" s="120">
        <f t="shared" ref="L26:M26" si="33">H26</f>
        <v>2.7964121706892193</v>
      </c>
      <c r="M26" s="121">
        <f t="shared" si="33"/>
        <v>2.0650498885979065</v>
      </c>
      <c r="O26" s="128">
        <f>K26-(K$26-O$25)</f>
        <v>4.1201362844166569</v>
      </c>
      <c r="P26" s="120">
        <f t="shared" ref="P26:Q26" si="34">L26-(L$26-P$25)</f>
        <v>2.7120198259491737</v>
      </c>
      <c r="Q26" s="121">
        <f t="shared" si="34"/>
        <v>1.9796212632311165</v>
      </c>
      <c r="R26" s="25"/>
      <c r="S26" s="142">
        <f t="shared" si="0"/>
        <v>0.16999999999999998</v>
      </c>
      <c r="T26" s="128">
        <f t="shared" si="4"/>
        <v>3.1500699778053107</v>
      </c>
      <c r="U26" s="120">
        <f t="shared" si="5"/>
        <v>2.073487778850216</v>
      </c>
      <c r="V26" s="121">
        <f t="shared" si="6"/>
        <v>1.5135289413399273</v>
      </c>
      <c r="X26" s="25"/>
      <c r="Y26" s="25"/>
      <c r="Z26" s="25"/>
    </row>
    <row r="27" spans="1:26" x14ac:dyDescent="0.2">
      <c r="A27" s="65" t="s">
        <v>20</v>
      </c>
      <c r="B27" s="4">
        <f>'Coefficients (Sa(T1))'!B46</f>
        <v>0.53945427756652964</v>
      </c>
      <c r="C27" s="4">
        <f>'Coefficients (Sa(T1))'!G46</f>
        <v>0.27275944741463209</v>
      </c>
      <c r="D27" s="68">
        <f>'Coefficients (Sa(T1))'!L46</f>
        <v>0.10057272166496327</v>
      </c>
      <c r="E27" s="206"/>
      <c r="F27" s="129">
        <f t="shared" ref="F27:F34" si="35">F26+($F$35-$F$26)/9</f>
        <v>4.5555555555555554</v>
      </c>
      <c r="G27" s="129">
        <f t="shared" ref="G27:G35" si="36">B$27*$F27+B$28</f>
        <v>4.2078787084630846</v>
      </c>
      <c r="H27" s="10">
        <f t="shared" ref="H27:H35" si="37">C$27*$F27+C$28</f>
        <v>2.8797553351770233</v>
      </c>
      <c r="I27" s="122">
        <f t="shared" ref="I27:I34" si="38">D$27*$F27+D$28</f>
        <v>2.0957804424399784</v>
      </c>
      <c r="J27" s="10"/>
      <c r="K27" s="129">
        <f t="shared" si="29"/>
        <v>4.2078787084630846</v>
      </c>
      <c r="L27" s="10">
        <f t="shared" si="30"/>
        <v>2.8797553351770233</v>
      </c>
      <c r="M27" s="122">
        <f t="shared" si="31"/>
        <v>2.0957804424399784</v>
      </c>
      <c r="O27" s="129">
        <f t="shared" ref="O27:O35" si="39">K27-(K$26-O$25)</f>
        <v>4.2849695358953186</v>
      </c>
      <c r="P27" s="10">
        <f t="shared" ref="P27:P35" si="40">L27-(L$26-P$25)</f>
        <v>2.7953629904369777</v>
      </c>
      <c r="Q27" s="122">
        <f t="shared" ref="Q27:Q35" si="41">M27-(M$26-Q$25)</f>
        <v>2.0103518170731887</v>
      </c>
      <c r="R27" s="25"/>
      <c r="S27" s="144">
        <f t="shared" si="0"/>
        <v>0.18222222222222223</v>
      </c>
      <c r="T27" s="129">
        <f t="shared" si="4"/>
        <v>3.2760940316189773</v>
      </c>
      <c r="U27" s="10">
        <f t="shared" si="5"/>
        <v>2.1372081954056825</v>
      </c>
      <c r="V27" s="122">
        <f t="shared" si="6"/>
        <v>1.5370241338230921</v>
      </c>
      <c r="X27" s="25"/>
      <c r="Y27" s="25"/>
      <c r="Z27" s="25"/>
    </row>
    <row r="28" spans="1:26" x14ac:dyDescent="0.2">
      <c r="A28" s="65" t="s">
        <v>21</v>
      </c>
      <c r="B28" s="4">
        <f>'Coefficients (Sa(T1))'!B47</f>
        <v>1.750364777326672</v>
      </c>
      <c r="C28" s="4">
        <f>'Coefficients (Sa(T1))'!G47</f>
        <v>1.6371845191770329</v>
      </c>
      <c r="D28" s="68">
        <f>'Coefficients (Sa(T1))'!L47</f>
        <v>1.6376158215218126</v>
      </c>
      <c r="E28" s="206"/>
      <c r="F28" s="129">
        <f t="shared" si="35"/>
        <v>4.8611111111111107</v>
      </c>
      <c r="G28" s="129">
        <f t="shared" si="36"/>
        <v>4.3727119599417463</v>
      </c>
      <c r="H28" s="10">
        <f t="shared" si="37"/>
        <v>2.9630984996648277</v>
      </c>
      <c r="I28" s="122">
        <f t="shared" si="38"/>
        <v>2.1265109962820508</v>
      </c>
      <c r="J28" s="10"/>
      <c r="K28" s="129">
        <f t="shared" si="29"/>
        <v>4.3727119599417463</v>
      </c>
      <c r="L28" s="10">
        <f t="shared" si="30"/>
        <v>2.9630984996648277</v>
      </c>
      <c r="M28" s="122">
        <f t="shared" si="31"/>
        <v>2.1265109962820508</v>
      </c>
      <c r="O28" s="129">
        <f t="shared" si="39"/>
        <v>4.4498027873739803</v>
      </c>
      <c r="P28" s="10">
        <f t="shared" si="40"/>
        <v>2.8787061549247821</v>
      </c>
      <c r="Q28" s="122">
        <f t="shared" si="41"/>
        <v>2.0410823709152606</v>
      </c>
      <c r="R28" s="25"/>
      <c r="S28" s="144">
        <f t="shared" si="0"/>
        <v>0.19444444444444442</v>
      </c>
      <c r="T28" s="129">
        <f t="shared" si="4"/>
        <v>3.4021180854326438</v>
      </c>
      <c r="U28" s="10">
        <f t="shared" si="5"/>
        <v>2.2009286119611491</v>
      </c>
      <c r="V28" s="122">
        <f t="shared" si="6"/>
        <v>1.5605193263062569</v>
      </c>
      <c r="X28" s="25"/>
      <c r="Y28" s="25"/>
      <c r="Z28" s="25"/>
    </row>
    <row r="29" spans="1:26" x14ac:dyDescent="0.2">
      <c r="A29" s="69"/>
      <c r="B29" s="4"/>
      <c r="C29" s="4"/>
      <c r="D29" s="68"/>
      <c r="E29" s="206"/>
      <c r="F29" s="129">
        <f t="shared" si="35"/>
        <v>5.1666666666666661</v>
      </c>
      <c r="G29" s="129">
        <f t="shared" si="36"/>
        <v>4.537545211420408</v>
      </c>
      <c r="H29" s="10">
        <f t="shared" si="37"/>
        <v>3.0464416641526322</v>
      </c>
      <c r="I29" s="122">
        <f t="shared" si="38"/>
        <v>2.1572415501241227</v>
      </c>
      <c r="J29" s="10"/>
      <c r="K29" s="129">
        <f t="shared" si="29"/>
        <v>4.537545211420408</v>
      </c>
      <c r="L29" s="10">
        <f t="shared" si="30"/>
        <v>3.0464416641526322</v>
      </c>
      <c r="M29" s="122">
        <f t="shared" si="31"/>
        <v>2.1572415501241227</v>
      </c>
      <c r="O29" s="129">
        <f t="shared" si="39"/>
        <v>4.614636038852642</v>
      </c>
      <c r="P29" s="10">
        <f t="shared" si="40"/>
        <v>2.9620493194125865</v>
      </c>
      <c r="Q29" s="122">
        <f t="shared" si="41"/>
        <v>2.0718129247573325</v>
      </c>
      <c r="R29" s="25"/>
      <c r="S29" s="144">
        <f t="shared" si="0"/>
        <v>0.20666666666666664</v>
      </c>
      <c r="T29" s="129">
        <f t="shared" si="4"/>
        <v>3.5281421392463099</v>
      </c>
      <c r="U29" s="10">
        <f t="shared" si="5"/>
        <v>2.2646490285166161</v>
      </c>
      <c r="V29" s="122">
        <f t="shared" si="6"/>
        <v>1.5840145187894215</v>
      </c>
      <c r="X29" s="25"/>
      <c r="Y29" s="25"/>
      <c r="Z29" s="25"/>
    </row>
    <row r="30" spans="1:26" x14ac:dyDescent="0.2">
      <c r="A30" s="69"/>
      <c r="B30" s="4"/>
      <c r="C30" s="4"/>
      <c r="D30" s="68"/>
      <c r="E30" s="206"/>
      <c r="F30" s="129">
        <f t="shared" si="35"/>
        <v>5.4722222222222214</v>
      </c>
      <c r="G30" s="129">
        <f t="shared" si="36"/>
        <v>4.7023784628990697</v>
      </c>
      <c r="H30" s="10">
        <f t="shared" si="37"/>
        <v>3.1297848286404362</v>
      </c>
      <c r="I30" s="122">
        <f t="shared" si="38"/>
        <v>2.187972103966195</v>
      </c>
      <c r="J30" s="10"/>
      <c r="K30" s="129">
        <f t="shared" si="29"/>
        <v>4.7023784628990697</v>
      </c>
      <c r="L30" s="10">
        <f t="shared" si="30"/>
        <v>3.1297848286404362</v>
      </c>
      <c r="M30" s="122">
        <f t="shared" si="31"/>
        <v>2.187972103966195</v>
      </c>
      <c r="O30" s="129">
        <f t="shared" si="39"/>
        <v>4.7794692903313036</v>
      </c>
      <c r="P30" s="10">
        <f t="shared" si="40"/>
        <v>3.0453924839003905</v>
      </c>
      <c r="Q30" s="122">
        <f t="shared" si="41"/>
        <v>2.1025434785994053</v>
      </c>
      <c r="R30" s="25"/>
      <c r="S30" s="144">
        <f t="shared" si="0"/>
        <v>0.21888888888888886</v>
      </c>
      <c r="T30" s="129">
        <f t="shared" si="4"/>
        <v>3.6541661930599769</v>
      </c>
      <c r="U30" s="10">
        <f t="shared" si="5"/>
        <v>2.3283694450720827</v>
      </c>
      <c r="V30" s="122">
        <f t="shared" si="6"/>
        <v>1.6075097112725869</v>
      </c>
      <c r="X30" s="25"/>
      <c r="Y30" s="25"/>
      <c r="Z30" s="25"/>
    </row>
    <row r="31" spans="1:26" x14ac:dyDescent="0.2">
      <c r="A31" s="69"/>
      <c r="B31" s="4"/>
      <c r="C31" s="4"/>
      <c r="D31" s="68"/>
      <c r="E31" s="206"/>
      <c r="F31" s="129">
        <f t="shared" si="35"/>
        <v>5.7777777777777768</v>
      </c>
      <c r="G31" s="129">
        <f t="shared" si="36"/>
        <v>4.8672117143777314</v>
      </c>
      <c r="H31" s="10">
        <f t="shared" si="37"/>
        <v>3.2131279931282402</v>
      </c>
      <c r="I31" s="122">
        <f t="shared" si="38"/>
        <v>2.2187026578082669</v>
      </c>
      <c r="J31" s="10"/>
      <c r="K31" s="129">
        <f t="shared" si="29"/>
        <v>4.8672117143777314</v>
      </c>
      <c r="L31" s="10">
        <f t="shared" si="30"/>
        <v>3.2131279931282402</v>
      </c>
      <c r="M31" s="122">
        <f t="shared" si="31"/>
        <v>2.2187026578082669</v>
      </c>
      <c r="O31" s="129">
        <f t="shared" si="39"/>
        <v>4.9443025418099653</v>
      </c>
      <c r="P31" s="10">
        <f t="shared" si="40"/>
        <v>3.1287356483881945</v>
      </c>
      <c r="Q31" s="122">
        <f t="shared" si="41"/>
        <v>2.1332740324414772</v>
      </c>
      <c r="R31" s="25"/>
      <c r="S31" s="144">
        <f t="shared" si="0"/>
        <v>0.2311111111111111</v>
      </c>
      <c r="T31" s="129">
        <f t="shared" si="4"/>
        <v>3.7801902468736435</v>
      </c>
      <c r="U31" s="10">
        <f t="shared" si="5"/>
        <v>2.3920898616275488</v>
      </c>
      <c r="V31" s="122">
        <f t="shared" si="6"/>
        <v>1.6310049037557515</v>
      </c>
      <c r="X31" s="25"/>
      <c r="Y31" s="25"/>
      <c r="Z31" s="25"/>
    </row>
    <row r="32" spans="1:26" x14ac:dyDescent="0.2">
      <c r="A32" s="69"/>
      <c r="B32" s="4"/>
      <c r="C32" s="4"/>
      <c r="D32" s="68"/>
      <c r="E32" s="206"/>
      <c r="F32" s="129">
        <f t="shared" si="35"/>
        <v>6.0833333333333321</v>
      </c>
      <c r="G32" s="129">
        <f t="shared" si="36"/>
        <v>5.032044965856393</v>
      </c>
      <c r="H32" s="10">
        <f t="shared" si="37"/>
        <v>3.2964711576160446</v>
      </c>
      <c r="I32" s="122">
        <f t="shared" si="38"/>
        <v>2.2494332116503388</v>
      </c>
      <c r="J32" s="10"/>
      <c r="K32" s="129">
        <f t="shared" si="29"/>
        <v>5.032044965856393</v>
      </c>
      <c r="L32" s="10">
        <f t="shared" si="30"/>
        <v>3.2964711576160446</v>
      </c>
      <c r="M32" s="122">
        <f t="shared" si="31"/>
        <v>2.2494332116503388</v>
      </c>
      <c r="O32" s="129">
        <f t="shared" si="39"/>
        <v>5.109135793288627</v>
      </c>
      <c r="P32" s="10">
        <f t="shared" si="40"/>
        <v>3.2120788128759989</v>
      </c>
      <c r="Q32" s="122">
        <f t="shared" si="41"/>
        <v>2.1640045862835491</v>
      </c>
      <c r="R32" s="25"/>
      <c r="S32" s="144">
        <f t="shared" si="0"/>
        <v>0.24333333333333329</v>
      </c>
      <c r="T32" s="129">
        <f t="shared" si="4"/>
        <v>3.90621430068731</v>
      </c>
      <c r="U32" s="10">
        <f t="shared" si="5"/>
        <v>2.4558102781830158</v>
      </c>
      <c r="V32" s="122">
        <f t="shared" si="6"/>
        <v>1.6545000962389163</v>
      </c>
      <c r="X32" s="25"/>
      <c r="Y32" s="25"/>
      <c r="Z32" s="25"/>
    </row>
    <row r="33" spans="1:26" x14ac:dyDescent="0.2">
      <c r="A33" s="69"/>
      <c r="B33" s="4"/>
      <c r="C33" s="4"/>
      <c r="D33" s="68"/>
      <c r="E33" s="206"/>
      <c r="F33" s="129">
        <f t="shared" si="35"/>
        <v>6.3888888888888875</v>
      </c>
      <c r="G33" s="129">
        <f t="shared" si="36"/>
        <v>5.1968782173350547</v>
      </c>
      <c r="H33" s="10">
        <f t="shared" si="37"/>
        <v>3.3798143221038486</v>
      </c>
      <c r="I33" s="122">
        <f t="shared" si="38"/>
        <v>2.2801637654924112</v>
      </c>
      <c r="J33" s="10"/>
      <c r="K33" s="129">
        <f t="shared" si="29"/>
        <v>5.1968782173350547</v>
      </c>
      <c r="L33" s="10">
        <f t="shared" si="30"/>
        <v>3.3798143221038486</v>
      </c>
      <c r="M33" s="122">
        <f t="shared" si="31"/>
        <v>2.2801637654924112</v>
      </c>
      <c r="O33" s="129">
        <f t="shared" si="39"/>
        <v>5.2739690447672887</v>
      </c>
      <c r="P33" s="10">
        <f t="shared" si="40"/>
        <v>3.2954219773638029</v>
      </c>
      <c r="Q33" s="122">
        <f t="shared" si="41"/>
        <v>2.194735140125621</v>
      </c>
      <c r="R33" s="25"/>
      <c r="S33" s="144">
        <f t="shared" si="0"/>
        <v>0.25555555555555548</v>
      </c>
      <c r="T33" s="129">
        <f t="shared" si="4"/>
        <v>4.0322383545009766</v>
      </c>
      <c r="U33" s="10">
        <f t="shared" si="5"/>
        <v>2.5195306947384823</v>
      </c>
      <c r="V33" s="122">
        <f t="shared" si="6"/>
        <v>1.677995288722081</v>
      </c>
      <c r="X33" s="25"/>
      <c r="Y33" s="25"/>
      <c r="Z33" s="25"/>
    </row>
    <row r="34" spans="1:26" x14ac:dyDescent="0.2">
      <c r="A34" s="69"/>
      <c r="B34" s="4"/>
      <c r="C34" s="4"/>
      <c r="D34" s="68"/>
      <c r="E34" s="206"/>
      <c r="F34" s="129">
        <f t="shared" si="35"/>
        <v>6.6944444444444429</v>
      </c>
      <c r="G34" s="129">
        <f t="shared" si="36"/>
        <v>5.3617114688137164</v>
      </c>
      <c r="H34" s="10">
        <f t="shared" si="37"/>
        <v>3.463157486591653</v>
      </c>
      <c r="I34" s="122">
        <f t="shared" si="38"/>
        <v>2.3108943193344831</v>
      </c>
      <c r="J34" s="10"/>
      <c r="K34" s="129">
        <f t="shared" si="29"/>
        <v>5.3617114688137164</v>
      </c>
      <c r="L34" s="10">
        <f t="shared" si="30"/>
        <v>3.463157486591653</v>
      </c>
      <c r="M34" s="122">
        <f t="shared" si="31"/>
        <v>2.3108943193344831</v>
      </c>
      <c r="O34" s="129">
        <f t="shared" si="39"/>
        <v>5.4388022962459504</v>
      </c>
      <c r="P34" s="10">
        <f t="shared" si="40"/>
        <v>3.3787651418516074</v>
      </c>
      <c r="Q34" s="122">
        <f>M34-(M$26-Q$25)</f>
        <v>2.2254656939676929</v>
      </c>
      <c r="R34" s="25"/>
      <c r="S34" s="144">
        <f t="shared" si="0"/>
        <v>0.26777777777777773</v>
      </c>
      <c r="T34" s="129">
        <f t="shared" si="4"/>
        <v>4.1582624083146431</v>
      </c>
      <c r="U34" s="10">
        <f t="shared" si="5"/>
        <v>2.5832511112939485</v>
      </c>
      <c r="V34" s="122">
        <f t="shared" si="6"/>
        <v>1.7014904812052456</v>
      </c>
      <c r="X34" s="25"/>
      <c r="Y34" s="25"/>
      <c r="Z34" s="25"/>
    </row>
    <row r="35" spans="1:26" x14ac:dyDescent="0.2">
      <c r="A35" s="70"/>
      <c r="B35" s="138"/>
      <c r="C35" s="138"/>
      <c r="D35" s="73"/>
      <c r="E35" s="207"/>
      <c r="F35" s="130">
        <f>Input!$I$8</f>
        <v>7.0000000000000009</v>
      </c>
      <c r="G35" s="130">
        <f t="shared" si="36"/>
        <v>5.5265447202923799</v>
      </c>
      <c r="H35" s="123">
        <f t="shared" si="37"/>
        <v>3.5465006510794579</v>
      </c>
      <c r="I35" s="124">
        <f>D$27*$F35+D$28</f>
        <v>2.3416248731765554</v>
      </c>
      <c r="J35" s="10"/>
      <c r="K35" s="130">
        <f t="shared" si="29"/>
        <v>5.5265447202923799</v>
      </c>
      <c r="L35" s="123">
        <f t="shared" si="30"/>
        <v>3.5465006510794579</v>
      </c>
      <c r="M35" s="124">
        <f t="shared" si="31"/>
        <v>2.3416248731765554</v>
      </c>
      <c r="O35" s="130">
        <f t="shared" si="39"/>
        <v>5.6036355477246138</v>
      </c>
      <c r="P35" s="123">
        <f t="shared" si="40"/>
        <v>3.4621083063394122</v>
      </c>
      <c r="Q35" s="124">
        <f t="shared" si="41"/>
        <v>2.2561962478097657</v>
      </c>
      <c r="R35" s="25"/>
      <c r="S35" s="143">
        <f t="shared" si="0"/>
        <v>0.28000000000000003</v>
      </c>
      <c r="T35" s="130">
        <f t="shared" si="4"/>
        <v>4.2842864621283114</v>
      </c>
      <c r="U35" s="123">
        <f t="shared" si="5"/>
        <v>2.6469715278494155</v>
      </c>
      <c r="V35" s="124">
        <f t="shared" si="6"/>
        <v>1.724985673688411</v>
      </c>
      <c r="X35" s="25"/>
      <c r="Y35" s="25"/>
      <c r="Z35" s="25"/>
    </row>
    <row r="36" spans="1:26" ht="16" customHeight="1" x14ac:dyDescent="0.2">
      <c r="A36" s="61"/>
      <c r="B36" s="134" t="s">
        <v>85</v>
      </c>
      <c r="C36" s="134" t="s">
        <v>86</v>
      </c>
      <c r="D36" s="135" t="s">
        <v>87</v>
      </c>
      <c r="E36" s="205" t="s">
        <v>29</v>
      </c>
      <c r="F36" s="128">
        <f>F35</f>
        <v>7.0000000000000009</v>
      </c>
      <c r="G36" s="128">
        <f>B$37*$F36+B$38</f>
        <v>4.9577590154195041</v>
      </c>
      <c r="H36" s="120">
        <f t="shared" ref="H36:I36" si="42">C$37*$F36+C$38</f>
        <v>3.2144022756854924</v>
      </c>
      <c r="I36" s="121">
        <f t="shared" si="42"/>
        <v>2.2225107897475533</v>
      </c>
      <c r="J36" s="10"/>
      <c r="K36" s="128">
        <f>G36</f>
        <v>4.9577590154195041</v>
      </c>
      <c r="L36" s="120">
        <f t="shared" ref="L36:M36" si="43">H36</f>
        <v>3.2144022756854924</v>
      </c>
      <c r="M36" s="121">
        <f t="shared" si="43"/>
        <v>2.2225107897475533</v>
      </c>
      <c r="O36" s="128">
        <f>K36-(K$36-O$35)</f>
        <v>5.6036355477246138</v>
      </c>
      <c r="P36" s="120">
        <f t="shared" ref="P36:Q36" si="44">L36-(L$36-P$35)</f>
        <v>3.4621083063394122</v>
      </c>
      <c r="Q36" s="121">
        <f t="shared" si="44"/>
        <v>2.2561962478097657</v>
      </c>
      <c r="R36" s="25"/>
      <c r="S36" s="142">
        <f t="shared" si="0"/>
        <v>0.28000000000000003</v>
      </c>
      <c r="T36" s="128">
        <f t="shared" si="4"/>
        <v>4.2842864621283114</v>
      </c>
      <c r="U36" s="120">
        <f t="shared" si="5"/>
        <v>2.6469715278494155</v>
      </c>
      <c r="V36" s="121">
        <f t="shared" si="6"/>
        <v>1.724985673688411</v>
      </c>
      <c r="X36" s="25"/>
      <c r="Y36" s="25"/>
      <c r="Z36" s="25"/>
    </row>
    <row r="37" spans="1:26" x14ac:dyDescent="0.2">
      <c r="A37" s="65" t="s">
        <v>23</v>
      </c>
      <c r="B37" s="4">
        <f>'Coefficients (Sa(T1))'!B56</f>
        <v>0.22140796606161681</v>
      </c>
      <c r="C37" s="4">
        <f>'Coefficients (Sa(T1))'!G56</f>
        <v>9.8077439540988701E-2</v>
      </c>
      <c r="D37" s="68">
        <f>'Coefficients (Sa(T1))'!L56</f>
        <v>3.605463457167251E-2</v>
      </c>
      <c r="E37" s="206"/>
      <c r="F37" s="129">
        <f t="shared" ref="F37:F44" si="45">F36+($F$45-$F$36)/9</f>
        <v>7.3331805555555567</v>
      </c>
      <c r="G37" s="129">
        <f t="shared" ref="G37:G44" si="46">B$37*$F37+B$38</f>
        <v>5.0315278445563401</v>
      </c>
      <c r="H37" s="10">
        <f t="shared" ref="H37:H45" si="47">C$37*$F37+C$38</f>
        <v>3.2470797714792257</v>
      </c>
      <c r="I37" s="122">
        <f t="shared" ref="I37:I45" si="48">D$37*$F37+D$38</f>
        <v>2.2345234929244957</v>
      </c>
      <c r="J37" s="10"/>
      <c r="K37" s="129">
        <f t="shared" si="29"/>
        <v>5.0315278445563401</v>
      </c>
      <c r="L37" s="10">
        <f t="shared" si="30"/>
        <v>3.2470797714792257</v>
      </c>
      <c r="M37" s="122">
        <f t="shared" si="31"/>
        <v>2.2345234929244957</v>
      </c>
      <c r="O37" s="129">
        <f t="shared" ref="O37:O45" si="49">K37-(K$36-O$35)</f>
        <v>5.6774043768614497</v>
      </c>
      <c r="P37" s="10">
        <f t="shared" ref="P37:P45" si="50">L37-(L$36-P$35)</f>
        <v>3.4947858021331455</v>
      </c>
      <c r="Q37" s="122">
        <f t="shared" ref="Q37:Q45" si="51">M37-(M$36-Q$35)</f>
        <v>2.2682089509867081</v>
      </c>
      <c r="R37" s="25"/>
      <c r="S37" s="144">
        <f t="shared" si="0"/>
        <v>0.29332722222222229</v>
      </c>
      <c r="T37" s="129">
        <f t="shared" si="4"/>
        <v>4.3406867746229967</v>
      </c>
      <c r="U37" s="10">
        <f t="shared" si="5"/>
        <v>2.6719552641493602</v>
      </c>
      <c r="V37" s="122">
        <f t="shared" si="6"/>
        <v>1.7341700435776053</v>
      </c>
      <c r="X37" s="25"/>
      <c r="Y37" s="25"/>
      <c r="Z37" s="25"/>
    </row>
    <row r="38" spans="1:26" x14ac:dyDescent="0.2">
      <c r="A38" s="65" t="s">
        <v>24</v>
      </c>
      <c r="B38" s="4">
        <f>'Coefficients (Sa(T1))'!B57</f>
        <v>3.4079032529881865</v>
      </c>
      <c r="C38" s="4">
        <f>'Coefficients (Sa(T1))'!G57</f>
        <v>2.5278601988985714</v>
      </c>
      <c r="D38" s="68">
        <f>'Coefficients (Sa(T1))'!L57</f>
        <v>1.9701283477458458</v>
      </c>
      <c r="E38" s="206"/>
      <c r="F38" s="129">
        <f t="shared" si="45"/>
        <v>7.6663611111111125</v>
      </c>
      <c r="G38" s="129">
        <f t="shared" si="46"/>
        <v>5.1052966736931751</v>
      </c>
      <c r="H38" s="10">
        <f t="shared" si="47"/>
        <v>3.2797572672729585</v>
      </c>
      <c r="I38" s="122">
        <f t="shared" si="48"/>
        <v>2.2465361961014381</v>
      </c>
      <c r="J38" s="10"/>
      <c r="K38" s="129">
        <f t="shared" si="29"/>
        <v>5.1052966736931751</v>
      </c>
      <c r="L38" s="10">
        <f t="shared" si="30"/>
        <v>3.2797572672729585</v>
      </c>
      <c r="M38" s="122">
        <f t="shared" si="31"/>
        <v>2.2465361961014381</v>
      </c>
      <c r="O38" s="129">
        <f t="shared" si="49"/>
        <v>5.7511732059982847</v>
      </c>
      <c r="P38" s="10">
        <f t="shared" si="50"/>
        <v>3.5274632979268783</v>
      </c>
      <c r="Q38" s="122">
        <f t="shared" si="51"/>
        <v>2.2802216541636504</v>
      </c>
      <c r="R38" s="25"/>
      <c r="S38" s="144">
        <f t="shared" si="0"/>
        <v>0.30665444444444451</v>
      </c>
      <c r="T38" s="129">
        <f t="shared" si="4"/>
        <v>4.3970870871176828</v>
      </c>
      <c r="U38" s="10">
        <f t="shared" si="5"/>
        <v>2.6969390004493046</v>
      </c>
      <c r="V38" s="122">
        <f t="shared" si="6"/>
        <v>1.7433544134667993</v>
      </c>
      <c r="X38" s="25"/>
      <c r="Y38" s="25"/>
      <c r="Z38" s="25"/>
    </row>
    <row r="39" spans="1:26" x14ac:dyDescent="0.2">
      <c r="A39" s="69"/>
      <c r="B39" s="4"/>
      <c r="C39" s="4"/>
      <c r="D39" s="68"/>
      <c r="E39" s="206"/>
      <c r="F39" s="129">
        <f t="shared" si="45"/>
        <v>7.9995416666666683</v>
      </c>
      <c r="G39" s="129">
        <f t="shared" si="46"/>
        <v>5.1790655028300101</v>
      </c>
      <c r="H39" s="10">
        <f t="shared" si="47"/>
        <v>3.3124347630666913</v>
      </c>
      <c r="I39" s="122">
        <f t="shared" si="48"/>
        <v>2.2585488992783804</v>
      </c>
      <c r="J39" s="10"/>
      <c r="K39" s="129">
        <f>IF(G39&lt;K38,K38,G39)</f>
        <v>5.1790655028300101</v>
      </c>
      <c r="L39" s="10">
        <f t="shared" si="30"/>
        <v>3.3124347630666913</v>
      </c>
      <c r="M39" s="122">
        <f t="shared" si="31"/>
        <v>2.2585488992783804</v>
      </c>
      <c r="O39" s="129">
        <f t="shared" si="49"/>
        <v>5.8249420351351198</v>
      </c>
      <c r="P39" s="10">
        <f t="shared" si="50"/>
        <v>3.5601407937206111</v>
      </c>
      <c r="Q39" s="122">
        <f t="shared" si="51"/>
        <v>2.2922343573405928</v>
      </c>
      <c r="R39" s="25"/>
      <c r="S39" s="144">
        <f t="shared" si="0"/>
        <v>0.31998166666666672</v>
      </c>
      <c r="T39" s="129">
        <f t="shared" si="4"/>
        <v>4.4534873996123689</v>
      </c>
      <c r="U39" s="10">
        <f t="shared" si="5"/>
        <v>2.721922736749248</v>
      </c>
      <c r="V39" s="122">
        <f t="shared" si="6"/>
        <v>1.7525387833559936</v>
      </c>
      <c r="X39" s="25"/>
      <c r="Y39" s="25"/>
      <c r="Z39" s="25"/>
    </row>
    <row r="40" spans="1:26" x14ac:dyDescent="0.2">
      <c r="A40" s="69"/>
      <c r="B40" s="4"/>
      <c r="C40" s="4"/>
      <c r="D40" s="68"/>
      <c r="E40" s="206"/>
      <c r="F40" s="129">
        <f t="shared" si="45"/>
        <v>8.3327222222222233</v>
      </c>
      <c r="G40" s="129">
        <f t="shared" si="46"/>
        <v>5.2528343319668451</v>
      </c>
      <c r="H40" s="10">
        <f t="shared" si="47"/>
        <v>3.3451122588604245</v>
      </c>
      <c r="I40" s="122">
        <f t="shared" si="48"/>
        <v>2.2705616024553228</v>
      </c>
      <c r="J40" s="10"/>
      <c r="K40" s="129">
        <f t="shared" si="29"/>
        <v>5.2528343319668451</v>
      </c>
      <c r="L40" s="10">
        <f t="shared" si="30"/>
        <v>3.3451122588604245</v>
      </c>
      <c r="M40" s="122">
        <f>IF(I40&lt;M39,M39,I40)</f>
        <v>2.2705616024553228</v>
      </c>
      <c r="O40" s="129">
        <f t="shared" si="49"/>
        <v>5.8987108642719548</v>
      </c>
      <c r="P40" s="10">
        <f t="shared" si="50"/>
        <v>3.5928182895143443</v>
      </c>
      <c r="Q40" s="122">
        <f t="shared" si="51"/>
        <v>2.3042470605175351</v>
      </c>
      <c r="R40" s="25"/>
      <c r="S40" s="144">
        <f t="shared" si="0"/>
        <v>0.33330888888888893</v>
      </c>
      <c r="T40" s="129">
        <f t="shared" si="4"/>
        <v>4.5098877121070551</v>
      </c>
      <c r="U40" s="10">
        <f t="shared" si="5"/>
        <v>2.7469064730491928</v>
      </c>
      <c r="V40" s="122">
        <f t="shared" si="6"/>
        <v>1.7617231532451878</v>
      </c>
      <c r="X40" s="25"/>
      <c r="Y40" s="25"/>
      <c r="Z40" s="25"/>
    </row>
    <row r="41" spans="1:26" x14ac:dyDescent="0.2">
      <c r="A41" s="69"/>
      <c r="B41" s="4"/>
      <c r="C41" s="4"/>
      <c r="D41" s="68"/>
      <c r="E41" s="206"/>
      <c r="F41" s="129">
        <f t="shared" si="45"/>
        <v>8.6659027777777791</v>
      </c>
      <c r="G41" s="129">
        <f t="shared" si="46"/>
        <v>5.3266031611036802</v>
      </c>
      <c r="H41" s="10">
        <f t="shared" si="47"/>
        <v>3.3777897546541578</v>
      </c>
      <c r="I41" s="122">
        <f t="shared" si="48"/>
        <v>2.2825743056322652</v>
      </c>
      <c r="J41" s="10"/>
      <c r="K41" s="129">
        <f t="shared" si="29"/>
        <v>5.3266031611036802</v>
      </c>
      <c r="L41" s="10">
        <f t="shared" si="30"/>
        <v>3.3777897546541578</v>
      </c>
      <c r="M41" s="122">
        <f t="shared" si="31"/>
        <v>2.2825743056322652</v>
      </c>
      <c r="O41" s="129">
        <f t="shared" si="49"/>
        <v>5.9724796934087898</v>
      </c>
      <c r="P41" s="10">
        <f t="shared" si="50"/>
        <v>3.6254957853080776</v>
      </c>
      <c r="Q41" s="122">
        <f t="shared" si="51"/>
        <v>2.3162597636944775</v>
      </c>
      <c r="R41" s="25"/>
      <c r="S41" s="144">
        <f t="shared" si="0"/>
        <v>0.34663611111111114</v>
      </c>
      <c r="T41" s="129">
        <f t="shared" si="4"/>
        <v>4.5662880246017412</v>
      </c>
      <c r="U41" s="10">
        <f t="shared" si="5"/>
        <v>2.7718902093491371</v>
      </c>
      <c r="V41" s="122">
        <f t="shared" si="6"/>
        <v>1.7709075231343818</v>
      </c>
      <c r="X41" s="25"/>
      <c r="Y41" s="25"/>
      <c r="Z41" s="25"/>
    </row>
    <row r="42" spans="1:26" x14ac:dyDescent="0.2">
      <c r="A42" s="69"/>
      <c r="B42" s="4"/>
      <c r="C42" s="4"/>
      <c r="D42" s="68"/>
      <c r="E42" s="206"/>
      <c r="F42" s="129">
        <f t="shared" si="45"/>
        <v>8.9990833333333349</v>
      </c>
      <c r="G42" s="129">
        <f t="shared" si="46"/>
        <v>5.4003719902405152</v>
      </c>
      <c r="H42" s="10">
        <f t="shared" si="47"/>
        <v>3.4104672504478906</v>
      </c>
      <c r="I42" s="122">
        <f t="shared" si="48"/>
        <v>2.2945870088092075</v>
      </c>
      <c r="J42" s="10"/>
      <c r="K42" s="129">
        <f t="shared" si="29"/>
        <v>5.4003719902405152</v>
      </c>
      <c r="L42" s="10">
        <f t="shared" si="30"/>
        <v>3.4104672504478906</v>
      </c>
      <c r="M42" s="122">
        <f t="shared" si="31"/>
        <v>2.2945870088092075</v>
      </c>
      <c r="O42" s="129">
        <f t="shared" si="49"/>
        <v>6.0462485225456248</v>
      </c>
      <c r="P42" s="10">
        <f t="shared" si="50"/>
        <v>3.6581732811018104</v>
      </c>
      <c r="Q42" s="122">
        <f t="shared" si="51"/>
        <v>2.3282724668714199</v>
      </c>
      <c r="R42" s="25"/>
      <c r="S42" s="144">
        <f t="shared" si="0"/>
        <v>0.35996333333333336</v>
      </c>
      <c r="T42" s="129">
        <f t="shared" si="4"/>
        <v>4.6226883370964273</v>
      </c>
      <c r="U42" s="10">
        <f t="shared" si="5"/>
        <v>2.796873945649081</v>
      </c>
      <c r="V42" s="122">
        <f t="shared" si="6"/>
        <v>1.7800918930235758</v>
      </c>
      <c r="X42" s="25"/>
      <c r="Y42" s="25"/>
      <c r="Z42" s="25"/>
    </row>
    <row r="43" spans="1:26" x14ac:dyDescent="0.2">
      <c r="A43" s="69"/>
      <c r="B43" s="4"/>
      <c r="C43" s="4"/>
      <c r="D43" s="68"/>
      <c r="E43" s="206"/>
      <c r="F43" s="129">
        <f t="shared" si="45"/>
        <v>9.3322638888888907</v>
      </c>
      <c r="G43" s="129">
        <f t="shared" si="46"/>
        <v>5.4741408193773502</v>
      </c>
      <c r="H43" s="10">
        <f t="shared" si="47"/>
        <v>3.4431447462416238</v>
      </c>
      <c r="I43" s="122">
        <f t="shared" si="48"/>
        <v>2.3065997119861503</v>
      </c>
      <c r="J43" s="10"/>
      <c r="K43" s="129">
        <f t="shared" si="29"/>
        <v>5.4741408193773502</v>
      </c>
      <c r="L43" s="10">
        <f t="shared" si="30"/>
        <v>3.4431447462416238</v>
      </c>
      <c r="M43" s="122">
        <f t="shared" si="31"/>
        <v>2.3065997119861503</v>
      </c>
      <c r="O43" s="129">
        <f t="shared" si="49"/>
        <v>6.1200173516824599</v>
      </c>
      <c r="P43" s="10">
        <f t="shared" si="50"/>
        <v>3.6908507768955436</v>
      </c>
      <c r="Q43" s="122">
        <f t="shared" si="51"/>
        <v>2.3402851700483627</v>
      </c>
      <c r="R43" s="25"/>
      <c r="S43" s="144">
        <f t="shared" si="0"/>
        <v>0.37329055555555563</v>
      </c>
      <c r="T43" s="129">
        <f t="shared" si="4"/>
        <v>4.6790886495911135</v>
      </c>
      <c r="U43" s="10">
        <f t="shared" si="5"/>
        <v>2.8218576819490253</v>
      </c>
      <c r="V43" s="122">
        <f t="shared" si="6"/>
        <v>1.7892762629127705</v>
      </c>
      <c r="X43" s="25"/>
      <c r="Y43" s="25"/>
      <c r="Z43" s="25"/>
    </row>
    <row r="44" spans="1:26" x14ac:dyDescent="0.2">
      <c r="A44" s="69"/>
      <c r="B44" s="4"/>
      <c r="C44" s="4"/>
      <c r="D44" s="68"/>
      <c r="E44" s="206"/>
      <c r="F44" s="129">
        <f t="shared" si="45"/>
        <v>9.6654444444444465</v>
      </c>
      <c r="G44" s="129">
        <f t="shared" si="46"/>
        <v>5.5479096485141852</v>
      </c>
      <c r="H44" s="10">
        <f t="shared" si="47"/>
        <v>3.4758222420353566</v>
      </c>
      <c r="I44" s="122">
        <f t="shared" si="48"/>
        <v>2.3186124151630927</v>
      </c>
      <c r="J44" s="10"/>
      <c r="K44" s="129">
        <f t="shared" si="29"/>
        <v>5.5479096485141852</v>
      </c>
      <c r="L44" s="10">
        <f t="shared" si="30"/>
        <v>3.4758222420353566</v>
      </c>
      <c r="M44" s="122">
        <f t="shared" si="31"/>
        <v>2.3186124151630927</v>
      </c>
      <c r="O44" s="129">
        <f t="shared" si="49"/>
        <v>6.1937861808192949</v>
      </c>
      <c r="P44" s="10">
        <f t="shared" si="50"/>
        <v>3.7235282726892764</v>
      </c>
      <c r="Q44" s="122">
        <f t="shared" si="51"/>
        <v>2.352297873225305</v>
      </c>
      <c r="R44" s="25"/>
      <c r="S44" s="144">
        <f t="shared" si="0"/>
        <v>0.38661777777777784</v>
      </c>
      <c r="T44" s="129">
        <f t="shared" si="4"/>
        <v>4.7354889620857996</v>
      </c>
      <c r="U44" s="10">
        <f t="shared" si="5"/>
        <v>2.8468414182489696</v>
      </c>
      <c r="V44" s="122">
        <f t="shared" si="6"/>
        <v>1.7984606328019648</v>
      </c>
      <c r="X44" s="25"/>
      <c r="Y44" s="25"/>
      <c r="Z44" s="25"/>
    </row>
    <row r="45" spans="1:26" x14ac:dyDescent="0.2">
      <c r="A45" s="70"/>
      <c r="B45" s="138"/>
      <c r="C45" s="138"/>
      <c r="D45" s="73"/>
      <c r="E45" s="207"/>
      <c r="F45" s="130">
        <f>Input!I9</f>
        <v>9.9986250000000005</v>
      </c>
      <c r="G45" s="130">
        <f>B$37*$F45+B$38</f>
        <v>5.6216784776510202</v>
      </c>
      <c r="H45" s="123">
        <f t="shared" si="47"/>
        <v>3.5084997378290899</v>
      </c>
      <c r="I45" s="124">
        <f t="shared" si="48"/>
        <v>2.3306251183400351</v>
      </c>
      <c r="J45" s="10"/>
      <c r="K45" s="130">
        <f t="shared" si="29"/>
        <v>5.6216784776510202</v>
      </c>
      <c r="L45" s="123">
        <f t="shared" si="30"/>
        <v>3.5084997378290899</v>
      </c>
      <c r="M45" s="124">
        <f t="shared" si="31"/>
        <v>2.3306251183400351</v>
      </c>
      <c r="O45" s="130">
        <f t="shared" si="49"/>
        <v>6.2675550099561299</v>
      </c>
      <c r="P45" s="123">
        <f t="shared" si="50"/>
        <v>3.7562057684830097</v>
      </c>
      <c r="Q45" s="124">
        <f t="shared" si="51"/>
        <v>2.3643105764022474</v>
      </c>
      <c r="R45" s="25"/>
      <c r="S45" s="143">
        <f t="shared" si="0"/>
        <v>0.39994499999999999</v>
      </c>
      <c r="T45" s="130">
        <f t="shared" si="4"/>
        <v>4.7918892745804849</v>
      </c>
      <c r="U45" s="123">
        <f t="shared" si="5"/>
        <v>2.871825154548914</v>
      </c>
      <c r="V45" s="124">
        <f t="shared" si="6"/>
        <v>1.8076450026911586</v>
      </c>
      <c r="X45" s="25"/>
      <c r="Y45" s="25"/>
      <c r="Z45" s="25"/>
    </row>
    <row r="46" spans="1:26" x14ac:dyDescent="0.2">
      <c r="A46" s="86"/>
      <c r="B46" s="139"/>
      <c r="C46" s="139"/>
      <c r="D46" s="87"/>
      <c r="E46" s="32" t="s">
        <v>30</v>
      </c>
      <c r="F46" s="131">
        <f>F45+2</f>
        <v>11.998625000000001</v>
      </c>
      <c r="G46" s="131">
        <f>G45</f>
        <v>5.6216784776510202</v>
      </c>
      <c r="H46" s="118">
        <f t="shared" ref="H46:I46" si="52">H45</f>
        <v>3.5084997378290899</v>
      </c>
      <c r="I46" s="119">
        <f t="shared" si="52"/>
        <v>2.3306251183400351</v>
      </c>
      <c r="J46" s="10"/>
      <c r="K46" s="131">
        <f t="shared" si="29"/>
        <v>5.6216784776510202</v>
      </c>
      <c r="L46" s="118">
        <f t="shared" si="30"/>
        <v>3.5084997378290899</v>
      </c>
      <c r="M46" s="119">
        <f t="shared" si="31"/>
        <v>2.3306251183400351</v>
      </c>
      <c r="O46" s="131">
        <f>O45</f>
        <v>6.2675550099561299</v>
      </c>
      <c r="P46" s="118">
        <f t="shared" ref="P46" si="53">P45</f>
        <v>3.7562057684830097</v>
      </c>
      <c r="Q46" s="119">
        <f>Q45</f>
        <v>2.3643105764022474</v>
      </c>
      <c r="R46" s="25"/>
      <c r="S46" s="145">
        <f t="shared" si="0"/>
        <v>0.47994499999999995</v>
      </c>
      <c r="T46" s="131">
        <f t="shared" si="4"/>
        <v>4.7918892745804849</v>
      </c>
      <c r="U46" s="118">
        <f t="shared" si="5"/>
        <v>2.871825154548914</v>
      </c>
      <c r="V46" s="119">
        <f t="shared" si="6"/>
        <v>1.8076450026911586</v>
      </c>
      <c r="X46" s="25"/>
      <c r="Y46" s="25"/>
      <c r="Z46" s="25"/>
    </row>
  </sheetData>
  <sheetProtection algorithmName="SHA-512" hashValue="CzDR29ZacZqJshUbSQJTN/vCuiZUSak48oooVbugJ2HIaAltOnpZ/oRSvLq46usFFAg1ZY/DoKGUSRpUwhp2Yg==" saltValue="OTp2fDpGdOhr8t1w33lg0Q==" spinCount="100000" sheet="1" objects="1" scenarios="1"/>
  <mergeCells count="13">
    <mergeCell ref="E36:E45"/>
    <mergeCell ref="E4:E5"/>
    <mergeCell ref="E6:E15"/>
    <mergeCell ref="E16:E25"/>
    <mergeCell ref="G3:I3"/>
    <mergeCell ref="E26:E35"/>
    <mergeCell ref="A3:D3"/>
    <mergeCell ref="O3:Q3"/>
    <mergeCell ref="O1:Q1"/>
    <mergeCell ref="T1:V1"/>
    <mergeCell ref="T3:V3"/>
    <mergeCell ref="K3:M3"/>
    <mergeCell ref="K1:M1"/>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97CE0-71CC-0145-BA60-F06F4C874F1E}">
  <dimension ref="A1:P26"/>
  <sheetViews>
    <sheetView workbookViewId="0">
      <selection activeCell="L24" sqref="L24"/>
    </sheetView>
  </sheetViews>
  <sheetFormatPr baseColWidth="10" defaultRowHeight="16" x14ac:dyDescent="0.2"/>
  <sheetData>
    <row r="1" spans="1:15" ht="22" thickBot="1" x14ac:dyDescent="0.3">
      <c r="A1" s="195" t="s">
        <v>81</v>
      </c>
      <c r="B1" s="196"/>
      <c r="C1" s="196"/>
      <c r="D1" s="196"/>
      <c r="E1" s="197"/>
      <c r="F1" s="195" t="s">
        <v>82</v>
      </c>
      <c r="G1" s="196"/>
      <c r="H1" s="196"/>
      <c r="I1" s="196"/>
      <c r="J1" s="197"/>
      <c r="K1" s="195" t="s">
        <v>83</v>
      </c>
      <c r="L1" s="196"/>
      <c r="M1" s="196"/>
      <c r="N1" s="196"/>
      <c r="O1" s="197"/>
    </row>
    <row r="2" spans="1:15" ht="17" thickBot="1" x14ac:dyDescent="0.25">
      <c r="A2" s="192" t="s">
        <v>70</v>
      </c>
      <c r="B2" s="193"/>
      <c r="C2" s="193"/>
      <c r="D2" s="193"/>
      <c r="E2" s="194"/>
      <c r="F2" s="193" t="s">
        <v>70</v>
      </c>
      <c r="G2" s="193"/>
      <c r="H2" s="193"/>
      <c r="I2" s="193"/>
      <c r="J2" s="194"/>
      <c r="K2" s="192" t="s">
        <v>70</v>
      </c>
      <c r="L2" s="193"/>
      <c r="M2" s="193"/>
      <c r="N2" s="193"/>
      <c r="O2" s="194"/>
    </row>
    <row r="3" spans="1:15" x14ac:dyDescent="0.2">
      <c r="A3" s="106"/>
      <c r="B3" s="4"/>
      <c r="C3" s="4"/>
      <c r="D3" s="4"/>
      <c r="E3" s="107"/>
      <c r="K3" s="106"/>
      <c r="L3" s="4"/>
      <c r="M3" s="4"/>
      <c r="N3" s="4"/>
      <c r="O3" s="107"/>
    </row>
    <row r="4" spans="1:15" x14ac:dyDescent="0.2">
      <c r="A4" s="108"/>
      <c r="B4" s="155" t="s">
        <v>99</v>
      </c>
      <c r="C4" s="155" t="s">
        <v>100</v>
      </c>
      <c r="D4" s="7"/>
      <c r="E4" s="109"/>
      <c r="F4" s="105"/>
      <c r="G4" s="155" t="s">
        <v>101</v>
      </c>
      <c r="H4" s="155" t="s">
        <v>102</v>
      </c>
      <c r="I4" s="7"/>
      <c r="J4" s="22"/>
      <c r="K4" s="108"/>
      <c r="L4" s="155" t="s">
        <v>103</v>
      </c>
      <c r="M4" s="155" t="s">
        <v>104</v>
      </c>
      <c r="N4" s="7"/>
      <c r="O4" s="109"/>
    </row>
    <row r="5" spans="1:15" x14ac:dyDescent="0.2">
      <c r="A5" s="20"/>
      <c r="B5" s="7">
        <f>-0.5563*(T_star*T_star)+0.711*T_star+0.0115</f>
        <v>0.23378435936769892</v>
      </c>
      <c r="C5" s="7">
        <f>0.5563*(T_star*T_star)-0.711*T_star+0.9885</f>
        <v>0.76621564063230108</v>
      </c>
      <c r="D5" s="7"/>
      <c r="E5" s="101"/>
      <c r="F5" s="1"/>
      <c r="G5" s="7">
        <f>-0.634*(T_star*T_star)+0.9239*T_star+0.08742</f>
        <v>0.40268590646826302</v>
      </c>
      <c r="H5" s="7">
        <f>0.634*(T_star*T_star)-0.9239*T_star+0.9126</f>
        <v>0.59733409353173694</v>
      </c>
      <c r="I5" s="7"/>
      <c r="J5" s="9"/>
      <c r="K5" s="20"/>
      <c r="L5" s="7">
        <f>-1.053*(T_star*T_star)+1.509*T_star+0.1239</f>
        <v>0.63362184518301623</v>
      </c>
      <c r="M5" s="7">
        <f>1.053*(T_star*T_star)-1.509*T_star+0.8761</f>
        <v>0.36637815481698377</v>
      </c>
      <c r="N5" s="7"/>
      <c r="O5" s="101"/>
    </row>
    <row r="6" spans="1:15" x14ac:dyDescent="0.2">
      <c r="A6" s="20"/>
      <c r="B6" s="7"/>
      <c r="C6" s="7"/>
      <c r="D6" s="7"/>
      <c r="E6" s="101"/>
      <c r="F6" s="1"/>
      <c r="G6" s="7"/>
      <c r="H6" s="7"/>
      <c r="I6" s="7"/>
      <c r="J6" s="9"/>
      <c r="K6" s="20"/>
      <c r="L6" s="7"/>
      <c r="M6" s="7"/>
      <c r="N6" s="7"/>
      <c r="O6" s="101"/>
    </row>
    <row r="7" spans="1:15" ht="17" thickBot="1" x14ac:dyDescent="0.25">
      <c r="A7" s="152"/>
      <c r="B7" s="149"/>
      <c r="C7" s="149"/>
      <c r="D7" s="149"/>
      <c r="E7" s="153"/>
      <c r="F7" s="149"/>
      <c r="G7" s="149"/>
      <c r="H7" s="149"/>
      <c r="I7" s="149"/>
      <c r="J7" s="154"/>
      <c r="K7" s="152"/>
      <c r="L7" s="149"/>
      <c r="M7" s="149"/>
      <c r="N7" s="149"/>
      <c r="O7" s="153"/>
    </row>
    <row r="8" spans="1:15" ht="17" thickBot="1" x14ac:dyDescent="0.25">
      <c r="A8" s="192" t="s">
        <v>14</v>
      </c>
      <c r="B8" s="193"/>
      <c r="C8" s="193"/>
      <c r="D8" s="193"/>
      <c r="E8" s="194"/>
      <c r="F8" s="193" t="s">
        <v>14</v>
      </c>
      <c r="G8" s="193"/>
      <c r="H8" s="193"/>
      <c r="I8" s="193"/>
      <c r="J8" s="194"/>
      <c r="K8" s="192" t="s">
        <v>14</v>
      </c>
      <c r="L8" s="193"/>
      <c r="M8" s="193"/>
      <c r="N8" s="193"/>
      <c r="O8" s="194"/>
    </row>
    <row r="9" spans="1:15" x14ac:dyDescent="0.2">
      <c r="A9" s="20"/>
      <c r="B9" s="7"/>
      <c r="C9" s="7"/>
      <c r="D9" s="7"/>
      <c r="E9" s="101"/>
      <c r="F9" s="1"/>
      <c r="G9" s="7"/>
      <c r="H9" s="7"/>
      <c r="I9" s="7"/>
      <c r="J9" s="9"/>
      <c r="K9" s="20"/>
      <c r="L9" s="7"/>
      <c r="M9" s="7"/>
      <c r="N9" s="7"/>
      <c r="O9" s="101"/>
    </row>
    <row r="10" spans="1:15" x14ac:dyDescent="0.2">
      <c r="A10" s="20"/>
      <c r="B10" s="155" t="s">
        <v>105</v>
      </c>
      <c r="C10" s="155" t="s">
        <v>106</v>
      </c>
      <c r="D10" s="7"/>
      <c r="E10" s="109"/>
      <c r="F10" s="105"/>
      <c r="G10" s="155" t="s">
        <v>107</v>
      </c>
      <c r="H10" s="155" t="s">
        <v>108</v>
      </c>
      <c r="I10" s="7"/>
      <c r="J10" s="22"/>
      <c r="K10" s="108"/>
      <c r="L10" s="155" t="s">
        <v>109</v>
      </c>
      <c r="M10" s="155" t="s">
        <v>110</v>
      </c>
      <c r="N10" s="7"/>
      <c r="O10" s="101"/>
    </row>
    <row r="11" spans="1:15" x14ac:dyDescent="0.2">
      <c r="A11" s="20"/>
      <c r="B11" s="7">
        <f>0.2186*(T_star/((Input!$H$6-Input!$H$7)/Input!$H$7))^0.34</f>
        <v>0.37506976164555395</v>
      </c>
      <c r="C11" s="7">
        <f>0.7782*(T_star/((Input!$H$6-Input!$H$7)/Input!$H$7))^-0.08327</f>
        <v>0.68181845154669685</v>
      </c>
      <c r="D11" s="7"/>
      <c r="E11" s="101"/>
      <c r="F11" s="1"/>
      <c r="G11" s="7">
        <f>0.377*(T_star/((Input!$H$6-Input!$H$7)/Input!$H$7))^0.2951</f>
        <v>0.60233830579084124</v>
      </c>
      <c r="H11" s="7">
        <f>0.6189*(T_star/((Input!$H$6-Input!$H$7)/Input!$H$7))^-0.1445</f>
        <v>0.49201028047742607</v>
      </c>
      <c r="I11" s="7"/>
      <c r="J11" s="9"/>
      <c r="K11" s="20"/>
      <c r="L11" s="7">
        <f>0.5857*(T_star/((Input!$H$6-Input!$H$7)/Input!$H$7))^0.2825</f>
        <v>0.91724525736356288</v>
      </c>
      <c r="M11" s="7">
        <f>0.4087*(T_star/((Input!$H$6-Input!$H$7)/Input!$H$7))^-0.3054</f>
        <v>0.25165333408736501</v>
      </c>
      <c r="N11" s="7"/>
      <c r="O11" s="101"/>
    </row>
    <row r="12" spans="1:15" x14ac:dyDescent="0.2">
      <c r="A12" s="106"/>
      <c r="B12" s="4"/>
      <c r="C12" s="4"/>
      <c r="D12" s="4"/>
      <c r="E12" s="107"/>
      <c r="G12" s="4"/>
      <c r="H12" s="4"/>
      <c r="I12" s="4"/>
      <c r="K12" s="106"/>
      <c r="L12" s="4"/>
      <c r="M12" s="4"/>
      <c r="N12" s="4"/>
      <c r="O12" s="107"/>
    </row>
    <row r="13" spans="1:15" ht="17" thickBot="1" x14ac:dyDescent="0.25">
      <c r="A13" s="156"/>
      <c r="B13" s="157"/>
      <c r="C13" s="138"/>
      <c r="D13" s="138"/>
      <c r="E13" s="158"/>
      <c r="F13" s="71"/>
      <c r="G13" s="157"/>
      <c r="H13" s="138"/>
      <c r="I13" s="138"/>
      <c r="J13" s="138"/>
      <c r="K13" s="156"/>
      <c r="L13" s="157"/>
      <c r="M13" s="138"/>
      <c r="N13" s="138"/>
      <c r="O13" s="158"/>
    </row>
    <row r="14" spans="1:15" ht="17" thickBot="1" x14ac:dyDescent="0.25">
      <c r="A14" s="192" t="s">
        <v>18</v>
      </c>
      <c r="B14" s="193"/>
      <c r="C14" s="193"/>
      <c r="D14" s="193"/>
      <c r="E14" s="194"/>
      <c r="F14" s="192" t="s">
        <v>18</v>
      </c>
      <c r="G14" s="193"/>
      <c r="H14" s="193"/>
      <c r="I14" s="193"/>
      <c r="J14" s="194"/>
      <c r="K14" s="192" t="s">
        <v>18</v>
      </c>
      <c r="L14" s="193"/>
      <c r="M14" s="193"/>
      <c r="N14" s="193"/>
      <c r="O14" s="194"/>
    </row>
    <row r="15" spans="1:15" x14ac:dyDescent="0.2">
      <c r="A15" s="20"/>
      <c r="B15" s="7"/>
      <c r="C15" s="7"/>
      <c r="D15" s="7"/>
      <c r="E15" s="101"/>
      <c r="F15" s="1"/>
      <c r="G15" s="7"/>
      <c r="H15" s="7"/>
      <c r="I15" s="7"/>
      <c r="J15" s="9"/>
      <c r="K15" s="20"/>
      <c r="L15" s="7"/>
      <c r="M15" s="7"/>
      <c r="N15" s="7"/>
      <c r="O15" s="101"/>
    </row>
    <row r="16" spans="1:15" x14ac:dyDescent="0.2">
      <c r="A16" s="20"/>
      <c r="B16" s="155" t="s">
        <v>111</v>
      </c>
      <c r="C16" s="155" t="s">
        <v>112</v>
      </c>
      <c r="D16" s="7"/>
      <c r="E16" s="109"/>
      <c r="F16" s="105"/>
      <c r="G16" s="155" t="s">
        <v>113</v>
      </c>
      <c r="H16" s="155" t="s">
        <v>114</v>
      </c>
      <c r="I16" s="7"/>
      <c r="J16" s="22"/>
      <c r="K16" s="108"/>
      <c r="L16" s="155" t="s">
        <v>115</v>
      </c>
      <c r="M16" s="155" t="s">
        <v>116</v>
      </c>
      <c r="N16" s="7"/>
      <c r="O16" s="101"/>
    </row>
    <row r="17" spans="1:16" x14ac:dyDescent="0.2">
      <c r="A17" s="20"/>
      <c r="B17" s="7">
        <f>0.07401*(T_star)^2+0.04584*(T_star)-0.00548</f>
        <v>4.1515122621685718E-2</v>
      </c>
      <c r="C17" s="7">
        <f>-2.158*(Input!$H$8)^2+2.196*(Input!$H$8)+0.9244</f>
        <v>1.1532510534450791</v>
      </c>
      <c r="D17" s="7"/>
      <c r="E17" s="101"/>
      <c r="F17" s="1"/>
      <c r="G17" s="7">
        <f>0.04537*(T_star)^2+0.08579*(T_star)-0.01045</f>
        <v>4.981311118459919E-2</v>
      </c>
      <c r="H17" s="7">
        <f>-1.549*(Input!$H$8)^2+1.754*(Input!$H$8)+1.288</f>
        <v>1.6121740194612528</v>
      </c>
      <c r="I17" s="7"/>
      <c r="J17" s="9"/>
      <c r="K17" s="20"/>
      <c r="L17" s="7">
        <f>-0.06217*(T_star)^2+0.2534*(T_star)-0.0286</f>
        <v>9.1080236521545871E-2</v>
      </c>
      <c r="M17" s="7">
        <f>-2.174*(Input!$H$8)^2+2.179*(Input!$H$8)+1.552</f>
        <v>1.7526027490931302</v>
      </c>
      <c r="N17" s="7"/>
      <c r="O17" s="101"/>
    </row>
    <row r="18" spans="1:16" x14ac:dyDescent="0.2">
      <c r="A18" s="106"/>
      <c r="B18" s="4"/>
      <c r="C18" s="4"/>
      <c r="D18" s="4"/>
      <c r="E18" s="107"/>
      <c r="G18" s="4"/>
      <c r="H18" s="4"/>
      <c r="I18" s="4"/>
      <c r="K18" s="106"/>
      <c r="L18" s="4"/>
      <c r="M18" s="4"/>
      <c r="N18" s="4"/>
      <c r="O18" s="107"/>
    </row>
    <row r="19" spans="1:16" ht="17" thickBot="1" x14ac:dyDescent="0.25">
      <c r="A19" s="156"/>
      <c r="B19" s="157"/>
      <c r="C19" s="138"/>
      <c r="D19" s="138"/>
      <c r="E19" s="158"/>
      <c r="F19" s="71"/>
      <c r="G19" s="157"/>
      <c r="H19" s="138"/>
      <c r="I19" s="138"/>
      <c r="J19" s="138"/>
      <c r="K19" s="156"/>
      <c r="L19" s="157"/>
      <c r="M19" s="138"/>
      <c r="N19" s="138"/>
      <c r="O19" s="158"/>
    </row>
    <row r="20" spans="1:16" ht="17" thickBot="1" x14ac:dyDescent="0.25">
      <c r="A20" s="192" t="s">
        <v>18</v>
      </c>
      <c r="B20" s="193"/>
      <c r="C20" s="193"/>
      <c r="D20" s="193"/>
      <c r="E20" s="194"/>
      <c r="F20" s="192" t="s">
        <v>18</v>
      </c>
      <c r="G20" s="193"/>
      <c r="H20" s="193"/>
      <c r="I20" s="193"/>
      <c r="J20" s="194"/>
      <c r="K20" s="192" t="s">
        <v>18</v>
      </c>
      <c r="L20" s="193"/>
      <c r="M20" s="193"/>
      <c r="N20" s="193"/>
      <c r="O20" s="194"/>
    </row>
    <row r="21" spans="1:16" x14ac:dyDescent="0.2">
      <c r="A21" s="20"/>
      <c r="B21" s="7"/>
      <c r="C21" s="7"/>
      <c r="D21" s="7"/>
      <c r="E21" s="101"/>
      <c r="F21" s="1"/>
      <c r="G21" s="7"/>
      <c r="H21" s="7"/>
      <c r="I21" s="7"/>
      <c r="J21" s="9"/>
      <c r="K21" s="20"/>
      <c r="L21" s="7"/>
      <c r="M21" s="7"/>
      <c r="N21" s="7"/>
      <c r="O21" s="101"/>
    </row>
    <row r="22" spans="1:16" x14ac:dyDescent="0.2">
      <c r="A22" s="20"/>
      <c r="B22" s="155" t="s">
        <v>117</v>
      </c>
      <c r="C22" s="155" t="s">
        <v>118</v>
      </c>
      <c r="D22" s="7"/>
      <c r="E22" s="109"/>
      <c r="F22" s="105"/>
      <c r="G22" s="155" t="s">
        <v>119</v>
      </c>
      <c r="H22" s="155" t="s">
        <v>120</v>
      </c>
      <c r="I22" s="7"/>
      <c r="J22" s="22"/>
      <c r="K22" s="108"/>
      <c r="L22" s="155" t="s">
        <v>121</v>
      </c>
      <c r="M22" s="155" t="s">
        <v>122</v>
      </c>
      <c r="N22" s="7"/>
      <c r="O22" s="101"/>
    </row>
    <row r="23" spans="1:16" x14ac:dyDescent="0.2">
      <c r="A23" s="20"/>
      <c r="B23" s="7">
        <f>0.01552*(T_star)-0.001861</f>
        <v>6.6010187740354297E-3</v>
      </c>
      <c r="C23" s="7">
        <f>-1.662*(T_star)^2+2.049*(T_star)+1.173</f>
        <v>1.7961047184898657</v>
      </c>
      <c r="D23" s="7"/>
      <c r="E23" s="101"/>
      <c r="F23" s="1"/>
      <c r="G23" s="7">
        <f>0.02035*(T_star)-0.002569</f>
        <v>8.5264949775528971E-3</v>
      </c>
      <c r="H23" s="7">
        <f>-2.008*(T_star)^2+2.549*(T_star)+1.405</f>
        <v>2.1978626967520292</v>
      </c>
      <c r="I23" s="7"/>
      <c r="J23" s="9"/>
      <c r="K23" s="20"/>
      <c r="L23" s="7">
        <f>0.02875*(T_star)-0.003179</f>
        <v>1.2496453592365888E-2</v>
      </c>
      <c r="M23" s="7">
        <f>-3.886*(T_star)^2+4.641*(T_star)+1.553</f>
        <v>2.9282001325658191</v>
      </c>
      <c r="N23" s="7"/>
      <c r="O23" s="101"/>
    </row>
    <row r="24" spans="1:16" x14ac:dyDescent="0.2">
      <c r="A24" s="106"/>
      <c r="B24" s="4"/>
      <c r="C24" s="4"/>
      <c r="D24" s="4"/>
      <c r="E24" s="107"/>
      <c r="G24" s="4"/>
      <c r="H24" s="4"/>
      <c r="I24" s="4"/>
      <c r="K24" s="106"/>
      <c r="L24" s="4"/>
      <c r="M24" s="4"/>
      <c r="N24" s="4"/>
      <c r="O24" s="107"/>
    </row>
    <row r="25" spans="1:16" x14ac:dyDescent="0.2">
      <c r="A25" s="156"/>
      <c r="B25" s="157"/>
      <c r="C25" s="138"/>
      <c r="D25" s="138"/>
      <c r="E25" s="158"/>
      <c r="F25" s="71"/>
      <c r="G25" s="157"/>
      <c r="H25" s="138"/>
      <c r="I25" s="138"/>
      <c r="J25" s="138"/>
      <c r="K25" s="156"/>
      <c r="L25" s="157"/>
      <c r="M25" s="138"/>
      <c r="N25" s="138"/>
      <c r="O25" s="158"/>
    </row>
    <row r="26" spans="1:16" x14ac:dyDescent="0.2">
      <c r="A26" s="4"/>
      <c r="B26" s="4"/>
      <c r="C26" s="4"/>
      <c r="D26" s="4"/>
      <c r="E26" s="4"/>
      <c r="F26" s="4"/>
      <c r="G26" s="4"/>
      <c r="H26" s="4"/>
      <c r="I26" s="4"/>
      <c r="J26" s="4"/>
      <c r="K26" s="4"/>
      <c r="L26" s="4"/>
      <c r="M26" s="4"/>
      <c r="N26" s="4"/>
      <c r="O26" s="4"/>
      <c r="P26" s="4"/>
    </row>
  </sheetData>
  <mergeCells count="15">
    <mergeCell ref="A1:E1"/>
    <mergeCell ref="F1:J1"/>
    <mergeCell ref="K1:O1"/>
    <mergeCell ref="A2:E2"/>
    <mergeCell ref="F2:J2"/>
    <mergeCell ref="K2:O2"/>
    <mergeCell ref="A20:E20"/>
    <mergeCell ref="F20:J20"/>
    <mergeCell ref="K20:O20"/>
    <mergeCell ref="A8:E8"/>
    <mergeCell ref="F8:J8"/>
    <mergeCell ref="K8:O8"/>
    <mergeCell ref="A14:E14"/>
    <mergeCell ref="F14:J14"/>
    <mergeCell ref="K14:O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AF5D5-C072-D545-B3E9-8B6C0AE7170A}">
  <dimension ref="A1:M46"/>
  <sheetViews>
    <sheetView workbookViewId="0">
      <selection activeCell="G18" sqref="G18"/>
    </sheetView>
  </sheetViews>
  <sheetFormatPr baseColWidth="10" defaultRowHeight="16" x14ac:dyDescent="0.2"/>
  <cols>
    <col min="11" max="13" width="11.6640625" bestFit="1" customWidth="1"/>
  </cols>
  <sheetData>
    <row r="1" spans="1:13" x14ac:dyDescent="0.2">
      <c r="A1" s="159"/>
      <c r="B1" s="159"/>
      <c r="C1" s="159"/>
      <c r="D1" s="159"/>
      <c r="E1" s="159"/>
      <c r="G1" s="204" t="s">
        <v>98</v>
      </c>
      <c r="H1" s="204"/>
      <c r="I1" s="204"/>
      <c r="K1" s="204" t="s">
        <v>89</v>
      </c>
      <c r="L1" s="204"/>
      <c r="M1" s="204"/>
    </row>
    <row r="2" spans="1:13" x14ac:dyDescent="0.2">
      <c r="A2" s="159"/>
      <c r="B2" s="159"/>
      <c r="C2" s="160" t="s">
        <v>85</v>
      </c>
      <c r="D2" s="161" t="s">
        <v>86</v>
      </c>
      <c r="E2" s="162" t="s">
        <v>87</v>
      </c>
      <c r="G2" s="160" t="s">
        <v>85</v>
      </c>
      <c r="H2" s="161" t="s">
        <v>86</v>
      </c>
      <c r="I2" s="162" t="s">
        <v>87</v>
      </c>
      <c r="K2" s="125" t="s">
        <v>85</v>
      </c>
      <c r="L2" s="126" t="s">
        <v>86</v>
      </c>
      <c r="M2" s="127" t="s">
        <v>87</v>
      </c>
    </row>
    <row r="3" spans="1:13" ht="18" x14ac:dyDescent="0.25">
      <c r="A3" s="159"/>
      <c r="B3" s="163" t="s">
        <v>27</v>
      </c>
      <c r="C3" s="211" t="s">
        <v>25</v>
      </c>
      <c r="D3" s="212"/>
      <c r="E3" s="216"/>
      <c r="F3" s="163" t="s">
        <v>27</v>
      </c>
      <c r="G3" s="211" t="s">
        <v>25</v>
      </c>
      <c r="H3" s="212"/>
      <c r="I3" s="212"/>
      <c r="J3" s="32" t="s">
        <v>91</v>
      </c>
      <c r="K3" s="213" t="s">
        <v>93</v>
      </c>
      <c r="L3" s="214"/>
      <c r="M3" s="215"/>
    </row>
    <row r="4" spans="1:13" x14ac:dyDescent="0.2">
      <c r="A4" s="217" t="s">
        <v>26</v>
      </c>
      <c r="B4" s="164">
        <v>0</v>
      </c>
      <c r="C4" s="165">
        <v>0</v>
      </c>
      <c r="D4" s="166">
        <v>0</v>
      </c>
      <c r="E4" s="167">
        <v>0</v>
      </c>
      <c r="F4" s="164">
        <v>0</v>
      </c>
      <c r="G4" s="165">
        <v>0</v>
      </c>
      <c r="H4" s="166">
        <v>0</v>
      </c>
      <c r="I4" s="167">
        <v>0</v>
      </c>
      <c r="J4" s="43">
        <f>F4*Gamma*Delta_ystar</f>
        <v>0</v>
      </c>
      <c r="K4" s="128">
        <f t="shared" ref="K4:M6" si="0">G4*Gamma*Sa_y</f>
        <v>0</v>
      </c>
      <c r="L4" s="120">
        <f t="shared" si="0"/>
        <v>0</v>
      </c>
      <c r="M4" s="121">
        <f t="shared" si="0"/>
        <v>0</v>
      </c>
    </row>
    <row r="5" spans="1:13" x14ac:dyDescent="0.2">
      <c r="A5" s="218"/>
      <c r="B5" s="168">
        <v>1</v>
      </c>
      <c r="C5" s="164">
        <v>1</v>
      </c>
      <c r="D5" s="176">
        <v>1</v>
      </c>
      <c r="E5" s="177">
        <v>1</v>
      </c>
      <c r="F5" s="168">
        <v>1</v>
      </c>
      <c r="G5" s="164">
        <v>1</v>
      </c>
      <c r="H5" s="176">
        <v>1</v>
      </c>
      <c r="I5" s="177">
        <v>1</v>
      </c>
      <c r="J5" s="182">
        <f>F5*Gamma*Delta_ystar</f>
        <v>0.04</v>
      </c>
      <c r="K5" s="130">
        <f t="shared" si="0"/>
        <v>0.7645548011893758</v>
      </c>
      <c r="L5" s="123">
        <f t="shared" si="0"/>
        <v>0.7645548011893758</v>
      </c>
      <c r="M5" s="124">
        <f t="shared" si="0"/>
        <v>0.7645548011893758</v>
      </c>
    </row>
    <row r="6" spans="1:13" x14ac:dyDescent="0.2">
      <c r="A6" s="219" t="s">
        <v>3</v>
      </c>
      <c r="B6" s="169">
        <v>1</v>
      </c>
      <c r="C6" s="175">
        <f>'Coefficients (AvgSa)'!$B$5*'Output (AvgSa)'!B6+'Coefficients (AvgSa)'!$C$5</f>
        <v>1</v>
      </c>
      <c r="D6" s="179">
        <f>'Coefficients (AvgSa)'!$G$5*'Output (AvgSa)'!B6+'Coefficients (AvgSa)'!$H$5</f>
        <v>1.0000199999999999</v>
      </c>
      <c r="E6" s="180">
        <f>'Coefficients (AvgSa)'!$L$5*'Output (AvgSa)'!B6+'Coefficients (AvgSa)'!$M$5</f>
        <v>1</v>
      </c>
      <c r="F6" s="169">
        <f>B6</f>
        <v>1</v>
      </c>
      <c r="G6" s="175">
        <f>C6</f>
        <v>1</v>
      </c>
      <c r="H6" s="179">
        <f t="shared" ref="H6:I6" si="1">D6</f>
        <v>1.0000199999999999</v>
      </c>
      <c r="I6" s="180">
        <f t="shared" si="1"/>
        <v>1</v>
      </c>
      <c r="J6" s="43">
        <f>F6*Gamma*Delta_ystar</f>
        <v>0.04</v>
      </c>
      <c r="K6" s="128">
        <f t="shared" si="0"/>
        <v>0.7645548011893758</v>
      </c>
      <c r="L6" s="120">
        <f t="shared" si="0"/>
        <v>0.76457009228539941</v>
      </c>
      <c r="M6" s="121">
        <f t="shared" si="0"/>
        <v>0.7645548011893758</v>
      </c>
    </row>
    <row r="7" spans="1:13" x14ac:dyDescent="0.2">
      <c r="A7" s="220"/>
      <c r="B7" s="169">
        <f t="shared" ref="B7:B14" si="2">B6+($B$15-$B$6)/9</f>
        <v>1.1666666666666667</v>
      </c>
      <c r="C7" s="169">
        <f>'Coefficients (AvgSa)'!$B$5*'Output (AvgSa)'!B7+'Coefficients (AvgSa)'!$C$5</f>
        <v>1.0389640598946164</v>
      </c>
      <c r="D7" s="178">
        <f>'Coefficients (AvgSa)'!$G$5*'Output (AvgSa)'!B7+'Coefficients (AvgSa)'!$H$5</f>
        <v>1.0671343177447106</v>
      </c>
      <c r="E7" s="170">
        <f>'Coefficients (AvgSa)'!$L$5*'Output (AvgSa)'!B7+'Coefficients (AvgSa)'!$M$5</f>
        <v>1.1056036408638361</v>
      </c>
      <c r="F7" s="169"/>
      <c r="G7" s="169"/>
      <c r="H7" s="178"/>
      <c r="I7" s="170"/>
      <c r="J7" s="183"/>
      <c r="K7" s="129"/>
      <c r="L7" s="10"/>
      <c r="M7" s="122"/>
    </row>
    <row r="8" spans="1:13" x14ac:dyDescent="0.2">
      <c r="A8" s="220"/>
      <c r="B8" s="169">
        <f t="shared" si="2"/>
        <v>1.3333333333333335</v>
      </c>
      <c r="C8" s="169">
        <f>'Coefficients (AvgSa)'!$B$5*'Output (AvgSa)'!B8+'Coefficients (AvgSa)'!$C$5</f>
        <v>1.077928119789233</v>
      </c>
      <c r="D8" s="178">
        <f>'Coefficients (AvgSa)'!$G$5*'Output (AvgSa)'!B8+'Coefficients (AvgSa)'!$H$5</f>
        <v>1.134248635489421</v>
      </c>
      <c r="E8" s="170">
        <f>'Coefficients (AvgSa)'!$L$5*'Output (AvgSa)'!B8+'Coefficients (AvgSa)'!$M$5</f>
        <v>1.2112072817276722</v>
      </c>
      <c r="F8" s="169"/>
      <c r="G8" s="169"/>
      <c r="H8" s="178"/>
      <c r="I8" s="170"/>
      <c r="J8" s="183"/>
      <c r="K8" s="129"/>
      <c r="L8" s="10"/>
      <c r="M8" s="122"/>
    </row>
    <row r="9" spans="1:13" x14ac:dyDescent="0.2">
      <c r="A9" s="220"/>
      <c r="B9" s="169">
        <f t="shared" si="2"/>
        <v>1.5000000000000002</v>
      </c>
      <c r="C9" s="169">
        <f>'Coefficients (AvgSa)'!$B$5*'Output (AvgSa)'!B9+'Coefficients (AvgSa)'!$C$5</f>
        <v>1.1168921796838496</v>
      </c>
      <c r="D9" s="178">
        <f>'Coefficients (AvgSa)'!$G$5*'Output (AvgSa)'!B9+'Coefficients (AvgSa)'!$H$5</f>
        <v>1.2013629532341317</v>
      </c>
      <c r="E9" s="170">
        <f>'Coefficients (AvgSa)'!$L$5*'Output (AvgSa)'!B9+'Coefficients (AvgSa)'!$M$5</f>
        <v>1.3168109225915083</v>
      </c>
      <c r="F9" s="169"/>
      <c r="G9" s="169"/>
      <c r="H9" s="178"/>
      <c r="I9" s="170"/>
      <c r="J9" s="183"/>
      <c r="K9" s="129"/>
      <c r="L9" s="10"/>
      <c r="M9" s="122"/>
    </row>
    <row r="10" spans="1:13" x14ac:dyDescent="0.2">
      <c r="A10" s="220"/>
      <c r="B10" s="169">
        <f t="shared" si="2"/>
        <v>1.666666666666667</v>
      </c>
      <c r="C10" s="169">
        <f>'Coefficients (AvgSa)'!$B$5*'Output (AvgSa)'!B10+'Coefficients (AvgSa)'!$C$5</f>
        <v>1.1558562395784659</v>
      </c>
      <c r="D10" s="178">
        <f>'Coefficients (AvgSa)'!$G$5*'Output (AvgSa)'!B10+'Coefficients (AvgSa)'!$H$5</f>
        <v>1.2684772709788421</v>
      </c>
      <c r="E10" s="170">
        <f>'Coefficients (AvgSa)'!$L$5*'Output (AvgSa)'!B10+'Coefficients (AvgSa)'!$M$5</f>
        <v>1.4224145634553444</v>
      </c>
      <c r="F10" s="169"/>
      <c r="G10" s="169"/>
      <c r="H10" s="178"/>
      <c r="I10" s="170"/>
      <c r="J10" s="183"/>
      <c r="K10" s="129"/>
      <c r="L10" s="10"/>
      <c r="M10" s="122"/>
    </row>
    <row r="11" spans="1:13" x14ac:dyDescent="0.2">
      <c r="A11" s="220"/>
      <c r="B11" s="169">
        <f t="shared" si="2"/>
        <v>1.8333333333333337</v>
      </c>
      <c r="C11" s="169">
        <f>'Coefficients (AvgSa)'!$B$5*'Output (AvgSa)'!B11+'Coefficients (AvgSa)'!$C$5</f>
        <v>1.1948202994730825</v>
      </c>
      <c r="D11" s="178">
        <f>'Coefficients (AvgSa)'!$G$5*'Output (AvgSa)'!B11+'Coefficients (AvgSa)'!$H$5</f>
        <v>1.3355915887235525</v>
      </c>
      <c r="E11" s="170">
        <f>'Coefficients (AvgSa)'!$L$5*'Output (AvgSa)'!B11+'Coefficients (AvgSa)'!$M$5</f>
        <v>1.5280182043191803</v>
      </c>
      <c r="F11" s="169"/>
      <c r="G11" s="169"/>
      <c r="H11" s="178"/>
      <c r="I11" s="170"/>
      <c r="J11" s="183"/>
      <c r="K11" s="129"/>
      <c r="L11" s="10"/>
      <c r="M11" s="122"/>
    </row>
    <row r="12" spans="1:13" x14ac:dyDescent="0.2">
      <c r="A12" s="220"/>
      <c r="B12" s="169">
        <f t="shared" si="2"/>
        <v>2.0000000000000004</v>
      </c>
      <c r="C12" s="169">
        <f>'Coefficients (AvgSa)'!$B$5*'Output (AvgSa)'!B12+'Coefficients (AvgSa)'!$C$5</f>
        <v>1.2337843593676991</v>
      </c>
      <c r="D12" s="178">
        <f>'Coefficients (AvgSa)'!$G$5*'Output (AvgSa)'!B12+'Coefficients (AvgSa)'!$H$5</f>
        <v>1.4027059064682632</v>
      </c>
      <c r="E12" s="170">
        <f>'Coefficients (AvgSa)'!$L$5*'Output (AvgSa)'!B12+'Coefficients (AvgSa)'!$M$5</f>
        <v>1.6336218451830165</v>
      </c>
      <c r="F12" s="169"/>
      <c r="G12" s="169"/>
      <c r="H12" s="178"/>
      <c r="I12" s="170"/>
      <c r="J12" s="183"/>
      <c r="K12" s="129"/>
      <c r="L12" s="10"/>
      <c r="M12" s="122"/>
    </row>
    <row r="13" spans="1:13" x14ac:dyDescent="0.2">
      <c r="A13" s="220"/>
      <c r="B13" s="169">
        <f t="shared" si="2"/>
        <v>2.166666666666667</v>
      </c>
      <c r="C13" s="169">
        <f>'Coefficients (AvgSa)'!$B$5*'Output (AvgSa)'!B13+'Coefficients (AvgSa)'!$C$5</f>
        <v>1.2727484192623155</v>
      </c>
      <c r="D13" s="178">
        <f>'Coefficients (AvgSa)'!$G$5*'Output (AvgSa)'!B13+'Coefficients (AvgSa)'!$H$5</f>
        <v>1.4698202242129736</v>
      </c>
      <c r="E13" s="170">
        <f>'Coefficients (AvgSa)'!$L$5*'Output (AvgSa)'!B13+'Coefficients (AvgSa)'!$M$5</f>
        <v>1.7392254860468526</v>
      </c>
      <c r="F13" s="169"/>
      <c r="G13" s="169"/>
      <c r="H13" s="178"/>
      <c r="I13" s="170"/>
      <c r="J13" s="183"/>
      <c r="K13" s="129"/>
      <c r="L13" s="10"/>
      <c r="M13" s="122"/>
    </row>
    <row r="14" spans="1:13" x14ac:dyDescent="0.2">
      <c r="A14" s="220"/>
      <c r="B14" s="169">
        <f t="shared" si="2"/>
        <v>2.3333333333333335</v>
      </c>
      <c r="C14" s="169">
        <f>'Coefficients (AvgSa)'!$B$5*'Output (AvgSa)'!B14+'Coefficients (AvgSa)'!$C$5</f>
        <v>1.3117124791569319</v>
      </c>
      <c r="D14" s="178">
        <f>'Coefficients (AvgSa)'!$G$5*'Output (AvgSa)'!B14+'Coefficients (AvgSa)'!$H$5</f>
        <v>1.5369345419576841</v>
      </c>
      <c r="E14" s="170">
        <f>'Coefficients (AvgSa)'!$L$5*'Output (AvgSa)'!B14+'Coefficients (AvgSa)'!$M$5</f>
        <v>1.8448291269106885</v>
      </c>
      <c r="F14" s="169"/>
      <c r="G14" s="169"/>
      <c r="H14" s="178"/>
      <c r="I14" s="170"/>
      <c r="J14" s="183"/>
      <c r="K14" s="129"/>
      <c r="L14" s="10"/>
      <c r="M14" s="122"/>
    </row>
    <row r="15" spans="1:13" x14ac:dyDescent="0.2">
      <c r="A15" s="218"/>
      <c r="B15" s="171">
        <f>Input!I6</f>
        <v>2.5</v>
      </c>
      <c r="C15" s="169">
        <f>'Coefficients (AvgSa)'!$B$5*'Output (AvgSa)'!B15+'Coefficients (AvgSa)'!$C$5</f>
        <v>1.3506765390515483</v>
      </c>
      <c r="D15" s="178">
        <f>'Coefficients (AvgSa)'!$G$5*'Output (AvgSa)'!B15+'Coefficients (AvgSa)'!$H$5</f>
        <v>1.6040488597023943</v>
      </c>
      <c r="E15" s="170">
        <f>'Coefficients (AvgSa)'!$L$5*'Output (AvgSa)'!B15+'Coefficients (AvgSa)'!$M$5</f>
        <v>1.9504327677745243</v>
      </c>
      <c r="F15" s="171">
        <f>B15</f>
        <v>2.5</v>
      </c>
      <c r="G15" s="181">
        <f>IF(C15&lt;G6,G6,C15)</f>
        <v>1.3506765390515483</v>
      </c>
      <c r="H15" s="181">
        <f>IF(D15&lt;H6,H6,D15)</f>
        <v>1.6040488597023943</v>
      </c>
      <c r="I15" s="181">
        <f>IF(E15&lt;I6,I6,E15)</f>
        <v>1.9504327677745243</v>
      </c>
      <c r="J15" s="182">
        <f>F15*Gamma*Delta_ystar</f>
        <v>0.1</v>
      </c>
      <c r="K15" s="130">
        <f t="shared" ref="K15:M16" si="3">G15*Gamma*Sa_y</f>
        <v>1.0326662327857106</v>
      </c>
      <c r="L15" s="123">
        <f t="shared" si="3"/>
        <v>1.226383257027809</v>
      </c>
      <c r="M15" s="124">
        <f t="shared" si="3"/>
        <v>1.4912127369990953</v>
      </c>
    </row>
    <row r="16" spans="1:13" x14ac:dyDescent="0.2">
      <c r="A16" s="219" t="s">
        <v>4</v>
      </c>
      <c r="B16" s="169">
        <f>B15</f>
        <v>2.5</v>
      </c>
      <c r="C16" s="175">
        <f>'Coefficients (AvgSa)'!$B$11*'Output (AvgSa)'!B16+'Coefficients (AvgSa)'!$C$11</f>
        <v>1.6194928556605817</v>
      </c>
      <c r="D16" s="179">
        <f>'Coefficients (AvgSa)'!$G$11*'Output (AvgSa)'!B16+'Coefficients (AvgSa)'!$H$11</f>
        <v>1.9978560449545291</v>
      </c>
      <c r="E16" s="180">
        <f>'Coefficients (AvgSa)'!$L$11*'Output (AvgSa)'!B16+'Coefficients (AvgSa)'!$M$11</f>
        <v>2.5447664774962724</v>
      </c>
      <c r="F16" s="169">
        <f>F15</f>
        <v>2.5</v>
      </c>
      <c r="G16" s="181">
        <f>G15</f>
        <v>1.3506765390515483</v>
      </c>
      <c r="H16" s="181">
        <f>H15</f>
        <v>1.6040488597023943</v>
      </c>
      <c r="I16" s="181">
        <f>I15</f>
        <v>1.9504327677745243</v>
      </c>
      <c r="J16" s="43">
        <f>F16*Gamma*Delta_ystar</f>
        <v>0.1</v>
      </c>
      <c r="K16" s="128">
        <f t="shared" si="3"/>
        <v>1.0326662327857106</v>
      </c>
      <c r="L16" s="120">
        <f t="shared" si="3"/>
        <v>1.226383257027809</v>
      </c>
      <c r="M16" s="121">
        <f t="shared" si="3"/>
        <v>1.4912127369990953</v>
      </c>
    </row>
    <row r="17" spans="1:13" x14ac:dyDescent="0.2">
      <c r="A17" s="220"/>
      <c r="B17" s="169">
        <f t="shared" ref="B17:B24" si="4">B16+($B$25-$B$16)/9</f>
        <v>2.6944444444444446</v>
      </c>
      <c r="C17" s="169">
        <f>'Coefficients (AvgSa)'!$B$11*'Output (AvgSa)'!B17+'Coefficients (AvgSa)'!$C$11</f>
        <v>1.6924230870916617</v>
      </c>
      <c r="D17" s="178">
        <f>'Coefficients (AvgSa)'!$G$11*'Output (AvgSa)'!B17+'Coefficients (AvgSa)'!$H$11</f>
        <v>2.1149773821916376</v>
      </c>
      <c r="E17" s="170">
        <f>'Coefficients (AvgSa)'!$L$11*'Output (AvgSa)'!B17+'Coefficients (AvgSa)'!$M$11</f>
        <v>2.7231197219836321</v>
      </c>
      <c r="F17" s="169"/>
      <c r="G17" s="169"/>
      <c r="H17" s="178"/>
      <c r="I17" s="170"/>
      <c r="J17" s="183"/>
      <c r="K17" s="129"/>
      <c r="L17" s="10"/>
      <c r="M17" s="122"/>
    </row>
    <row r="18" spans="1:13" x14ac:dyDescent="0.2">
      <c r="A18" s="220"/>
      <c r="B18" s="169">
        <f t="shared" si="4"/>
        <v>2.8888888888888893</v>
      </c>
      <c r="C18" s="169">
        <f>'Coefficients (AvgSa)'!$B$11*'Output (AvgSa)'!B18+'Coefficients (AvgSa)'!$C$11</f>
        <v>1.7653533185227417</v>
      </c>
      <c r="D18" s="178">
        <f>'Coefficients (AvgSa)'!$G$11*'Output (AvgSa)'!B18+'Coefficients (AvgSa)'!$H$11</f>
        <v>2.2320987194287456</v>
      </c>
      <c r="E18" s="170">
        <f>'Coefficients (AvgSa)'!$L$11*'Output (AvgSa)'!B18+'Coefficients (AvgSa)'!$M$11</f>
        <v>2.9014729664709913</v>
      </c>
      <c r="F18" s="169"/>
      <c r="G18" s="169"/>
      <c r="H18" s="178"/>
      <c r="I18" s="170"/>
      <c r="J18" s="183"/>
      <c r="K18" s="129"/>
      <c r="L18" s="10"/>
      <c r="M18" s="122"/>
    </row>
    <row r="19" spans="1:13" x14ac:dyDescent="0.2">
      <c r="A19" s="220"/>
      <c r="B19" s="169">
        <f t="shared" si="4"/>
        <v>3.0833333333333339</v>
      </c>
      <c r="C19" s="169">
        <f>'Coefficients (AvgSa)'!$B$11*'Output (AvgSa)'!B19+'Coefficients (AvgSa)'!$C$11</f>
        <v>1.8382835499538217</v>
      </c>
      <c r="D19" s="178">
        <f>'Coefficients (AvgSa)'!$G$11*'Output (AvgSa)'!B19+'Coefficients (AvgSa)'!$H$11</f>
        <v>2.3492200566658537</v>
      </c>
      <c r="E19" s="170">
        <f>'Coefficients (AvgSa)'!$L$11*'Output (AvgSa)'!B19+'Coefficients (AvgSa)'!$M$11</f>
        <v>3.079826210958351</v>
      </c>
      <c r="F19" s="169"/>
      <c r="G19" s="169"/>
      <c r="H19" s="178"/>
      <c r="I19" s="170"/>
      <c r="J19" s="183"/>
      <c r="K19" s="129"/>
      <c r="L19" s="10"/>
      <c r="M19" s="122"/>
    </row>
    <row r="20" spans="1:13" x14ac:dyDescent="0.2">
      <c r="A20" s="220"/>
      <c r="B20" s="169">
        <f t="shared" si="4"/>
        <v>3.2777777777777786</v>
      </c>
      <c r="C20" s="169">
        <f>'Coefficients (AvgSa)'!$B$11*'Output (AvgSa)'!B20+'Coefficients (AvgSa)'!$C$11</f>
        <v>1.9112137813849017</v>
      </c>
      <c r="D20" s="178">
        <f>'Coefficients (AvgSa)'!$G$11*'Output (AvgSa)'!B20+'Coefficients (AvgSa)'!$H$11</f>
        <v>2.4663413939029617</v>
      </c>
      <c r="E20" s="170">
        <f>'Coefficients (AvgSa)'!$L$11*'Output (AvgSa)'!B20+'Coefficients (AvgSa)'!$M$11</f>
        <v>3.2581794554457106</v>
      </c>
      <c r="F20" s="169"/>
      <c r="G20" s="169"/>
      <c r="H20" s="178"/>
      <c r="I20" s="170"/>
      <c r="J20" s="183"/>
      <c r="K20" s="129"/>
      <c r="L20" s="10"/>
      <c r="M20" s="122"/>
    </row>
    <row r="21" spans="1:13" x14ac:dyDescent="0.2">
      <c r="A21" s="220"/>
      <c r="B21" s="169">
        <f t="shared" si="4"/>
        <v>3.4722222222222232</v>
      </c>
      <c r="C21" s="169">
        <f>'Coefficients (AvgSa)'!$B$11*'Output (AvgSa)'!B21+'Coefficients (AvgSa)'!$C$11</f>
        <v>1.9841440128159817</v>
      </c>
      <c r="D21" s="178">
        <f>'Coefficients (AvgSa)'!$G$11*'Output (AvgSa)'!B21+'Coefficients (AvgSa)'!$H$11</f>
        <v>2.5834627311400702</v>
      </c>
      <c r="E21" s="170">
        <f>'Coefficients (AvgSa)'!$L$11*'Output (AvgSa)'!B21+'Coefficients (AvgSa)'!$M$11</f>
        <v>3.4365326999330703</v>
      </c>
      <c r="F21" s="169"/>
      <c r="G21" s="169"/>
      <c r="H21" s="178"/>
      <c r="I21" s="170"/>
      <c r="J21" s="183"/>
      <c r="K21" s="129"/>
      <c r="L21" s="10"/>
      <c r="M21" s="122"/>
    </row>
    <row r="22" spans="1:13" x14ac:dyDescent="0.2">
      <c r="A22" s="220"/>
      <c r="B22" s="169">
        <f t="shared" si="4"/>
        <v>3.6666666666666679</v>
      </c>
      <c r="C22" s="169">
        <f>'Coefficients (AvgSa)'!$B$11*'Output (AvgSa)'!B22+'Coefficients (AvgSa)'!$C$11</f>
        <v>2.0570742442470618</v>
      </c>
      <c r="D22" s="178">
        <f>'Coefficients (AvgSa)'!$G$11*'Output (AvgSa)'!B22+'Coefficients (AvgSa)'!$H$11</f>
        <v>2.7005840683771782</v>
      </c>
      <c r="E22" s="170">
        <f>'Coefficients (AvgSa)'!$L$11*'Output (AvgSa)'!B22+'Coefficients (AvgSa)'!$M$11</f>
        <v>3.61488594442043</v>
      </c>
      <c r="F22" s="169"/>
      <c r="G22" s="169"/>
      <c r="H22" s="178"/>
      <c r="I22" s="170"/>
      <c r="J22" s="183"/>
      <c r="K22" s="129"/>
      <c r="L22" s="10"/>
      <c r="M22" s="122"/>
    </row>
    <row r="23" spans="1:13" x14ac:dyDescent="0.2">
      <c r="A23" s="220"/>
      <c r="B23" s="169">
        <f t="shared" si="4"/>
        <v>3.8611111111111125</v>
      </c>
      <c r="C23" s="169">
        <f>'Coefficients (AvgSa)'!$B$11*'Output (AvgSa)'!B23+'Coefficients (AvgSa)'!$C$11</f>
        <v>2.1300044756781418</v>
      </c>
      <c r="D23" s="178">
        <f>'Coefficients (AvgSa)'!$G$11*'Output (AvgSa)'!B23+'Coefficients (AvgSa)'!$H$11</f>
        <v>2.8177054056142863</v>
      </c>
      <c r="E23" s="170">
        <f>'Coefficients (AvgSa)'!$L$11*'Output (AvgSa)'!B23+'Coefficients (AvgSa)'!$M$11</f>
        <v>3.7932391889077897</v>
      </c>
      <c r="F23" s="169"/>
      <c r="G23" s="169"/>
      <c r="H23" s="178"/>
      <c r="I23" s="170"/>
      <c r="J23" s="183"/>
      <c r="K23" s="129"/>
      <c r="L23" s="10"/>
      <c r="M23" s="122"/>
    </row>
    <row r="24" spans="1:13" x14ac:dyDescent="0.2">
      <c r="A24" s="220"/>
      <c r="B24" s="169">
        <f t="shared" si="4"/>
        <v>4.0555555555555571</v>
      </c>
      <c r="C24" s="169">
        <f>'Coefficients (AvgSa)'!$B$11*'Output (AvgSa)'!B24+'Coefficients (AvgSa)'!$C$11</f>
        <v>2.2029347071092218</v>
      </c>
      <c r="D24" s="178">
        <f>'Coefficients (AvgSa)'!$G$11*'Output (AvgSa)'!B24+'Coefficients (AvgSa)'!$H$11</f>
        <v>2.9348267428513943</v>
      </c>
      <c r="E24" s="170">
        <f>'Coefficients (AvgSa)'!$L$11*'Output (AvgSa)'!B24+'Coefficients (AvgSa)'!$M$11</f>
        <v>3.9715924333951493</v>
      </c>
      <c r="F24" s="169"/>
      <c r="G24" s="169"/>
      <c r="H24" s="178"/>
      <c r="I24" s="170"/>
      <c r="J24" s="183"/>
      <c r="K24" s="129"/>
      <c r="L24" s="10"/>
      <c r="M24" s="122"/>
    </row>
    <row r="25" spans="1:13" x14ac:dyDescent="0.2">
      <c r="A25" s="218"/>
      <c r="B25" s="171">
        <f>Input!$I$7</f>
        <v>4.25</v>
      </c>
      <c r="C25" s="169">
        <f>'Coefficients (AvgSa)'!$B$11*'Output (AvgSa)'!B25+'Coefficients (AvgSa)'!$C$11</f>
        <v>2.2758649385403009</v>
      </c>
      <c r="D25" s="178">
        <f>'Coefficients (AvgSa)'!$G$11*'Output (AvgSa)'!B25+'Coefficients (AvgSa)'!$H$11</f>
        <v>3.0519480800885015</v>
      </c>
      <c r="E25" s="170">
        <f>'Coefficients (AvgSa)'!$L$11*'Output (AvgSa)'!B25+'Coefficients (AvgSa)'!$M$11</f>
        <v>4.1499456778825072</v>
      </c>
      <c r="F25" s="171">
        <f>B25</f>
        <v>4.25</v>
      </c>
      <c r="G25" s="181">
        <f>IF(C25&lt;G16,G16,C25)</f>
        <v>2.2758649385403009</v>
      </c>
      <c r="H25" s="181">
        <f>IF(D25&lt;H16,H16,D25)</f>
        <v>3.0519480800885015</v>
      </c>
      <c r="I25" s="181">
        <f>IF(E25&lt;I16,I16,E25)</f>
        <v>4.1499456778825072</v>
      </c>
      <c r="J25" s="185">
        <f>F25*Gamma*Delta_ystar</f>
        <v>0.16999999999999998</v>
      </c>
      <c r="K25" s="130">
        <f t="shared" ref="K25:M26" si="5">G25*Gamma*Sa_y</f>
        <v>1.7400234656195508</v>
      </c>
      <c r="L25" s="123">
        <f t="shared" si="5"/>
        <v>2.3333815576123613</v>
      </c>
      <c r="M25" s="124">
        <f t="shared" si="5"/>
        <v>3.1728608927001694</v>
      </c>
    </row>
    <row r="26" spans="1:13" x14ac:dyDescent="0.2">
      <c r="A26" s="221" t="s">
        <v>28</v>
      </c>
      <c r="B26" s="169">
        <f>B25</f>
        <v>4.25</v>
      </c>
      <c r="C26" s="175">
        <f>'Coefficients (AvgSa)'!$B$17*'Output (AvgSa)'!B26+'Coefficients (AvgSa)'!$C$17</f>
        <v>1.3296903245872433</v>
      </c>
      <c r="D26" s="179">
        <f>'Coefficients (AvgSa)'!$G$17*'Output (AvgSa)'!B26+'Coefficients (AvgSa)'!$H$17</f>
        <v>1.8238797419957993</v>
      </c>
      <c r="E26" s="180">
        <f>'Coefficients (AvgSa)'!$L$17*'Output (AvgSa)'!B26+'Coefficients (AvgSa)'!$M$17</f>
        <v>2.1396937543097003</v>
      </c>
      <c r="F26" s="169">
        <f>F25</f>
        <v>4.25</v>
      </c>
      <c r="G26" s="181">
        <f>G25</f>
        <v>2.2758649385403009</v>
      </c>
      <c r="H26" s="181">
        <f>H25</f>
        <v>3.0519480800885015</v>
      </c>
      <c r="I26" s="181">
        <f>I25</f>
        <v>4.1499456778825072</v>
      </c>
      <c r="J26" s="187">
        <f>F26*Gamma*Delta_ystar</f>
        <v>0.16999999999999998</v>
      </c>
      <c r="K26" s="128">
        <f t="shared" si="5"/>
        <v>1.7400234656195508</v>
      </c>
      <c r="L26" s="120">
        <f t="shared" si="5"/>
        <v>2.3333815576123613</v>
      </c>
      <c r="M26" s="121">
        <f t="shared" si="5"/>
        <v>3.1728608927001694</v>
      </c>
    </row>
    <row r="27" spans="1:13" x14ac:dyDescent="0.2">
      <c r="A27" s="222"/>
      <c r="B27" s="169">
        <f t="shared" ref="B27:B34" si="6">B26+($B$35-$B$26)/9</f>
        <v>4.5555555555555554</v>
      </c>
      <c r="C27" s="169">
        <f>'Coefficients (AvgSa)'!$B$17*'Output (AvgSa)'!B27+'Coefficients (AvgSa)'!$C$17</f>
        <v>1.3423755009438696</v>
      </c>
      <c r="D27" s="178">
        <f>'Coefficients (AvgSa)'!$G$17*'Output (AvgSa)'!B27+'Coefficients (AvgSa)'!$H$17</f>
        <v>1.8391004148577603</v>
      </c>
      <c r="E27" s="170">
        <f>'Coefficients (AvgSa)'!$L$17*'Output (AvgSa)'!B27+'Coefficients (AvgSa)'!$M$17</f>
        <v>2.1675238265801724</v>
      </c>
      <c r="F27" s="169"/>
      <c r="G27" s="169"/>
      <c r="H27" s="178"/>
      <c r="I27" s="170"/>
      <c r="J27" s="183"/>
      <c r="K27" s="129"/>
      <c r="L27" s="10"/>
      <c r="M27" s="122"/>
    </row>
    <row r="28" spans="1:13" x14ac:dyDescent="0.2">
      <c r="A28" s="222"/>
      <c r="B28" s="169">
        <f t="shared" si="6"/>
        <v>4.8611111111111107</v>
      </c>
      <c r="C28" s="169">
        <f>'Coefficients (AvgSa)'!$B$17*'Output (AvgSa)'!B28+'Coefficients (AvgSa)'!$C$17</f>
        <v>1.3550606773004956</v>
      </c>
      <c r="D28" s="178">
        <f>'Coefficients (AvgSa)'!$G$17*'Output (AvgSa)'!B28+'Coefficients (AvgSa)'!$H$17</f>
        <v>1.8543210877197212</v>
      </c>
      <c r="E28" s="170">
        <f>'Coefficients (AvgSa)'!$L$17*'Output (AvgSa)'!B28+'Coefficients (AvgSa)'!$M$17</f>
        <v>2.1953538988506449</v>
      </c>
      <c r="F28" s="169"/>
      <c r="G28" s="169"/>
      <c r="H28" s="178"/>
      <c r="I28" s="170"/>
      <c r="J28" s="183"/>
      <c r="K28" s="129"/>
      <c r="L28" s="10"/>
      <c r="M28" s="122"/>
    </row>
    <row r="29" spans="1:13" x14ac:dyDescent="0.2">
      <c r="A29" s="222"/>
      <c r="B29" s="169">
        <f t="shared" si="6"/>
        <v>5.1666666666666661</v>
      </c>
      <c r="C29" s="169">
        <f>'Coefficients (AvgSa)'!$B$17*'Output (AvgSa)'!B29+'Coefficients (AvgSa)'!$C$17</f>
        <v>1.3677458536571219</v>
      </c>
      <c r="D29" s="178">
        <f>'Coefficients (AvgSa)'!$G$17*'Output (AvgSa)'!B29+'Coefficients (AvgSa)'!$H$17</f>
        <v>1.869541760581682</v>
      </c>
      <c r="E29" s="170">
        <f>'Coefficients (AvgSa)'!$L$17*'Output (AvgSa)'!B29+'Coefficients (AvgSa)'!$M$17</f>
        <v>2.223183971121117</v>
      </c>
      <c r="F29" s="169"/>
      <c r="G29" s="169"/>
      <c r="H29" s="178"/>
      <c r="I29" s="170"/>
      <c r="J29" s="183"/>
      <c r="K29" s="129"/>
      <c r="L29" s="10"/>
      <c r="M29" s="122"/>
    </row>
    <row r="30" spans="1:13" x14ac:dyDescent="0.2">
      <c r="A30" s="222"/>
      <c r="B30" s="169">
        <f t="shared" si="6"/>
        <v>5.4722222222222214</v>
      </c>
      <c r="C30" s="169">
        <f>'Coefficients (AvgSa)'!$B$17*'Output (AvgSa)'!B30+'Coefficients (AvgSa)'!$C$17</f>
        <v>1.3804310300137481</v>
      </c>
      <c r="D30" s="178">
        <f>'Coefficients (AvgSa)'!$G$17*'Output (AvgSa)'!B30+'Coefficients (AvgSa)'!$H$17</f>
        <v>1.8847624334436428</v>
      </c>
      <c r="E30" s="170">
        <f>'Coefficients (AvgSa)'!$L$17*'Output (AvgSa)'!B30+'Coefficients (AvgSa)'!$M$17</f>
        <v>2.2510140433915895</v>
      </c>
      <c r="F30" s="169"/>
      <c r="G30" s="169"/>
      <c r="H30" s="178"/>
      <c r="I30" s="170"/>
      <c r="J30" s="183"/>
      <c r="K30" s="129"/>
      <c r="L30" s="10"/>
      <c r="M30" s="122"/>
    </row>
    <row r="31" spans="1:13" x14ac:dyDescent="0.2">
      <c r="A31" s="222"/>
      <c r="B31" s="169">
        <f t="shared" si="6"/>
        <v>5.7777777777777768</v>
      </c>
      <c r="C31" s="169">
        <f>'Coefficients (AvgSa)'!$B$17*'Output (AvgSa)'!B31+'Coefficients (AvgSa)'!$C$17</f>
        <v>1.3931162063703744</v>
      </c>
      <c r="D31" s="178">
        <f>'Coefficients (AvgSa)'!$G$17*'Output (AvgSa)'!B31+'Coefficients (AvgSa)'!$H$17</f>
        <v>1.8999831063056036</v>
      </c>
      <c r="E31" s="170">
        <f>'Coefficients (AvgSa)'!$L$17*'Output (AvgSa)'!B31+'Coefficients (AvgSa)'!$M$17</f>
        <v>2.2788441156620616</v>
      </c>
      <c r="F31" s="169"/>
      <c r="G31" s="169"/>
      <c r="H31" s="178"/>
      <c r="I31" s="170"/>
      <c r="J31" s="183"/>
      <c r="K31" s="129"/>
      <c r="L31" s="10"/>
      <c r="M31" s="122"/>
    </row>
    <row r="32" spans="1:13" x14ac:dyDescent="0.2">
      <c r="A32" s="222"/>
      <c r="B32" s="169">
        <f t="shared" si="6"/>
        <v>6.0833333333333321</v>
      </c>
      <c r="C32" s="169">
        <f>'Coefficients (AvgSa)'!$B$17*'Output (AvgSa)'!B32+'Coefficients (AvgSa)'!$C$17</f>
        <v>1.4058013827270004</v>
      </c>
      <c r="D32" s="178">
        <f>'Coefficients (AvgSa)'!$G$17*'Output (AvgSa)'!B32+'Coefficients (AvgSa)'!$H$17</f>
        <v>1.9152037791675645</v>
      </c>
      <c r="E32" s="170">
        <f>'Coefficients (AvgSa)'!$L$17*'Output (AvgSa)'!B32+'Coefficients (AvgSa)'!$M$17</f>
        <v>2.3066741879325341</v>
      </c>
      <c r="F32" s="169"/>
      <c r="G32" s="169"/>
      <c r="H32" s="178"/>
      <c r="I32" s="170"/>
      <c r="J32" s="183"/>
      <c r="K32" s="129"/>
      <c r="L32" s="10"/>
      <c r="M32" s="122"/>
    </row>
    <row r="33" spans="1:13" x14ac:dyDescent="0.2">
      <c r="A33" s="222"/>
      <c r="B33" s="169">
        <f t="shared" si="6"/>
        <v>6.3888888888888875</v>
      </c>
      <c r="C33" s="169">
        <f>'Coefficients (AvgSa)'!$B$17*'Output (AvgSa)'!B33+'Coefficients (AvgSa)'!$C$17</f>
        <v>1.4184865590836266</v>
      </c>
      <c r="D33" s="178">
        <f>'Coefficients (AvgSa)'!$G$17*'Output (AvgSa)'!B33+'Coefficients (AvgSa)'!$H$17</f>
        <v>1.9304244520295253</v>
      </c>
      <c r="E33" s="170">
        <f>'Coefficients (AvgSa)'!$L$17*'Output (AvgSa)'!B33+'Coefficients (AvgSa)'!$M$17</f>
        <v>2.3345042602030066</v>
      </c>
      <c r="F33" s="169"/>
      <c r="G33" s="169"/>
      <c r="H33" s="178"/>
      <c r="I33" s="170"/>
      <c r="J33" s="183"/>
      <c r="K33" s="129"/>
      <c r="L33" s="10"/>
      <c r="M33" s="122"/>
    </row>
    <row r="34" spans="1:13" x14ac:dyDescent="0.2">
      <c r="A34" s="222"/>
      <c r="B34" s="169">
        <f t="shared" si="6"/>
        <v>6.6944444444444429</v>
      </c>
      <c r="C34" s="169">
        <f>'Coefficients (AvgSa)'!$B$17*'Output (AvgSa)'!B34+'Coefficients (AvgSa)'!$C$17</f>
        <v>1.4311717354402529</v>
      </c>
      <c r="D34" s="178">
        <f>'Coefficients (AvgSa)'!$G$17*'Output (AvgSa)'!B34+'Coefficients (AvgSa)'!$H$17</f>
        <v>1.9456451248914863</v>
      </c>
      <c r="E34" s="170">
        <f>'Coefficients (AvgSa)'!$L$17*'Output (AvgSa)'!B34+'Coefficients (AvgSa)'!$M$17</f>
        <v>2.3623343324734787</v>
      </c>
      <c r="F34" s="169"/>
      <c r="G34" s="169"/>
      <c r="H34" s="178"/>
      <c r="I34" s="170"/>
      <c r="J34" s="186"/>
      <c r="K34" s="129"/>
      <c r="L34" s="10"/>
      <c r="M34" s="122"/>
    </row>
    <row r="35" spans="1:13" x14ac:dyDescent="0.2">
      <c r="A35" s="223"/>
      <c r="B35" s="171">
        <f>Input!$I$8</f>
        <v>7.0000000000000009</v>
      </c>
      <c r="C35" s="169">
        <f>'Coefficients (AvgSa)'!$B$17*'Output (AvgSa)'!B35+'Coefficients (AvgSa)'!$C$17</f>
        <v>1.4438569117968791</v>
      </c>
      <c r="D35" s="178">
        <f>'Coefficients (AvgSa)'!$G$17*'Output (AvgSa)'!B35+'Coefficients (AvgSa)'!$H$17</f>
        <v>1.9608657977534472</v>
      </c>
      <c r="E35" s="170">
        <f>'Coefficients (AvgSa)'!$L$17*'Output (AvgSa)'!B35+'Coefficients (AvgSa)'!$M$17</f>
        <v>2.3901644047439512</v>
      </c>
      <c r="F35" s="171">
        <f>B35</f>
        <v>7.0000000000000009</v>
      </c>
      <c r="G35" s="181">
        <f>IF(C35&lt;G26,G26,C35)</f>
        <v>2.2758649385403009</v>
      </c>
      <c r="H35" s="181">
        <f t="shared" ref="H35:I35" si="7">IF(D35&lt;H26,H26,D35)</f>
        <v>3.0519480800885015</v>
      </c>
      <c r="I35" s="181">
        <f t="shared" si="7"/>
        <v>4.1499456778825072</v>
      </c>
      <c r="J35" s="185">
        <f>F35*Gamma*Delta_ystar</f>
        <v>0.28000000000000003</v>
      </c>
      <c r="K35" s="130">
        <f t="shared" ref="K35:M36" si="8">G35*Gamma*Sa_y</f>
        <v>1.7400234656195508</v>
      </c>
      <c r="L35" s="123">
        <f t="shared" si="8"/>
        <v>2.3333815576123613</v>
      </c>
      <c r="M35" s="124">
        <f t="shared" si="8"/>
        <v>3.1728608927001694</v>
      </c>
    </row>
    <row r="36" spans="1:13" x14ac:dyDescent="0.2">
      <c r="A36" s="221" t="s">
        <v>29</v>
      </c>
      <c r="B36" s="169">
        <f>B35</f>
        <v>7.0000000000000009</v>
      </c>
      <c r="C36" s="175">
        <f>'Coefficients (AvgSa)'!$B$23*'Output (AvgSa)'!B36+'Coefficients (AvgSa)'!$C$23</f>
        <v>1.8423118499081137</v>
      </c>
      <c r="D36" s="179">
        <f>'Coefficients (AvgSa)'!$G$23*'Output (AvgSa)'!B36+'Coefficients (AvgSa)'!$H$23</f>
        <v>2.2575481615948996</v>
      </c>
      <c r="E36" s="180">
        <f>'Coefficients (AvgSa)'!$L$23*'Output (AvgSa)'!B36+'Coefficients (AvgSa)'!$M$23</f>
        <v>3.0156753077123803</v>
      </c>
      <c r="F36" s="169">
        <f>F35</f>
        <v>7.0000000000000009</v>
      </c>
      <c r="G36" s="181">
        <f>G35</f>
        <v>2.2758649385403009</v>
      </c>
      <c r="H36" s="181">
        <f t="shared" ref="H36:I36" si="9">H35</f>
        <v>3.0519480800885015</v>
      </c>
      <c r="I36" s="181">
        <f t="shared" si="9"/>
        <v>4.1499456778825072</v>
      </c>
      <c r="J36" s="43">
        <f>F36*Gamma*Delta_ystar</f>
        <v>0.28000000000000003</v>
      </c>
      <c r="K36" s="128">
        <f t="shared" si="8"/>
        <v>1.7400234656195508</v>
      </c>
      <c r="L36" s="120">
        <f t="shared" si="8"/>
        <v>2.3333815576123613</v>
      </c>
      <c r="M36" s="121">
        <f t="shared" si="8"/>
        <v>3.1728608927001694</v>
      </c>
    </row>
    <row r="37" spans="1:13" x14ac:dyDescent="0.2">
      <c r="A37" s="222"/>
      <c r="B37" s="169">
        <f t="shared" ref="B37:B44" si="10">B36+($B$45-$B$36)/9</f>
        <v>7.3331805555555567</v>
      </c>
      <c r="C37" s="169">
        <f>'Coefficients (AvgSa)'!$B$23*'Output (AvgSa)'!B37+'Coefficients (AvgSa)'!$C$23</f>
        <v>1.8445111810104795</v>
      </c>
      <c r="D37" s="178">
        <f>'Coefficients (AvgSa)'!$G$23*'Output (AvgSa)'!B37+'Coefficients (AvgSa)'!$H$23</f>
        <v>2.2603890239284623</v>
      </c>
      <c r="E37" s="170">
        <f>'Coefficients (AvgSa)'!$L$23*'Output (AvgSa)'!B37+'Coefficients (AvgSa)'!$M$23</f>
        <v>3.0198388830627589</v>
      </c>
      <c r="F37" s="169"/>
      <c r="G37" s="169"/>
      <c r="H37" s="178"/>
      <c r="I37" s="170"/>
      <c r="J37" s="183"/>
      <c r="K37" s="129"/>
      <c r="L37" s="10"/>
      <c r="M37" s="122"/>
    </row>
    <row r="38" spans="1:13" x14ac:dyDescent="0.2">
      <c r="A38" s="222"/>
      <c r="B38" s="169">
        <f t="shared" si="10"/>
        <v>7.6663611111111125</v>
      </c>
      <c r="C38" s="169">
        <f>'Coefficients (AvgSa)'!$B$23*'Output (AvgSa)'!B38+'Coefficients (AvgSa)'!$C$23</f>
        <v>1.8467105121128453</v>
      </c>
      <c r="D38" s="178">
        <f>'Coefficients (AvgSa)'!$G$23*'Output (AvgSa)'!B38+'Coefficients (AvgSa)'!$H$23</f>
        <v>2.263229886262025</v>
      </c>
      <c r="E38" s="170">
        <f>'Coefficients (AvgSa)'!$L$23*'Output (AvgSa)'!B38+'Coefficients (AvgSa)'!$M$23</f>
        <v>3.0240024584131375</v>
      </c>
      <c r="F38" s="169"/>
      <c r="G38" s="169"/>
      <c r="H38" s="178"/>
      <c r="I38" s="170"/>
      <c r="J38" s="183"/>
      <c r="K38" s="129"/>
      <c r="L38" s="10"/>
      <c r="M38" s="122"/>
    </row>
    <row r="39" spans="1:13" x14ac:dyDescent="0.2">
      <c r="A39" s="222"/>
      <c r="B39" s="169">
        <f t="shared" si="10"/>
        <v>7.9995416666666683</v>
      </c>
      <c r="C39" s="169">
        <f>'Coefficients (AvgSa)'!$B$23*'Output (AvgSa)'!B39+'Coefficients (AvgSa)'!$C$23</f>
        <v>1.8489098432152111</v>
      </c>
      <c r="D39" s="178">
        <f>'Coefficients (AvgSa)'!$G$23*'Output (AvgSa)'!B39+'Coefficients (AvgSa)'!$H$23</f>
        <v>2.2660707485955878</v>
      </c>
      <c r="E39" s="170">
        <f>'Coefficients (AvgSa)'!$L$23*'Output (AvgSa)'!B39+'Coefficients (AvgSa)'!$M$23</f>
        <v>3.0281660337635166</v>
      </c>
      <c r="F39" s="169"/>
      <c r="G39" s="169"/>
      <c r="H39" s="178"/>
      <c r="I39" s="170"/>
      <c r="J39" s="183"/>
      <c r="K39" s="129"/>
      <c r="L39" s="10"/>
      <c r="M39" s="122"/>
    </row>
    <row r="40" spans="1:13" x14ac:dyDescent="0.2">
      <c r="A40" s="222"/>
      <c r="B40" s="169">
        <f t="shared" si="10"/>
        <v>8.3327222222222233</v>
      </c>
      <c r="C40" s="169">
        <f>'Coefficients (AvgSa)'!$B$23*'Output (AvgSa)'!B40+'Coefficients (AvgSa)'!$C$23</f>
        <v>1.8511091743175769</v>
      </c>
      <c r="D40" s="178">
        <f>'Coefficients (AvgSa)'!$G$23*'Output (AvgSa)'!B40+'Coefficients (AvgSa)'!$H$23</f>
        <v>2.2689116109291505</v>
      </c>
      <c r="E40" s="170">
        <f>'Coefficients (AvgSa)'!$L$23*'Output (AvgSa)'!B40+'Coefficients (AvgSa)'!$M$23</f>
        <v>3.0323296091138952</v>
      </c>
      <c r="F40" s="169"/>
      <c r="G40" s="169"/>
      <c r="H40" s="178"/>
      <c r="I40" s="170"/>
      <c r="J40" s="183"/>
      <c r="K40" s="129"/>
      <c r="L40" s="10"/>
      <c r="M40" s="122"/>
    </row>
    <row r="41" spans="1:13" x14ac:dyDescent="0.2">
      <c r="A41" s="222"/>
      <c r="B41" s="169">
        <f t="shared" si="10"/>
        <v>8.6659027777777791</v>
      </c>
      <c r="C41" s="169">
        <f>'Coefficients (AvgSa)'!$B$23*'Output (AvgSa)'!B41+'Coefficients (AvgSa)'!$C$23</f>
        <v>1.8533085054199427</v>
      </c>
      <c r="D41" s="178">
        <f>'Coefficients (AvgSa)'!$G$23*'Output (AvgSa)'!B41+'Coefficients (AvgSa)'!$H$23</f>
        <v>2.2717524732627132</v>
      </c>
      <c r="E41" s="170">
        <f>'Coefficients (AvgSa)'!$L$23*'Output (AvgSa)'!B41+'Coefficients (AvgSa)'!$M$23</f>
        <v>3.0364931844642737</v>
      </c>
      <c r="F41" s="169"/>
      <c r="G41" s="169"/>
      <c r="H41" s="178"/>
      <c r="I41" s="170"/>
      <c r="J41" s="183"/>
      <c r="K41" s="129"/>
      <c r="L41" s="10"/>
      <c r="M41" s="122"/>
    </row>
    <row r="42" spans="1:13" x14ac:dyDescent="0.2">
      <c r="A42" s="222"/>
      <c r="B42" s="169">
        <f t="shared" si="10"/>
        <v>8.9990833333333349</v>
      </c>
      <c r="C42" s="169">
        <f>'Coefficients (AvgSa)'!$B$23*'Output (AvgSa)'!B42+'Coefficients (AvgSa)'!$C$23</f>
        <v>1.8555078365223083</v>
      </c>
      <c r="D42" s="178">
        <f>'Coefficients (AvgSa)'!$G$23*'Output (AvgSa)'!B42+'Coefficients (AvgSa)'!$H$23</f>
        <v>2.274593335596276</v>
      </c>
      <c r="E42" s="170">
        <f>'Coefficients (AvgSa)'!$L$23*'Output (AvgSa)'!B42+'Coefficients (AvgSa)'!$M$23</f>
        <v>3.0406567598146523</v>
      </c>
      <c r="F42" s="169"/>
      <c r="G42" s="169"/>
      <c r="H42" s="178"/>
      <c r="I42" s="170"/>
      <c r="J42" s="183"/>
      <c r="K42" s="129"/>
      <c r="L42" s="10"/>
      <c r="M42" s="122"/>
    </row>
    <row r="43" spans="1:13" x14ac:dyDescent="0.2">
      <c r="A43" s="222"/>
      <c r="B43" s="169">
        <f t="shared" si="10"/>
        <v>9.3322638888888907</v>
      </c>
      <c r="C43" s="169">
        <f>'Coefficients (AvgSa)'!$B$23*'Output (AvgSa)'!B43+'Coefficients (AvgSa)'!$C$23</f>
        <v>1.8577071676246741</v>
      </c>
      <c r="D43" s="178">
        <f>'Coefficients (AvgSa)'!$G$23*'Output (AvgSa)'!B43+'Coefficients (AvgSa)'!$H$23</f>
        <v>2.2774341979298387</v>
      </c>
      <c r="E43" s="170">
        <f>'Coefficients (AvgSa)'!$L$23*'Output (AvgSa)'!B43+'Coefficients (AvgSa)'!$M$23</f>
        <v>3.0448203351650314</v>
      </c>
      <c r="F43" s="169"/>
      <c r="G43" s="169"/>
      <c r="H43" s="178"/>
      <c r="I43" s="170"/>
      <c r="J43" s="183"/>
      <c r="K43" s="129"/>
      <c r="L43" s="10"/>
      <c r="M43" s="122"/>
    </row>
    <row r="44" spans="1:13" x14ac:dyDescent="0.2">
      <c r="A44" s="222"/>
      <c r="B44" s="169">
        <f t="shared" si="10"/>
        <v>9.6654444444444465</v>
      </c>
      <c r="C44" s="169">
        <f>'Coefficients (AvgSa)'!$B$23*'Output (AvgSa)'!B44+'Coefficients (AvgSa)'!$C$23</f>
        <v>1.8599064987270399</v>
      </c>
      <c r="D44" s="178">
        <f>'Coefficients (AvgSa)'!$G$23*'Output (AvgSa)'!B44+'Coefficients (AvgSa)'!$H$23</f>
        <v>2.2802750602634014</v>
      </c>
      <c r="E44" s="170">
        <f>'Coefficients (AvgSa)'!$L$23*'Output (AvgSa)'!B44+'Coefficients (AvgSa)'!$M$23</f>
        <v>3.04898391051541</v>
      </c>
      <c r="F44" s="169"/>
      <c r="G44" s="169"/>
      <c r="H44" s="178"/>
      <c r="I44" s="170"/>
      <c r="J44" s="183"/>
      <c r="K44" s="129"/>
      <c r="L44" s="10"/>
      <c r="M44" s="122"/>
    </row>
    <row r="45" spans="1:13" x14ac:dyDescent="0.2">
      <c r="A45" s="223"/>
      <c r="B45" s="171">
        <f>Input!I9</f>
        <v>9.9986250000000005</v>
      </c>
      <c r="C45" s="171">
        <f>'Coefficients (AvgSa)'!$B$23*'Output (AvgSa)'!B45+'Coefficients (AvgSa)'!$C$23</f>
        <v>1.8621058298294058</v>
      </c>
      <c r="D45" s="172">
        <f>'Coefficients (AvgSa)'!$G$23*'Output (AvgSa)'!B45+'Coefficients (AvgSa)'!$H$23</f>
        <v>2.2831159225969642</v>
      </c>
      <c r="E45" s="173">
        <f>'Coefficients (AvgSa)'!$L$23*'Output (AvgSa)'!B45+'Coefficients (AvgSa)'!$M$23</f>
        <v>3.0531474858657885</v>
      </c>
      <c r="F45" s="171">
        <f>B45</f>
        <v>9.9986250000000005</v>
      </c>
      <c r="G45" s="181">
        <f>IF(C45&lt;G36,G36,C45)</f>
        <v>2.2758649385403009</v>
      </c>
      <c r="H45" s="181">
        <f>IF(D45&lt;H36,H36,D45)</f>
        <v>3.0519480800885015</v>
      </c>
      <c r="I45" s="181">
        <f>IF(E45&lt;I36,I36,E45)</f>
        <v>4.1499456778825072</v>
      </c>
      <c r="J45" s="182">
        <f>F45*Gamma*Delta_ystar</f>
        <v>0.39994499999999999</v>
      </c>
      <c r="K45" s="130">
        <f t="shared" ref="K45:M46" si="11">G45*Gamma*Sa_y</f>
        <v>1.7400234656195508</v>
      </c>
      <c r="L45" s="123">
        <f t="shared" si="11"/>
        <v>2.3333815576123613</v>
      </c>
      <c r="M45" s="124">
        <f t="shared" si="11"/>
        <v>3.1728608927001694</v>
      </c>
    </row>
    <row r="46" spans="1:13" x14ac:dyDescent="0.2">
      <c r="A46" s="174" t="s">
        <v>30</v>
      </c>
      <c r="B46" s="171">
        <f>B45+2</f>
        <v>11.998625000000001</v>
      </c>
      <c r="C46" s="171">
        <f>C45</f>
        <v>1.8621058298294058</v>
      </c>
      <c r="D46" s="172">
        <f t="shared" ref="D46:E46" si="12">D45</f>
        <v>2.2831159225969642</v>
      </c>
      <c r="E46" s="173">
        <f t="shared" si="12"/>
        <v>3.0531474858657885</v>
      </c>
      <c r="F46" s="171">
        <f>F45+2</f>
        <v>11.998625000000001</v>
      </c>
      <c r="G46" s="181">
        <f>G45</f>
        <v>2.2758649385403009</v>
      </c>
      <c r="H46" s="181">
        <f t="shared" ref="H46:I46" si="13">H45</f>
        <v>3.0519480800885015</v>
      </c>
      <c r="I46" s="181">
        <f t="shared" si="13"/>
        <v>4.1499456778825072</v>
      </c>
      <c r="J46" s="184">
        <f>F46*Gamma*Delta_ystar</f>
        <v>0.47994499999999995</v>
      </c>
      <c r="K46" s="131">
        <f t="shared" si="11"/>
        <v>1.7400234656195508</v>
      </c>
      <c r="L46" s="118">
        <f t="shared" si="11"/>
        <v>2.3333815576123613</v>
      </c>
      <c r="M46" s="119">
        <f t="shared" si="11"/>
        <v>3.1728608927001694</v>
      </c>
    </row>
  </sheetData>
  <mergeCells count="10">
    <mergeCell ref="A4:A5"/>
    <mergeCell ref="A6:A15"/>
    <mergeCell ref="A16:A25"/>
    <mergeCell ref="A26:A35"/>
    <mergeCell ref="A36:A45"/>
    <mergeCell ref="G3:I3"/>
    <mergeCell ref="G1:I1"/>
    <mergeCell ref="K1:M1"/>
    <mergeCell ref="K3:M3"/>
    <mergeCell ref="C3:E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Input</vt:lpstr>
      <vt:lpstr>Coefficients (Sa(T1))</vt:lpstr>
      <vt:lpstr>Output (Sa(T1))</vt:lpstr>
      <vt:lpstr>Coefficients (AvgSa)</vt:lpstr>
      <vt:lpstr>Output (AvgSa)</vt:lpstr>
      <vt:lpstr>D_ystar</vt:lpstr>
      <vt:lpstr>Delta_y</vt:lpstr>
      <vt:lpstr>Delta_ystar</vt:lpstr>
      <vt:lpstr>F_ystar</vt:lpstr>
      <vt:lpstr>Gamma</vt:lpstr>
      <vt:lpstr>m_star</vt:lpstr>
      <vt:lpstr>m_total</vt:lpstr>
      <vt:lpstr>Sa_y</vt:lpstr>
      <vt:lpstr>Say</vt:lpstr>
      <vt:lpstr>T_star</vt:lpstr>
      <vt:lpstr>V_by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Moayad Nafeaa</cp:lastModifiedBy>
  <dcterms:created xsi:type="dcterms:W3CDTF">2019-02-01T14:39:06Z</dcterms:created>
  <dcterms:modified xsi:type="dcterms:W3CDTF">2021-03-08T14:13:47Z</dcterms:modified>
</cp:coreProperties>
</file>