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moayadnafeaa/Downloads/"/>
    </mc:Choice>
  </mc:AlternateContent>
  <xr:revisionPtr revIDLastSave="0" documentId="13_ncr:1_{5204C55D-A25A-944C-A932-9F1600890801}" xr6:coauthVersionLast="46" xr6:coauthVersionMax="46" xr10:uidLastSave="{00000000-0000-0000-0000-000000000000}"/>
  <bookViews>
    <workbookView xWindow="0" yWindow="460" windowWidth="28800" windowHeight="16740" tabRatio="500" xr2:uid="{00000000-000D-0000-FFFF-FFFF00000000}"/>
  </bookViews>
  <sheets>
    <sheet name="Input" sheetId="1" r:id="rId1"/>
    <sheet name="Coefficients (AvgSa) - Cloud" sheetId="15" r:id="rId2"/>
    <sheet name="Coefficients (Sa(T1))" sheetId="2" r:id="rId3"/>
    <sheet name="Output (Sa(T1))" sheetId="11" r:id="rId4"/>
    <sheet name="Coefficients (AvgSa) - IDA" sheetId="13" r:id="rId5"/>
    <sheet name="Output (AvgSa) - IDA" sheetId="14" r:id="rId6"/>
  </sheets>
  <definedNames>
    <definedName name="D_ystar">Input!$O$11</definedName>
    <definedName name="Delta_y">Input!$O$6</definedName>
    <definedName name="Delta_ystar">Input!$O$11</definedName>
    <definedName name="F_ystar">Input!$O$12</definedName>
    <definedName name="Gamma">Input!$O$10</definedName>
    <definedName name="m_star">Input!$O$9</definedName>
    <definedName name="m_total">Input!$O$8</definedName>
    <definedName name="Sa_y">Input!$O$14</definedName>
    <definedName name="Say">Input!$O$14</definedName>
    <definedName name="T">Input!#REF!</definedName>
    <definedName name="T_star">Input!$O$13</definedName>
    <definedName name="V_by">Input!$O$7</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 i="15" l="1"/>
  <c r="E6" i="15"/>
  <c r="F7" i="15"/>
  <c r="F6" i="15"/>
  <c r="D7" i="15"/>
  <c r="D6" i="15"/>
  <c r="I7" i="15"/>
  <c r="H7" i="15"/>
  <c r="G7" i="15"/>
  <c r="G6" i="15"/>
  <c r="I6" i="15"/>
  <c r="H6" i="15"/>
  <c r="G9" i="1"/>
  <c r="O9" i="1"/>
  <c r="O10" i="1" s="1"/>
  <c r="O8" i="1"/>
  <c r="O3" i="1"/>
  <c r="I9" i="1" l="1"/>
  <c r="F6" i="14"/>
  <c r="O6" i="1"/>
  <c r="F5" i="1"/>
  <c r="H7" i="1" s="1"/>
  <c r="I6" i="1"/>
  <c r="F15" i="11" s="1"/>
  <c r="F7" i="11" s="1"/>
  <c r="I7" i="1"/>
  <c r="F25" i="11" s="1"/>
  <c r="I8" i="1"/>
  <c r="J8" i="1"/>
  <c r="F33" i="1"/>
  <c r="I5" i="1"/>
  <c r="Y16" i="1" l="1"/>
  <c r="B35" i="14"/>
  <c r="B36" i="14" s="1"/>
  <c r="B3" i="15"/>
  <c r="F45" i="11"/>
  <c r="F46" i="11" s="1"/>
  <c r="B47" i="15"/>
  <c r="B25" i="14"/>
  <c r="B26" i="14" s="1"/>
  <c r="F35" i="11"/>
  <c r="F36" i="11" s="1"/>
  <c r="B45" i="14"/>
  <c r="J9" i="1"/>
  <c r="H5" i="1"/>
  <c r="F6" i="1"/>
  <c r="H9" i="1"/>
  <c r="B15" i="14"/>
  <c r="F16" i="11"/>
  <c r="F17" i="11" s="1"/>
  <c r="F26" i="11"/>
  <c r="F8" i="11"/>
  <c r="O7" i="1"/>
  <c r="O4" i="1"/>
  <c r="H8" i="1"/>
  <c r="F35" i="14" l="1"/>
  <c r="F36" i="14" s="1"/>
  <c r="B27" i="14"/>
  <c r="B28" i="14" s="1"/>
  <c r="B29" i="14" s="1"/>
  <c r="B30" i="14" s="1"/>
  <c r="B31" i="14" s="1"/>
  <c r="B32" i="14" s="1"/>
  <c r="B33" i="14" s="1"/>
  <c r="B34" i="14" s="1"/>
  <c r="O12" i="1"/>
  <c r="B8" i="15"/>
  <c r="F25" i="14"/>
  <c r="F26" i="14" s="1"/>
  <c r="O5" i="1"/>
  <c r="J5" i="1" s="1"/>
  <c r="B46" i="14"/>
  <c r="F45" i="14"/>
  <c r="B37" i="14"/>
  <c r="B38" i="14" s="1"/>
  <c r="B39" i="14" s="1"/>
  <c r="B40" i="14" s="1"/>
  <c r="B41" i="14" s="1"/>
  <c r="B42" i="14" s="1"/>
  <c r="B43" i="14" s="1"/>
  <c r="B44" i="14" s="1"/>
  <c r="J7" i="1"/>
  <c r="J6" i="1"/>
  <c r="H6" i="1"/>
  <c r="B7" i="14"/>
  <c r="F15" i="14"/>
  <c r="B16" i="14"/>
  <c r="B17" i="14" s="1"/>
  <c r="B18" i="14" s="1"/>
  <c r="B19" i="14" s="1"/>
  <c r="B20" i="14" s="1"/>
  <c r="B21" i="14" s="1"/>
  <c r="B22" i="14" s="1"/>
  <c r="B23" i="14" s="1"/>
  <c r="B24" i="14" s="1"/>
  <c r="M17" i="13"/>
  <c r="H17" i="13"/>
  <c r="C17" i="13"/>
  <c r="O11" i="1"/>
  <c r="F9" i="11"/>
  <c r="F27" i="11"/>
  <c r="F37" i="11"/>
  <c r="F18" i="11"/>
  <c r="B9" i="15" l="1"/>
  <c r="J8" i="15"/>
  <c r="J6" i="15"/>
  <c r="J7" i="15"/>
  <c r="J47" i="15"/>
  <c r="S5" i="11"/>
  <c r="J5" i="14"/>
  <c r="J4" i="14"/>
  <c r="J6" i="14"/>
  <c r="J36" i="14"/>
  <c r="J35" i="14"/>
  <c r="J26" i="14"/>
  <c r="J25" i="14"/>
  <c r="F46" i="14"/>
  <c r="J46" i="14" s="1"/>
  <c r="J45" i="14"/>
  <c r="J15" i="14"/>
  <c r="F16" i="14"/>
  <c r="J16" i="14" s="1"/>
  <c r="B8" i="14"/>
  <c r="S35" i="11"/>
  <c r="S15" i="11"/>
  <c r="S46" i="11"/>
  <c r="S16" i="11"/>
  <c r="S17" i="11"/>
  <c r="S36" i="11"/>
  <c r="S26" i="11"/>
  <c r="S6" i="11"/>
  <c r="F38" i="11"/>
  <c r="S37" i="11"/>
  <c r="S25" i="11"/>
  <c r="S8" i="11"/>
  <c r="O13" i="1"/>
  <c r="S27" i="11"/>
  <c r="F28" i="11"/>
  <c r="S4" i="11"/>
  <c r="S45" i="11"/>
  <c r="F19" i="11"/>
  <c r="S18" i="11"/>
  <c r="S9" i="11"/>
  <c r="F10" i="11"/>
  <c r="S7" i="11"/>
  <c r="O14" i="1" l="1"/>
  <c r="B2" i="15"/>
  <c r="C9" i="15" s="1"/>
  <c r="B10" i="15"/>
  <c r="J9" i="15"/>
  <c r="M23" i="13"/>
  <c r="B23" i="13"/>
  <c r="M5" i="13"/>
  <c r="C5" i="13"/>
  <c r="G17" i="13"/>
  <c r="H5" i="13"/>
  <c r="C23" i="13"/>
  <c r="H23" i="13"/>
  <c r="L17" i="13"/>
  <c r="L5" i="13"/>
  <c r="B5" i="13"/>
  <c r="L23" i="13"/>
  <c r="G23" i="13"/>
  <c r="B17" i="13"/>
  <c r="G5" i="13"/>
  <c r="L11" i="13"/>
  <c r="H11" i="13"/>
  <c r="C11" i="13"/>
  <c r="B11" i="13"/>
  <c r="M11" i="13"/>
  <c r="G11" i="13"/>
  <c r="B9" i="14"/>
  <c r="F11" i="11"/>
  <c r="S10" i="11"/>
  <c r="S28" i="11"/>
  <c r="F29" i="11"/>
  <c r="E10" i="2"/>
  <c r="E17" i="2"/>
  <c r="J10" i="2"/>
  <c r="J20" i="2"/>
  <c r="O6" i="2"/>
  <c r="O16" i="2"/>
  <c r="L46" i="2"/>
  <c r="D27" i="11" s="1"/>
  <c r="E11" i="2"/>
  <c r="E18" i="2"/>
  <c r="J11" i="2"/>
  <c r="J21" i="2"/>
  <c r="O7" i="2"/>
  <c r="O17" i="2"/>
  <c r="B57" i="2"/>
  <c r="B38" i="11" s="1"/>
  <c r="E19" i="2"/>
  <c r="J22" i="2"/>
  <c r="O8" i="2"/>
  <c r="O18" i="2"/>
  <c r="B35" i="2"/>
  <c r="B17" i="11" s="1"/>
  <c r="G46" i="2"/>
  <c r="C27" i="11" s="1"/>
  <c r="L47" i="2"/>
  <c r="D28" i="11" s="1"/>
  <c r="E7" i="2"/>
  <c r="E22" i="2"/>
  <c r="J7" i="2"/>
  <c r="J17" i="2"/>
  <c r="O11" i="2"/>
  <c r="O21" i="2"/>
  <c r="B36" i="2"/>
  <c r="B18" i="11" s="1"/>
  <c r="G36" i="2"/>
  <c r="C18" i="11" s="1"/>
  <c r="L36" i="2"/>
  <c r="D18" i="11" s="1"/>
  <c r="G56" i="2"/>
  <c r="C37" i="11" s="1"/>
  <c r="L57" i="2"/>
  <c r="D38" i="11" s="1"/>
  <c r="J5" i="2"/>
  <c r="O19" i="2"/>
  <c r="L35" i="2"/>
  <c r="D17" i="11" s="1"/>
  <c r="E20" i="2"/>
  <c r="J6" i="2"/>
  <c r="O20" i="2"/>
  <c r="G47" i="2"/>
  <c r="C28" i="11" s="1"/>
  <c r="O22" i="2"/>
  <c r="E5" i="2"/>
  <c r="O9" i="2"/>
  <c r="G35" i="2"/>
  <c r="C17" i="11" s="1"/>
  <c r="L56" i="2"/>
  <c r="D37" i="11" s="1"/>
  <c r="J8" i="2"/>
  <c r="E16" i="2"/>
  <c r="J9" i="2"/>
  <c r="O5" i="2"/>
  <c r="B37" i="2"/>
  <c r="B19" i="11" s="1"/>
  <c r="L37" i="2"/>
  <c r="D19" i="11" s="1"/>
  <c r="G57" i="2"/>
  <c r="C38" i="11" s="1"/>
  <c r="B46" i="2"/>
  <c r="B27" i="11" s="1"/>
  <c r="E6" i="2"/>
  <c r="E21" i="2"/>
  <c r="J16" i="2"/>
  <c r="O10" i="2"/>
  <c r="J19" i="2"/>
  <c r="G37" i="2"/>
  <c r="C19" i="11" s="1"/>
  <c r="E8" i="2"/>
  <c r="J18" i="2"/>
  <c r="B47" i="2"/>
  <c r="B28" i="11" s="1"/>
  <c r="B56" i="2"/>
  <c r="B37" i="11" s="1"/>
  <c r="E9" i="2"/>
  <c r="F20" i="11"/>
  <c r="S19" i="11"/>
  <c r="F39" i="11"/>
  <c r="S38" i="11"/>
  <c r="F9" i="15" l="1"/>
  <c r="E9" i="15"/>
  <c r="D9" i="15"/>
  <c r="G9" i="15"/>
  <c r="I9" i="15"/>
  <c r="H9" i="15"/>
  <c r="B11" i="15"/>
  <c r="J10" i="15"/>
  <c r="C10" i="15"/>
  <c r="C47" i="15"/>
  <c r="C8" i="15"/>
  <c r="D8" i="14"/>
  <c r="C8" i="14"/>
  <c r="E8" i="14"/>
  <c r="E18" i="14"/>
  <c r="E16" i="14"/>
  <c r="E25" i="14"/>
  <c r="E20" i="14"/>
  <c r="E24" i="14"/>
  <c r="E21" i="14"/>
  <c r="E17" i="14"/>
  <c r="E19" i="14"/>
  <c r="E22" i="14"/>
  <c r="E23" i="14"/>
  <c r="E45" i="14"/>
  <c r="E46" i="14" s="1"/>
  <c r="E39" i="14"/>
  <c r="E42" i="14"/>
  <c r="E43" i="14"/>
  <c r="E38" i="14"/>
  <c r="E37" i="14"/>
  <c r="E36" i="14"/>
  <c r="E40" i="14"/>
  <c r="E41" i="14"/>
  <c r="E44" i="14"/>
  <c r="M4" i="14"/>
  <c r="L5" i="14"/>
  <c r="K5" i="14"/>
  <c r="M5" i="14"/>
  <c r="L4" i="14"/>
  <c r="K4" i="14"/>
  <c r="C18" i="14"/>
  <c r="C20" i="14"/>
  <c r="C22" i="14"/>
  <c r="C21" i="14"/>
  <c r="C16" i="14"/>
  <c r="C24" i="14"/>
  <c r="C25" i="14"/>
  <c r="C23" i="14"/>
  <c r="C17" i="14"/>
  <c r="C19" i="14"/>
  <c r="D6" i="14"/>
  <c r="H6" i="14" s="1"/>
  <c r="L6" i="14" s="1"/>
  <c r="D15" i="14"/>
  <c r="D7" i="14"/>
  <c r="C6" i="14"/>
  <c r="G6" i="14" s="1"/>
  <c r="K6" i="14" s="1"/>
  <c r="C15" i="14"/>
  <c r="C7" i="14"/>
  <c r="C30" i="14"/>
  <c r="C33" i="14"/>
  <c r="C26" i="14"/>
  <c r="C29" i="14"/>
  <c r="C32" i="14"/>
  <c r="C27" i="14"/>
  <c r="C31" i="14"/>
  <c r="C34" i="14"/>
  <c r="C35" i="14"/>
  <c r="C28" i="14"/>
  <c r="E6" i="14"/>
  <c r="I6" i="14" s="1"/>
  <c r="M6" i="14" s="1"/>
  <c r="E15" i="14"/>
  <c r="E7" i="14"/>
  <c r="C40" i="14"/>
  <c r="C44" i="14"/>
  <c r="C38" i="14"/>
  <c r="C37" i="14"/>
  <c r="C41" i="14"/>
  <c r="C45" i="14"/>
  <c r="C46" i="14" s="1"/>
  <c r="C42" i="14"/>
  <c r="C36" i="14"/>
  <c r="C39" i="14"/>
  <c r="C43" i="14"/>
  <c r="D20" i="14"/>
  <c r="D22" i="14"/>
  <c r="D16" i="14"/>
  <c r="D19" i="14"/>
  <c r="D21" i="14"/>
  <c r="D17" i="14"/>
  <c r="D23" i="14"/>
  <c r="D25" i="14"/>
  <c r="D24" i="14"/>
  <c r="D18" i="14"/>
  <c r="D38" i="14"/>
  <c r="D42" i="14"/>
  <c r="D36" i="14"/>
  <c r="D37" i="14"/>
  <c r="D45" i="14"/>
  <c r="D46" i="14" s="1"/>
  <c r="D39" i="14"/>
  <c r="D43" i="14"/>
  <c r="D40" i="14"/>
  <c r="D44" i="14"/>
  <c r="D41" i="14"/>
  <c r="E27" i="14"/>
  <c r="E35" i="14"/>
  <c r="E26" i="14"/>
  <c r="E29" i="14"/>
  <c r="E30" i="14"/>
  <c r="E33" i="14"/>
  <c r="E32" i="14"/>
  <c r="E31" i="14"/>
  <c r="E28" i="14"/>
  <c r="E34" i="14"/>
  <c r="D26" i="14"/>
  <c r="D30" i="14"/>
  <c r="D29" i="14"/>
  <c r="D31" i="14"/>
  <c r="D34" i="14"/>
  <c r="D27" i="14"/>
  <c r="D28" i="14"/>
  <c r="D35" i="14"/>
  <c r="D32" i="14"/>
  <c r="D33" i="14"/>
  <c r="E9" i="14"/>
  <c r="C9" i="14"/>
  <c r="B10" i="14"/>
  <c r="D9" i="14"/>
  <c r="G16" i="11"/>
  <c r="G18" i="11"/>
  <c r="G25" i="11"/>
  <c r="G20" i="11"/>
  <c r="G19" i="11"/>
  <c r="G17" i="11"/>
  <c r="I38" i="11"/>
  <c r="I45" i="11"/>
  <c r="I37" i="11"/>
  <c r="I39" i="11"/>
  <c r="I36" i="11"/>
  <c r="M36" i="11" s="1"/>
  <c r="F40" i="11"/>
  <c r="G40" i="11" s="1"/>
  <c r="S39" i="11"/>
  <c r="F21" i="11"/>
  <c r="G21" i="11" s="1"/>
  <c r="S20" i="11"/>
  <c r="B13" i="2"/>
  <c r="B7" i="11" s="1"/>
  <c r="G13" i="2"/>
  <c r="C7" i="11" s="1"/>
  <c r="T4" i="11"/>
  <c r="U4" i="11"/>
  <c r="V5" i="11"/>
  <c r="V4" i="11"/>
  <c r="T5" i="11"/>
  <c r="U5" i="11"/>
  <c r="F30" i="11"/>
  <c r="H30" i="11" s="1"/>
  <c r="S29" i="11"/>
  <c r="H29" i="11"/>
  <c r="H28" i="11"/>
  <c r="H35" i="11"/>
  <c r="H27" i="11"/>
  <c r="H26" i="11"/>
  <c r="L26" i="11" s="1"/>
  <c r="L13" i="2"/>
  <c r="D7" i="11" s="1"/>
  <c r="G24" i="2"/>
  <c r="C8" i="11" s="1"/>
  <c r="H36" i="11"/>
  <c r="L36" i="11" s="1"/>
  <c r="H39" i="11"/>
  <c r="H37" i="11"/>
  <c r="H38" i="11"/>
  <c r="H45" i="11"/>
  <c r="I27" i="11"/>
  <c r="I29" i="11"/>
  <c r="I26" i="11"/>
  <c r="M26" i="11" s="1"/>
  <c r="I28" i="11"/>
  <c r="I35" i="11"/>
  <c r="B24" i="2"/>
  <c r="B8" i="11" s="1"/>
  <c r="L24" i="2"/>
  <c r="D8" i="11" s="1"/>
  <c r="G26" i="11"/>
  <c r="K26" i="11" s="1"/>
  <c r="G28" i="11"/>
  <c r="G35" i="11"/>
  <c r="G27" i="11"/>
  <c r="G29" i="11"/>
  <c r="G37" i="11"/>
  <c r="G36" i="11"/>
  <c r="K36" i="11" s="1"/>
  <c r="G39" i="11"/>
  <c r="G38" i="11"/>
  <c r="G45" i="11"/>
  <c r="S11" i="11"/>
  <c r="F12" i="11"/>
  <c r="D8" i="15" l="1"/>
  <c r="E8" i="15"/>
  <c r="F8" i="15"/>
  <c r="E47" i="15"/>
  <c r="D47" i="15"/>
  <c r="F47" i="15"/>
  <c r="F10" i="15"/>
  <c r="E10" i="15"/>
  <c r="D10" i="15"/>
  <c r="I47" i="15"/>
  <c r="H47" i="15"/>
  <c r="G47" i="15"/>
  <c r="H10" i="15"/>
  <c r="G10" i="15"/>
  <c r="I10" i="15"/>
  <c r="I8" i="15"/>
  <c r="H8" i="15"/>
  <c r="G8" i="15"/>
  <c r="B4" i="15"/>
  <c r="C11" i="15"/>
  <c r="J11" i="15"/>
  <c r="B12" i="15"/>
  <c r="H40" i="11"/>
  <c r="I15" i="14"/>
  <c r="H15" i="14"/>
  <c r="G15" i="14"/>
  <c r="D10" i="14"/>
  <c r="E10" i="14"/>
  <c r="C10" i="14"/>
  <c r="B11" i="14"/>
  <c r="H17" i="11"/>
  <c r="I17" i="11" s="1"/>
  <c r="H16" i="11"/>
  <c r="L16" i="11" s="1"/>
  <c r="K16" i="11"/>
  <c r="I30" i="11"/>
  <c r="G30" i="11"/>
  <c r="I8" i="11"/>
  <c r="I15" i="11"/>
  <c r="I7" i="11"/>
  <c r="I11" i="11"/>
  <c r="I6" i="11"/>
  <c r="M6" i="11" s="1"/>
  <c r="I9" i="11"/>
  <c r="I12" i="11"/>
  <c r="I10" i="11"/>
  <c r="H21" i="11"/>
  <c r="G46" i="11"/>
  <c r="I46" i="11"/>
  <c r="H12" i="11"/>
  <c r="H7" i="11"/>
  <c r="H9" i="11"/>
  <c r="H6" i="11"/>
  <c r="L6" i="11" s="1"/>
  <c r="H11" i="11"/>
  <c r="H10" i="11"/>
  <c r="H8" i="11"/>
  <c r="H15" i="11"/>
  <c r="F22" i="11"/>
  <c r="S21" i="11"/>
  <c r="S12" i="11"/>
  <c r="F13" i="11"/>
  <c r="H13" i="11" s="1"/>
  <c r="H19" i="11"/>
  <c r="F41" i="11"/>
  <c r="S40" i="11"/>
  <c r="H25" i="11"/>
  <c r="H18" i="11"/>
  <c r="I40" i="11"/>
  <c r="H20" i="11"/>
  <c r="H46" i="11"/>
  <c r="S30" i="11"/>
  <c r="F31" i="11"/>
  <c r="G7" i="11"/>
  <c r="G12" i="11"/>
  <c r="G11" i="11"/>
  <c r="G10" i="11"/>
  <c r="G9" i="11"/>
  <c r="G8" i="11"/>
  <c r="G15" i="11"/>
  <c r="G6" i="11"/>
  <c r="K6" i="11" s="1"/>
  <c r="O6" i="11" s="1"/>
  <c r="E11" i="15" l="1"/>
  <c r="D11" i="15"/>
  <c r="F11" i="15"/>
  <c r="I11" i="15"/>
  <c r="H11" i="15"/>
  <c r="G11" i="15"/>
  <c r="B13" i="15"/>
  <c r="C12" i="15"/>
  <c r="J12" i="15"/>
  <c r="H16" i="14"/>
  <c r="L15" i="14"/>
  <c r="I16" i="14"/>
  <c r="M15" i="14"/>
  <c r="K15" i="14"/>
  <c r="G16" i="14"/>
  <c r="D11" i="14"/>
  <c r="E11" i="14"/>
  <c r="C11" i="14"/>
  <c r="B12" i="14"/>
  <c r="I16" i="11"/>
  <c r="M16" i="11" s="1"/>
  <c r="M17" i="11" s="1"/>
  <c r="K7" i="11"/>
  <c r="O7" i="11" s="1"/>
  <c r="T7" i="11" s="1"/>
  <c r="M7" i="11"/>
  <c r="Q7" i="11" s="1"/>
  <c r="V7" i="11" s="1"/>
  <c r="Q6" i="11"/>
  <c r="V6" i="11" s="1"/>
  <c r="L7" i="11"/>
  <c r="P7" i="11" s="1"/>
  <c r="U7" i="11" s="1"/>
  <c r="P6" i="11"/>
  <c r="U6" i="11" s="1"/>
  <c r="K17" i="11"/>
  <c r="L17" i="11"/>
  <c r="F32" i="11"/>
  <c r="S31" i="11"/>
  <c r="H31" i="11"/>
  <c r="I31" i="11"/>
  <c r="G31" i="11"/>
  <c r="S41" i="11"/>
  <c r="F42" i="11"/>
  <c r="G41" i="11"/>
  <c r="H41" i="11"/>
  <c r="I41" i="11"/>
  <c r="F14" i="11"/>
  <c r="S13" i="11"/>
  <c r="S22" i="11"/>
  <c r="F23" i="11"/>
  <c r="G22" i="11"/>
  <c r="I25" i="11"/>
  <c r="I20" i="11"/>
  <c r="I13" i="11"/>
  <c r="I18" i="11"/>
  <c r="G13" i="11"/>
  <c r="T6" i="11"/>
  <c r="I19" i="11"/>
  <c r="I21" i="11"/>
  <c r="E12" i="15" l="1"/>
  <c r="F12" i="15"/>
  <c r="D12" i="15"/>
  <c r="I12" i="15"/>
  <c r="G12" i="15"/>
  <c r="H12" i="15"/>
  <c r="B14" i="15"/>
  <c r="J13" i="15"/>
  <c r="C13" i="15"/>
  <c r="M18" i="11"/>
  <c r="M19" i="11" s="1"/>
  <c r="M16" i="14"/>
  <c r="I25" i="14"/>
  <c r="K16" i="14"/>
  <c r="G25" i="14"/>
  <c r="L16" i="14"/>
  <c r="H25" i="14"/>
  <c r="C12" i="14"/>
  <c r="D12" i="14"/>
  <c r="B13" i="14"/>
  <c r="E12" i="14"/>
  <c r="M8" i="11"/>
  <c r="Q8" i="11" s="1"/>
  <c r="V8" i="11" s="1"/>
  <c r="K8" i="11"/>
  <c r="L18" i="11"/>
  <c r="K18" i="11"/>
  <c r="L8" i="11"/>
  <c r="S23" i="11"/>
  <c r="F24" i="11"/>
  <c r="G23" i="11"/>
  <c r="H23" i="11" s="1"/>
  <c r="I23" i="11" s="1"/>
  <c r="F33" i="11"/>
  <c r="S32" i="11"/>
  <c r="I32" i="11"/>
  <c r="H32" i="11"/>
  <c r="G32" i="11"/>
  <c r="S42" i="11"/>
  <c r="F43" i="11"/>
  <c r="G42" i="11"/>
  <c r="H42" i="11"/>
  <c r="I42" i="11"/>
  <c r="S14" i="11"/>
  <c r="H14" i="11"/>
  <c r="G14" i="11"/>
  <c r="I14" i="11"/>
  <c r="H22" i="11"/>
  <c r="F13" i="15" l="1"/>
  <c r="D13" i="15"/>
  <c r="E13" i="15"/>
  <c r="G13" i="15"/>
  <c r="H13" i="15"/>
  <c r="I13" i="15"/>
  <c r="B15" i="15"/>
  <c r="J14" i="15"/>
  <c r="C14" i="15"/>
  <c r="G26" i="14"/>
  <c r="K25" i="14"/>
  <c r="I26" i="14"/>
  <c r="M25" i="14"/>
  <c r="L25" i="14"/>
  <c r="H26" i="14"/>
  <c r="E13" i="14"/>
  <c r="C13" i="14"/>
  <c r="B14" i="14"/>
  <c r="D13" i="14"/>
  <c r="M9" i="11"/>
  <c r="M10" i="11" s="1"/>
  <c r="O8" i="11"/>
  <c r="T8" i="11" s="1"/>
  <c r="K9" i="11"/>
  <c r="L9" i="11"/>
  <c r="P8" i="11"/>
  <c r="U8" i="11" s="1"/>
  <c r="K19" i="11"/>
  <c r="M20" i="11"/>
  <c r="L19" i="11"/>
  <c r="S43" i="11"/>
  <c r="F44" i="11"/>
  <c r="I43" i="11"/>
  <c r="G43" i="11"/>
  <c r="H43" i="11"/>
  <c r="S24" i="11"/>
  <c r="G24" i="11"/>
  <c r="H24" i="11" s="1"/>
  <c r="S33" i="11"/>
  <c r="F34" i="11"/>
  <c r="G33" i="11"/>
  <c r="I33" i="11"/>
  <c r="H33" i="11"/>
  <c r="I22" i="11"/>
  <c r="E14" i="15" l="1"/>
  <c r="D14" i="15"/>
  <c r="F14" i="15"/>
  <c r="H14" i="15"/>
  <c r="G14" i="15"/>
  <c r="I14" i="15"/>
  <c r="C15" i="15"/>
  <c r="J15" i="15"/>
  <c r="B16" i="15"/>
  <c r="Q9" i="11"/>
  <c r="V9" i="11" s="1"/>
  <c r="I35" i="14"/>
  <c r="M26" i="14"/>
  <c r="H35" i="14"/>
  <c r="L26" i="14"/>
  <c r="G35" i="14"/>
  <c r="K26" i="14"/>
  <c r="E14" i="14"/>
  <c r="C14" i="14"/>
  <c r="D14" i="14"/>
  <c r="O9" i="11"/>
  <c r="T9" i="11" s="1"/>
  <c r="K10" i="11"/>
  <c r="K20" i="11"/>
  <c r="L20" i="11"/>
  <c r="L10" i="11"/>
  <c r="P9" i="11"/>
  <c r="U9" i="11" s="1"/>
  <c r="M21" i="11"/>
  <c r="M11" i="11"/>
  <c r="Q10" i="11"/>
  <c r="V10" i="11" s="1"/>
  <c r="S44" i="11"/>
  <c r="H44" i="11"/>
  <c r="G44" i="11"/>
  <c r="I44" i="11"/>
  <c r="S34" i="11"/>
  <c r="H34" i="11"/>
  <c r="G34" i="11"/>
  <c r="I34" i="11"/>
  <c r="I24" i="11"/>
  <c r="E15" i="15" l="1"/>
  <c r="D15" i="15"/>
  <c r="F15" i="15"/>
  <c r="I15" i="15"/>
  <c r="H15" i="15"/>
  <c r="G15" i="15"/>
  <c r="C16" i="15"/>
  <c r="J16" i="15"/>
  <c r="B17" i="15"/>
  <c r="L35" i="14"/>
  <c r="H36" i="14"/>
  <c r="G36" i="14"/>
  <c r="K35" i="14"/>
  <c r="I36" i="14"/>
  <c r="M35" i="14"/>
  <c r="K11" i="11"/>
  <c r="O10" i="11"/>
  <c r="T10" i="11" s="1"/>
  <c r="L11" i="11"/>
  <c r="P10" i="11"/>
  <c r="U10" i="11" s="1"/>
  <c r="M12" i="11"/>
  <c r="Q11" i="11"/>
  <c r="V11" i="11" s="1"/>
  <c r="L21" i="11"/>
  <c r="M22" i="11"/>
  <c r="K21" i="11"/>
  <c r="E16" i="15" l="1"/>
  <c r="D16" i="15"/>
  <c r="F16" i="15"/>
  <c r="I16" i="15"/>
  <c r="H16" i="15"/>
  <c r="G16" i="15"/>
  <c r="J17" i="15"/>
  <c r="C17" i="15"/>
  <c r="B18" i="15"/>
  <c r="H45" i="14"/>
  <c r="L36" i="14"/>
  <c r="G45" i="14"/>
  <c r="K36" i="14"/>
  <c r="I45" i="14"/>
  <c r="M36" i="14"/>
  <c r="K12" i="11"/>
  <c r="O11" i="11"/>
  <c r="T11" i="11" s="1"/>
  <c r="M23" i="11"/>
  <c r="L22" i="11"/>
  <c r="K22" i="11"/>
  <c r="M13" i="11"/>
  <c r="Q12" i="11"/>
  <c r="V12" i="11" s="1"/>
  <c r="L12" i="11"/>
  <c r="P11" i="11"/>
  <c r="U11" i="11" s="1"/>
  <c r="F17" i="15" l="1"/>
  <c r="E17" i="15"/>
  <c r="D17" i="15"/>
  <c r="G17" i="15"/>
  <c r="I17" i="15"/>
  <c r="H17" i="15"/>
  <c r="J18" i="15"/>
  <c r="C18" i="15"/>
  <c r="B19" i="15"/>
  <c r="K45" i="14"/>
  <c r="G46" i="14"/>
  <c r="K46" i="14" s="1"/>
  <c r="M45" i="14"/>
  <c r="I46" i="14"/>
  <c r="M46" i="14" s="1"/>
  <c r="L45" i="14"/>
  <c r="T16" i="1" s="1"/>
  <c r="H46" i="14"/>
  <c r="L46" i="14" s="1"/>
  <c r="K13" i="11"/>
  <c r="O12" i="11"/>
  <c r="T12" i="11" s="1"/>
  <c r="K23" i="11"/>
  <c r="L13" i="11"/>
  <c r="P12" i="11"/>
  <c r="U12" i="11" s="1"/>
  <c r="M14" i="11"/>
  <c r="Q13" i="11"/>
  <c r="V13" i="11" s="1"/>
  <c r="L23" i="11"/>
  <c r="M24" i="11"/>
  <c r="F18" i="15" l="1"/>
  <c r="E18" i="15"/>
  <c r="D18" i="15"/>
  <c r="H18" i="15"/>
  <c r="G18" i="15"/>
  <c r="I18" i="15"/>
  <c r="C19" i="15"/>
  <c r="J19" i="15"/>
  <c r="B20" i="15"/>
  <c r="T17" i="1"/>
  <c r="O13" i="11"/>
  <c r="T13" i="11" s="1"/>
  <c r="K14" i="11"/>
  <c r="M15" i="11"/>
  <c r="Q15" i="11" s="1"/>
  <c r="Q24" i="11" s="1"/>
  <c r="V24" i="11" s="1"/>
  <c r="Q14" i="11"/>
  <c r="V14" i="11" s="1"/>
  <c r="L24" i="11"/>
  <c r="M25" i="11"/>
  <c r="L14" i="11"/>
  <c r="P13" i="11"/>
  <c r="U13" i="11" s="1"/>
  <c r="K24" i="11"/>
  <c r="E19" i="15" l="1"/>
  <c r="D19" i="15"/>
  <c r="F19" i="15"/>
  <c r="I19" i="15"/>
  <c r="H19" i="15"/>
  <c r="G19" i="15"/>
  <c r="C20" i="15"/>
  <c r="J20" i="15"/>
  <c r="B21" i="15"/>
  <c r="K15" i="11"/>
  <c r="O15" i="11" s="1"/>
  <c r="O24" i="11" s="1"/>
  <c r="T24" i="11" s="1"/>
  <c r="O14" i="11"/>
  <c r="T14" i="11" s="1"/>
  <c r="M27" i="11"/>
  <c r="Q25" i="11"/>
  <c r="K27" i="11"/>
  <c r="K25" i="11"/>
  <c r="L15" i="11"/>
  <c r="P15" i="11" s="1"/>
  <c r="P14" i="11"/>
  <c r="U14" i="11" s="1"/>
  <c r="L25" i="11"/>
  <c r="Q16" i="11"/>
  <c r="V16" i="11" s="1"/>
  <c r="V15" i="11"/>
  <c r="Q17" i="11"/>
  <c r="V17" i="11" s="1"/>
  <c r="Q18" i="11"/>
  <c r="V18" i="11" s="1"/>
  <c r="Q19" i="11"/>
  <c r="V19" i="11" s="1"/>
  <c r="Q20" i="11"/>
  <c r="V20" i="11" s="1"/>
  <c r="Q21" i="11"/>
  <c r="V21" i="11" s="1"/>
  <c r="Q22" i="11"/>
  <c r="V22" i="11" s="1"/>
  <c r="Q23" i="11"/>
  <c r="V23" i="11" s="1"/>
  <c r="E20" i="15" l="1"/>
  <c r="F20" i="15"/>
  <c r="D20" i="15"/>
  <c r="I20" i="15"/>
  <c r="G20" i="15"/>
  <c r="H20" i="15"/>
  <c r="J21" i="15"/>
  <c r="C21" i="15"/>
  <c r="B22" i="15"/>
  <c r="O25" i="11"/>
  <c r="O27" i="11" s="1"/>
  <c r="T27" i="11" s="1"/>
  <c r="O22" i="11"/>
  <c r="T22" i="11" s="1"/>
  <c r="T15" i="11"/>
  <c r="O19" i="11"/>
  <c r="T19" i="11" s="1"/>
  <c r="O23" i="11"/>
  <c r="T23" i="11" s="1"/>
  <c r="O16" i="11"/>
  <c r="T16" i="11" s="1"/>
  <c r="O20" i="11"/>
  <c r="T20" i="11" s="1"/>
  <c r="O17" i="11"/>
  <c r="T17" i="11" s="1"/>
  <c r="O21" i="11"/>
  <c r="T21" i="11" s="1"/>
  <c r="O18" i="11"/>
  <c r="T18" i="11" s="1"/>
  <c r="P16" i="11"/>
  <c r="U16" i="11" s="1"/>
  <c r="P17" i="11"/>
  <c r="U17" i="11" s="1"/>
  <c r="U15" i="11"/>
  <c r="P18" i="11"/>
  <c r="U18" i="11" s="1"/>
  <c r="P19" i="11"/>
  <c r="U19" i="11" s="1"/>
  <c r="P20" i="11"/>
  <c r="U20" i="11" s="1"/>
  <c r="P21" i="11"/>
  <c r="U21" i="11" s="1"/>
  <c r="P22" i="11"/>
  <c r="U22" i="11" s="1"/>
  <c r="P23" i="11"/>
  <c r="U23" i="11" s="1"/>
  <c r="Q26" i="11"/>
  <c r="V26" i="11" s="1"/>
  <c r="V25" i="11"/>
  <c r="L27" i="11"/>
  <c r="P25" i="11"/>
  <c r="K28" i="11"/>
  <c r="P24" i="11"/>
  <c r="U24" i="11" s="1"/>
  <c r="M28" i="11"/>
  <c r="Q27" i="11"/>
  <c r="V27" i="11" s="1"/>
  <c r="F21" i="15" l="1"/>
  <c r="D21" i="15"/>
  <c r="E21" i="15"/>
  <c r="G21" i="15"/>
  <c r="I21" i="15"/>
  <c r="H21" i="15"/>
  <c r="J22" i="15"/>
  <c r="C22" i="15"/>
  <c r="B23" i="15"/>
  <c r="T25" i="11"/>
  <c r="O26" i="11"/>
  <c r="T26" i="11" s="1"/>
  <c r="K29" i="11"/>
  <c r="O28" i="11"/>
  <c r="T28" i="11" s="1"/>
  <c r="P26" i="11"/>
  <c r="U26" i="11" s="1"/>
  <c r="U25" i="11"/>
  <c r="L28" i="11"/>
  <c r="P27" i="11"/>
  <c r="U27" i="11" s="1"/>
  <c r="M29" i="11"/>
  <c r="Q28" i="11"/>
  <c r="V28" i="11" s="1"/>
  <c r="E22" i="15" l="1"/>
  <c r="D22" i="15"/>
  <c r="F22" i="15"/>
  <c r="H22" i="15"/>
  <c r="G22" i="15"/>
  <c r="I22" i="15"/>
  <c r="C23" i="15"/>
  <c r="J23" i="15"/>
  <c r="B24" i="15"/>
  <c r="M30" i="11"/>
  <c r="Q29" i="11"/>
  <c r="V29" i="11" s="1"/>
  <c r="L29" i="11"/>
  <c r="P28" i="11"/>
  <c r="U28" i="11" s="1"/>
  <c r="K30" i="11"/>
  <c r="O29" i="11"/>
  <c r="T29" i="11" s="1"/>
  <c r="E23" i="15" l="1"/>
  <c r="D23" i="15"/>
  <c r="F23" i="15"/>
  <c r="I23" i="15"/>
  <c r="H23" i="15"/>
  <c r="G23" i="15"/>
  <c r="C24" i="15"/>
  <c r="J24" i="15"/>
  <c r="B25" i="15"/>
  <c r="K31" i="11"/>
  <c r="O30" i="11"/>
  <c r="T30" i="11" s="1"/>
  <c r="L30" i="11"/>
  <c r="P29" i="11"/>
  <c r="U29" i="11" s="1"/>
  <c r="M31" i="11"/>
  <c r="Q30" i="11"/>
  <c r="V30" i="11" s="1"/>
  <c r="E24" i="15" l="1"/>
  <c r="F24" i="15"/>
  <c r="D24" i="15"/>
  <c r="I24" i="15"/>
  <c r="H24" i="15"/>
  <c r="G24" i="15"/>
  <c r="J25" i="15"/>
  <c r="C25" i="15"/>
  <c r="B26" i="15"/>
  <c r="M32" i="11"/>
  <c r="Q31" i="11"/>
  <c r="V31" i="11" s="1"/>
  <c r="L31" i="11"/>
  <c r="P30" i="11"/>
  <c r="U30" i="11" s="1"/>
  <c r="K32" i="11"/>
  <c r="O31" i="11"/>
  <c r="T31" i="11" s="1"/>
  <c r="F25" i="15" l="1"/>
  <c r="E25" i="15"/>
  <c r="D25" i="15"/>
  <c r="G25" i="15"/>
  <c r="H25" i="15"/>
  <c r="I25" i="15"/>
  <c r="J26" i="15"/>
  <c r="C26" i="15"/>
  <c r="B27" i="15"/>
  <c r="K33" i="11"/>
  <c r="O32" i="11"/>
  <c r="T32" i="11" s="1"/>
  <c r="L32" i="11"/>
  <c r="P31" i="11"/>
  <c r="U31" i="11" s="1"/>
  <c r="M33" i="11"/>
  <c r="Q32" i="11"/>
  <c r="V32" i="11" s="1"/>
  <c r="F26" i="15" l="1"/>
  <c r="E26" i="15"/>
  <c r="D26" i="15"/>
  <c r="H26" i="15"/>
  <c r="G26" i="15"/>
  <c r="I26" i="15"/>
  <c r="C27" i="15"/>
  <c r="J27" i="15"/>
  <c r="B28" i="15"/>
  <c r="L33" i="11"/>
  <c r="P32" i="11"/>
  <c r="U32" i="11" s="1"/>
  <c r="M34" i="11"/>
  <c r="Q33" i="11"/>
  <c r="V33" i="11" s="1"/>
  <c r="K34" i="11"/>
  <c r="O33" i="11"/>
  <c r="T33" i="11" s="1"/>
  <c r="E27" i="15" l="1"/>
  <c r="D27" i="15"/>
  <c r="F27" i="15"/>
  <c r="I27" i="15"/>
  <c r="H27" i="15"/>
  <c r="G27" i="15"/>
  <c r="C28" i="15"/>
  <c r="J28" i="15"/>
  <c r="B29" i="15"/>
  <c r="K35" i="11"/>
  <c r="O34" i="11"/>
  <c r="T34" i="11" s="1"/>
  <c r="M35" i="11"/>
  <c r="Q34" i="11"/>
  <c r="V34" i="11" s="1"/>
  <c r="L34" i="11"/>
  <c r="P33" i="11"/>
  <c r="U33" i="11" s="1"/>
  <c r="E28" i="15" l="1"/>
  <c r="D28" i="15"/>
  <c r="F28" i="15"/>
  <c r="I28" i="15"/>
  <c r="G28" i="15"/>
  <c r="H28" i="15"/>
  <c r="J29" i="15"/>
  <c r="C29" i="15"/>
  <c r="B30" i="15"/>
  <c r="L35" i="11"/>
  <c r="P34" i="11"/>
  <c r="U34" i="11" s="1"/>
  <c r="M37" i="11"/>
  <c r="Q35" i="11"/>
  <c r="K37" i="11"/>
  <c r="O35" i="11"/>
  <c r="F29" i="15" l="1"/>
  <c r="E29" i="15"/>
  <c r="D29" i="15"/>
  <c r="G29" i="15"/>
  <c r="I29" i="15"/>
  <c r="H29" i="15"/>
  <c r="J30" i="15"/>
  <c r="C30" i="15"/>
  <c r="B31" i="15"/>
  <c r="O36" i="11"/>
  <c r="T36" i="11" s="1"/>
  <c r="T35" i="11"/>
  <c r="K38" i="11"/>
  <c r="O37" i="11"/>
  <c r="T37" i="11" s="1"/>
  <c r="Q36" i="11"/>
  <c r="V36" i="11" s="1"/>
  <c r="V35" i="11"/>
  <c r="M38" i="11"/>
  <c r="Q37" i="11"/>
  <c r="V37" i="11" s="1"/>
  <c r="L37" i="11"/>
  <c r="P35" i="11"/>
  <c r="E30" i="15" l="1"/>
  <c r="D30" i="15"/>
  <c r="F30" i="15"/>
  <c r="H30" i="15"/>
  <c r="G30" i="15"/>
  <c r="I30" i="15"/>
  <c r="C31" i="15"/>
  <c r="J31" i="15"/>
  <c r="B32" i="15"/>
  <c r="M39" i="11"/>
  <c r="Q38" i="11"/>
  <c r="V38" i="11" s="1"/>
  <c r="P36" i="11"/>
  <c r="U36" i="11" s="1"/>
  <c r="U35" i="11"/>
  <c r="K39" i="11"/>
  <c r="O38" i="11"/>
  <c r="T38" i="11" s="1"/>
  <c r="L38" i="11"/>
  <c r="P37" i="11"/>
  <c r="U37" i="11" s="1"/>
  <c r="E31" i="15" l="1"/>
  <c r="D31" i="15"/>
  <c r="F31" i="15"/>
  <c r="I31" i="15"/>
  <c r="H31" i="15"/>
  <c r="G31" i="15"/>
  <c r="C32" i="15"/>
  <c r="J32" i="15"/>
  <c r="B33" i="15"/>
  <c r="L39" i="11"/>
  <c r="P38" i="11"/>
  <c r="U38" i="11" s="1"/>
  <c r="K40" i="11"/>
  <c r="O39" i="11"/>
  <c r="T39" i="11" s="1"/>
  <c r="Q39" i="11"/>
  <c r="V39" i="11" s="1"/>
  <c r="M40" i="11"/>
  <c r="Q40" i="11" s="1"/>
  <c r="V40" i="11" s="1"/>
  <c r="E32" i="15" l="1"/>
  <c r="F32" i="15"/>
  <c r="D32" i="15"/>
  <c r="I32" i="15"/>
  <c r="H32" i="15"/>
  <c r="G32" i="15"/>
  <c r="J33" i="15"/>
  <c r="C33" i="15"/>
  <c r="B34" i="15"/>
  <c r="K41" i="11"/>
  <c r="O40" i="11"/>
  <c r="T40" i="11" s="1"/>
  <c r="M41" i="11"/>
  <c r="L40" i="11"/>
  <c r="P39" i="11"/>
  <c r="U39" i="11" s="1"/>
  <c r="F33" i="15" l="1"/>
  <c r="E33" i="15"/>
  <c r="D33" i="15"/>
  <c r="G33" i="15"/>
  <c r="I33" i="15"/>
  <c r="H33" i="15"/>
  <c r="J34" i="15"/>
  <c r="C34" i="15"/>
  <c r="B35" i="15"/>
  <c r="M42" i="11"/>
  <c r="Q41" i="11"/>
  <c r="V41" i="11" s="1"/>
  <c r="L41" i="11"/>
  <c r="P40" i="11"/>
  <c r="U40" i="11" s="1"/>
  <c r="K42" i="11"/>
  <c r="O41" i="11"/>
  <c r="T41" i="11" s="1"/>
  <c r="F34" i="15" l="1"/>
  <c r="E34" i="15"/>
  <c r="D34" i="15"/>
  <c r="H34" i="15"/>
  <c r="G34" i="15"/>
  <c r="I34" i="15"/>
  <c r="C35" i="15"/>
  <c r="J35" i="15"/>
  <c r="B36" i="15"/>
  <c r="L42" i="11"/>
  <c r="P41" i="11"/>
  <c r="U41" i="11" s="1"/>
  <c r="K43" i="11"/>
  <c r="O42" i="11"/>
  <c r="T42" i="11" s="1"/>
  <c r="M43" i="11"/>
  <c r="Q42" i="11"/>
  <c r="V42" i="11" s="1"/>
  <c r="E35" i="15" l="1"/>
  <c r="D35" i="15"/>
  <c r="F35" i="15"/>
  <c r="I35" i="15"/>
  <c r="H35" i="15"/>
  <c r="G35" i="15"/>
  <c r="C36" i="15"/>
  <c r="J36" i="15"/>
  <c r="B37" i="15"/>
  <c r="K44" i="11"/>
  <c r="O43" i="11"/>
  <c r="T43" i="11" s="1"/>
  <c r="M44" i="11"/>
  <c r="Q43" i="11"/>
  <c r="V43" i="11" s="1"/>
  <c r="L43" i="11"/>
  <c r="P42" i="11"/>
  <c r="U42" i="11" s="1"/>
  <c r="D36" i="15" l="1"/>
  <c r="F36" i="15"/>
  <c r="E36" i="15"/>
  <c r="I36" i="15"/>
  <c r="G36" i="15"/>
  <c r="H36" i="15"/>
  <c r="J37" i="15"/>
  <c r="C37" i="15"/>
  <c r="B38" i="15"/>
  <c r="M45" i="11"/>
  <c r="Q44" i="11"/>
  <c r="V44" i="11" s="1"/>
  <c r="L44" i="11"/>
  <c r="P43" i="11"/>
  <c r="U43" i="11" s="1"/>
  <c r="K45" i="11"/>
  <c r="O44" i="11"/>
  <c r="T44" i="11" s="1"/>
  <c r="F37" i="15" l="1"/>
  <c r="E37" i="15"/>
  <c r="D37" i="15"/>
  <c r="G37" i="15"/>
  <c r="H37" i="15"/>
  <c r="I37" i="15"/>
  <c r="J38" i="15"/>
  <c r="C38" i="15"/>
  <c r="B39" i="15"/>
  <c r="K46" i="11"/>
  <c r="O45" i="11"/>
  <c r="L45" i="11"/>
  <c r="P44" i="11"/>
  <c r="U44" i="11" s="1"/>
  <c r="M46" i="11"/>
  <c r="Q45" i="11"/>
  <c r="E38" i="15" l="1"/>
  <c r="D38" i="15"/>
  <c r="F38" i="15"/>
  <c r="H38" i="15"/>
  <c r="G38" i="15"/>
  <c r="I38" i="15"/>
  <c r="C39" i="15"/>
  <c r="J39" i="15"/>
  <c r="B40" i="15"/>
  <c r="Q46" i="11"/>
  <c r="V46" i="11" s="1"/>
  <c r="V45" i="11"/>
  <c r="L46" i="11"/>
  <c r="P45" i="11"/>
  <c r="T45" i="11"/>
  <c r="O46" i="11"/>
  <c r="T46" i="11" s="1"/>
  <c r="E39" i="15" l="1"/>
  <c r="D39" i="15"/>
  <c r="F39" i="15"/>
  <c r="I39" i="15"/>
  <c r="H39" i="15"/>
  <c r="G39" i="15"/>
  <c r="C40" i="15"/>
  <c r="J40" i="15"/>
  <c r="B41" i="15"/>
  <c r="O17" i="1"/>
  <c r="P46" i="11"/>
  <c r="U45" i="11"/>
  <c r="E40" i="15" l="1"/>
  <c r="F40" i="15"/>
  <c r="D40" i="15"/>
  <c r="I40" i="15"/>
  <c r="H40" i="15"/>
  <c r="G40" i="15"/>
  <c r="J41" i="15"/>
  <c r="C41" i="15"/>
  <c r="B42" i="15"/>
  <c r="U46" i="11"/>
  <c r="O16" i="1" s="1"/>
  <c r="F41" i="15" l="1"/>
  <c r="E41" i="15"/>
  <c r="D41" i="15"/>
  <c r="G41" i="15"/>
  <c r="I41" i="15"/>
  <c r="H41" i="15"/>
  <c r="J42" i="15"/>
  <c r="C42" i="15"/>
  <c r="B43" i="15"/>
  <c r="F42" i="15" l="1"/>
  <c r="E42" i="15"/>
  <c r="D42" i="15"/>
  <c r="H42" i="15"/>
  <c r="G42" i="15"/>
  <c r="I42" i="15"/>
  <c r="C43" i="15"/>
  <c r="J43" i="15"/>
  <c r="B44" i="15"/>
  <c r="E43" i="15" l="1"/>
  <c r="D43" i="15"/>
  <c r="F43" i="15"/>
  <c r="I43" i="15"/>
  <c r="H43" i="15"/>
  <c r="G43" i="15"/>
  <c r="C44" i="15"/>
  <c r="J44" i="15"/>
  <c r="B45" i="15"/>
  <c r="E44" i="15" l="1"/>
  <c r="D44" i="15"/>
  <c r="F44" i="15"/>
  <c r="I44" i="15"/>
  <c r="G44" i="15"/>
  <c r="H44" i="15"/>
  <c r="J45" i="15"/>
  <c r="C45" i="15"/>
  <c r="B46" i="15"/>
  <c r="F45" i="15" l="1"/>
  <c r="E45" i="15"/>
  <c r="D45" i="15"/>
  <c r="G45" i="15"/>
  <c r="H45" i="15"/>
  <c r="I45" i="15"/>
  <c r="J46" i="15"/>
  <c r="C46" i="15"/>
  <c r="E46" i="15" l="1"/>
  <c r="D46" i="15"/>
  <c r="F46" i="15"/>
  <c r="H46" i="15"/>
  <c r="G46" i="15"/>
  <c r="I4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Moayad Nafeaa</author>
  </authors>
  <commentList>
    <comment ref="G1" authorId="0" shapeId="0" xr:uid="{4ED8C6B6-410F-9748-9947-829FC30C5B01}">
      <text>
        <r>
          <rPr>
            <b/>
            <sz val="10"/>
            <color rgb="FF000000"/>
            <rFont val="Tahoma"/>
            <family val="2"/>
          </rPr>
          <t>Moayad Nafeaa:</t>
        </r>
        <r>
          <rPr>
            <sz val="10"/>
            <color rgb="FF000000"/>
            <rFont val="Tahoma"/>
            <family val="2"/>
          </rPr>
          <t xml:space="preserve">
</t>
        </r>
        <r>
          <rPr>
            <sz val="10"/>
            <color rgb="FF000000"/>
            <rFont val="Tahoma"/>
            <family val="2"/>
          </rPr>
          <t>The fitting parameters corresponding to the IM = AvgSa are obtained for each capacity coordinate of the normalized pushover curve. Thus, there is no actual need for the monotonic increase check. Only the dynamic response points corresponding to the capacity coordinates will be plotted.</t>
        </r>
      </text>
    </comment>
  </commentList>
</comments>
</file>

<file path=xl/sharedStrings.xml><?xml version="1.0" encoding="utf-8"?>
<sst xmlns="http://schemas.openxmlformats.org/spreadsheetml/2006/main" count="301" uniqueCount="139">
  <si>
    <t>s</t>
  </si>
  <si>
    <t xml:space="preserve">Pushover Curve Data </t>
  </si>
  <si>
    <t>Yielding</t>
  </si>
  <si>
    <t>Hardening</t>
  </si>
  <si>
    <t>Softening</t>
  </si>
  <si>
    <t>Residual</t>
  </si>
  <si>
    <t>Degradation</t>
  </si>
  <si>
    <t>-</t>
  </si>
  <si>
    <t xml:space="preserve">𝛼₁ = </t>
  </si>
  <si>
    <t>a</t>
  </si>
  <si>
    <t>b</t>
  </si>
  <si>
    <t>c</t>
  </si>
  <si>
    <t>g</t>
  </si>
  <si>
    <t>𝛽₁ =</t>
  </si>
  <si>
    <t>Softening Branch Fits</t>
  </si>
  <si>
    <t>𝛾₂=</t>
  </si>
  <si>
    <t>𝛽₂ =</t>
  </si>
  <si>
    <t xml:space="preserve">𝛼₂ = </t>
  </si>
  <si>
    <t>Residual Plateau Branch Fits</t>
  </si>
  <si>
    <t>i</t>
  </si>
  <si>
    <t xml:space="preserve">𝛼₃ = </t>
  </si>
  <si>
    <t>𝛽₃ =</t>
  </si>
  <si>
    <t>Strength Degradation Branch Fits</t>
  </si>
  <si>
    <t xml:space="preserve">𝛼₄ = </t>
  </si>
  <si>
    <t>𝛽₄ =</t>
  </si>
  <si>
    <t>R</t>
  </si>
  <si>
    <t>Elastic</t>
  </si>
  <si>
    <t>𝝻</t>
  </si>
  <si>
    <t>Residual Plateau</t>
  </si>
  <si>
    <t>Strength Degradation</t>
  </si>
  <si>
    <t>Collapse</t>
  </si>
  <si>
    <t>kN</t>
  </si>
  <si>
    <t>Normalisation</t>
  </si>
  <si>
    <t>Equivalent Linearisation</t>
  </si>
  <si>
    <t>Description</t>
  </si>
  <si>
    <t>μ</t>
  </si>
  <si>
    <r>
      <t xml:space="preserve">Base Shear </t>
    </r>
    <r>
      <rPr>
        <i/>
        <sz val="12"/>
        <color theme="1"/>
        <rFont val="Calibri"/>
        <family val="2"/>
        <scheme val="minor"/>
      </rPr>
      <t>V</t>
    </r>
    <r>
      <rPr>
        <vertAlign val="subscript"/>
        <sz val="12"/>
        <color theme="1"/>
        <rFont val="Calibri (Body)"/>
      </rPr>
      <t>b</t>
    </r>
    <r>
      <rPr>
        <sz val="12"/>
        <color theme="1"/>
        <rFont val="Calibri"/>
        <family val="2"/>
        <scheme val="minor"/>
      </rPr>
      <t xml:space="preserve"> [kN]</t>
    </r>
  </si>
  <si>
    <t>Roof Displacement 𝛥 [m]</t>
  </si>
  <si>
    <t>Checks</t>
  </si>
  <si>
    <t>m</t>
  </si>
  <si>
    <t>Input data</t>
  </si>
  <si>
    <t>Force is taken as max of SPO. Displacement set to match the initial stiffness of SPO</t>
  </si>
  <si>
    <t>Force is equal to point 1. Displacement set visually by user</t>
  </si>
  <si>
    <t>Both set visually by user</t>
  </si>
  <si>
    <t>Force is taken as zero. Displacement taken as point of zero force.</t>
  </si>
  <si>
    <t>Zero point just for plotting</t>
  </si>
  <si>
    <t>Modal Analysis</t>
  </si>
  <si>
    <t>Level</t>
  </si>
  <si>
    <t>Mass [t]</t>
  </si>
  <si>
    <t>𝛷[-]</t>
  </si>
  <si>
    <t>Notes:</t>
  </si>
  <si>
    <t>Cells highlighted in yellow are to be inputted by the user</t>
  </si>
  <si>
    <t>Ensure that all of the checks are satisfied</t>
  </si>
  <si>
    <t>Modal analysis are used for the MDOF to SDOF conversion</t>
  </si>
  <si>
    <t xml:space="preserve">Initial stiffness (SPO) = </t>
  </si>
  <si>
    <t xml:space="preserve">Initial stiffness (Linearisation) = </t>
  </si>
  <si>
    <t>kN/m</t>
  </si>
  <si>
    <r>
      <t xml:space="preserve">% of </t>
    </r>
    <r>
      <rPr>
        <i/>
        <sz val="12"/>
        <color theme="1"/>
        <rFont val="Calibri"/>
        <family val="2"/>
        <scheme val="minor"/>
      </rPr>
      <t>V</t>
    </r>
    <r>
      <rPr>
        <vertAlign val="subscript"/>
        <sz val="12"/>
        <color theme="1"/>
        <rFont val="Calibri (Body)"/>
      </rPr>
      <t>b,max</t>
    </r>
    <r>
      <rPr>
        <sz val="12"/>
        <color theme="1"/>
        <rFont val="Calibri"/>
        <family val="2"/>
        <scheme val="minor"/>
      </rPr>
      <t xml:space="preserve"> to take secant =</t>
    </r>
  </si>
  <si>
    <t>Difference</t>
  </si>
  <si>
    <t>t</t>
  </si>
  <si>
    <t>Example of 3 storey infilled frame (weak single leaf) from O'Reilly &amp; Sullivan (2018)</t>
  </si>
  <si>
    <t>Mode shape should be normalised with top=1 since EDP is roof displacement</t>
  </si>
  <si>
    <r>
      <t xml:space="preserve">SDOF mass, </t>
    </r>
    <r>
      <rPr>
        <i/>
        <sz val="12"/>
        <rFont val="Calibri"/>
        <family val="2"/>
        <scheme val="minor"/>
      </rPr>
      <t>m</t>
    </r>
    <r>
      <rPr>
        <sz val="12"/>
        <rFont val="Calibri"/>
        <family val="2"/>
        <scheme val="minor"/>
      </rPr>
      <t xml:space="preserve">* = </t>
    </r>
  </si>
  <si>
    <r>
      <t xml:space="preserve">Total mass, </t>
    </r>
    <r>
      <rPr>
        <i/>
        <sz val="12"/>
        <color theme="1"/>
        <rFont val="Calibri (Body)"/>
      </rPr>
      <t>m</t>
    </r>
    <r>
      <rPr>
        <sz val="12"/>
        <color theme="1"/>
        <rFont val="Calibri"/>
        <family val="2"/>
        <scheme val="minor"/>
      </rPr>
      <t xml:space="preserve"> = </t>
    </r>
  </si>
  <si>
    <t xml:space="preserve">Transformation factor, 𝛤 = </t>
  </si>
  <si>
    <r>
      <t xml:space="preserve">Yield base shear, </t>
    </r>
    <r>
      <rPr>
        <i/>
        <sz val="12"/>
        <rFont val="Calibri"/>
        <family val="2"/>
        <scheme val="minor"/>
      </rPr>
      <t>V</t>
    </r>
    <r>
      <rPr>
        <vertAlign val="subscript"/>
        <sz val="12"/>
        <rFont val="Calibri (Body)"/>
      </rPr>
      <t>b,y</t>
    </r>
    <r>
      <rPr>
        <sz val="12"/>
        <rFont val="Calibri (Body)"/>
      </rPr>
      <t xml:space="preserve"> =  </t>
    </r>
  </si>
  <si>
    <r>
      <t xml:space="preserve">Yield displacement, </t>
    </r>
    <r>
      <rPr>
        <i/>
        <sz val="12"/>
        <rFont val="Calibri"/>
        <family val="2"/>
        <scheme val="minor"/>
      </rPr>
      <t>Δ</t>
    </r>
    <r>
      <rPr>
        <vertAlign val="subscript"/>
        <sz val="12"/>
        <rFont val="Calibri (Body)"/>
      </rPr>
      <t>y</t>
    </r>
    <r>
      <rPr>
        <sz val="12"/>
        <rFont val="Calibri (Body)"/>
      </rPr>
      <t xml:space="preserve"> =  </t>
    </r>
  </si>
  <si>
    <r>
      <t xml:space="preserve">SDOF Yield force, </t>
    </r>
    <r>
      <rPr>
        <i/>
        <sz val="12"/>
        <rFont val="Calibri"/>
        <family val="2"/>
        <scheme val="minor"/>
      </rPr>
      <t>F</t>
    </r>
    <r>
      <rPr>
        <vertAlign val="subscript"/>
        <sz val="12"/>
        <rFont val="Calibri (Body)"/>
      </rPr>
      <t>y</t>
    </r>
    <r>
      <rPr>
        <sz val="12"/>
        <rFont val="Calibri"/>
        <family val="2"/>
        <scheme val="minor"/>
      </rPr>
      <t xml:space="preserve">* = </t>
    </r>
  </si>
  <si>
    <r>
      <t xml:space="preserve">SDOF period, </t>
    </r>
    <r>
      <rPr>
        <i/>
        <sz val="12"/>
        <rFont val="Calibri"/>
        <family val="2"/>
        <scheme val="minor"/>
      </rPr>
      <t>T</t>
    </r>
    <r>
      <rPr>
        <sz val="12"/>
        <rFont val="Calibri"/>
        <family val="2"/>
        <scheme val="minor"/>
      </rPr>
      <t xml:space="preserve">* = </t>
    </r>
  </si>
  <si>
    <r>
      <t>SDOF yield acceleration,</t>
    </r>
    <r>
      <rPr>
        <i/>
        <sz val="12"/>
        <rFont val="Calibri"/>
        <family val="2"/>
        <scheme val="minor"/>
      </rPr>
      <t xml:space="preserve"> Sa</t>
    </r>
    <r>
      <rPr>
        <vertAlign val="subscript"/>
        <sz val="12"/>
        <rFont val="Calibri (Body)"/>
      </rPr>
      <t>y</t>
    </r>
    <r>
      <rPr>
        <sz val="12"/>
        <rFont val="Calibri"/>
        <family val="2"/>
        <scheme val="minor"/>
      </rPr>
      <t xml:space="preserve"> = </t>
    </r>
  </si>
  <si>
    <t>Hardening Branch Fits</t>
  </si>
  <si>
    <r>
      <rPr>
        <i/>
        <sz val="12"/>
        <color theme="1"/>
        <rFont val="Calibri"/>
        <family val="2"/>
        <scheme val="minor"/>
      </rPr>
      <t>a</t>
    </r>
    <r>
      <rPr>
        <vertAlign val="subscript"/>
        <sz val="12"/>
        <color theme="1"/>
        <rFont val="Calibri (Body)"/>
      </rPr>
      <t>α1</t>
    </r>
  </si>
  <si>
    <r>
      <rPr>
        <i/>
        <sz val="12"/>
        <color theme="1"/>
        <rFont val="Calibri"/>
        <family val="2"/>
        <scheme val="minor"/>
      </rPr>
      <t>b</t>
    </r>
    <r>
      <rPr>
        <vertAlign val="subscript"/>
        <sz val="12"/>
        <color theme="1"/>
        <rFont val="Calibri (Body)"/>
      </rPr>
      <t>α1</t>
    </r>
  </si>
  <si>
    <r>
      <rPr>
        <i/>
        <sz val="12"/>
        <color theme="1"/>
        <rFont val="Calibri"/>
        <family val="2"/>
        <scheme val="minor"/>
      </rPr>
      <t>c</t>
    </r>
    <r>
      <rPr>
        <vertAlign val="subscript"/>
        <sz val="12"/>
        <color theme="1"/>
        <rFont val="Calibri (Body)"/>
      </rPr>
      <t>α1</t>
    </r>
  </si>
  <si>
    <r>
      <rPr>
        <i/>
        <sz val="12"/>
        <color theme="1"/>
        <rFont val="Calibri"/>
        <family val="2"/>
        <scheme val="minor"/>
      </rPr>
      <t>a</t>
    </r>
    <r>
      <rPr>
        <vertAlign val="subscript"/>
        <sz val="12"/>
        <color theme="1"/>
        <rFont val="Calibri (Body)"/>
      </rPr>
      <t>β1</t>
    </r>
  </si>
  <si>
    <r>
      <rPr>
        <i/>
        <sz val="12"/>
        <color theme="1"/>
        <rFont val="Calibri"/>
        <family val="2"/>
        <scheme val="minor"/>
      </rPr>
      <t>b</t>
    </r>
    <r>
      <rPr>
        <vertAlign val="subscript"/>
        <sz val="12"/>
        <color theme="1"/>
        <rFont val="Calibri (Body)"/>
      </rPr>
      <t>β1</t>
    </r>
  </si>
  <si>
    <r>
      <rPr>
        <i/>
        <sz val="12"/>
        <color theme="1"/>
        <rFont val="Calibri"/>
        <family val="2"/>
        <scheme val="minor"/>
      </rPr>
      <t>c</t>
    </r>
    <r>
      <rPr>
        <vertAlign val="subscript"/>
        <sz val="12"/>
        <color theme="1"/>
        <rFont val="Calibri (Body)"/>
      </rPr>
      <t>β1</t>
    </r>
  </si>
  <si>
    <t xml:space="preserve">𝛼₂ </t>
  </si>
  <si>
    <t>𝛽₂</t>
  </si>
  <si>
    <t>𝛾₂</t>
  </si>
  <si>
    <t>d</t>
  </si>
  <si>
    <t>16th Percentile</t>
  </si>
  <si>
    <t>50th Percentile</t>
  </si>
  <si>
    <t>84th Percentile</t>
  </si>
  <si>
    <t>Collect the coefficients</t>
  </si>
  <si>
    <t>16th</t>
  </si>
  <si>
    <t>50th</t>
  </si>
  <si>
    <t>84th</t>
  </si>
  <si>
    <t>Adjust the R-μ curves</t>
  </si>
  <si>
    <t>Convert to MDOF</t>
  </si>
  <si>
    <r>
      <t xml:space="preserve">Base Shear  </t>
    </r>
    <r>
      <rPr>
        <i/>
        <sz val="12"/>
        <color theme="1"/>
        <rFont val="Calibri"/>
        <family val="2"/>
        <scheme val="minor"/>
      </rPr>
      <t>V</t>
    </r>
    <r>
      <rPr>
        <vertAlign val="subscript"/>
        <sz val="12"/>
        <color theme="1"/>
        <rFont val="Calibri (Body)"/>
      </rPr>
      <t>b</t>
    </r>
    <r>
      <rPr>
        <sz val="12"/>
        <color theme="1"/>
        <rFont val="Calibri"/>
        <family val="2"/>
        <scheme val="minor"/>
      </rPr>
      <t xml:space="preserve"> [kN]</t>
    </r>
  </si>
  <si>
    <t>Δ [m]</t>
  </si>
  <si>
    <r>
      <t xml:space="preserve">SDOF Yield displacement, </t>
    </r>
    <r>
      <rPr>
        <i/>
        <sz val="12"/>
        <rFont val="Calibri"/>
        <family val="2"/>
        <scheme val="minor"/>
      </rPr>
      <t>Δ</t>
    </r>
    <r>
      <rPr>
        <vertAlign val="subscript"/>
        <sz val="12"/>
        <rFont val="Calibri (Body)"/>
      </rPr>
      <t>y</t>
    </r>
    <r>
      <rPr>
        <sz val="12"/>
        <rFont val="Calibri (Body)"/>
      </rPr>
      <t xml:space="preserve">* =  </t>
    </r>
  </si>
  <si>
    <r>
      <rPr>
        <b/>
        <i/>
        <sz val="12"/>
        <color theme="1"/>
        <rFont val="Calibri"/>
        <family val="2"/>
        <scheme val="minor"/>
      </rPr>
      <t>Sa</t>
    </r>
    <r>
      <rPr>
        <b/>
        <sz val="12"/>
        <color theme="1"/>
        <rFont val="Calibri"/>
        <family val="2"/>
        <scheme val="minor"/>
      </rPr>
      <t>(</t>
    </r>
    <r>
      <rPr>
        <b/>
        <i/>
        <sz val="12"/>
        <color theme="1"/>
        <rFont val="Calibri"/>
        <family val="2"/>
        <scheme val="minor"/>
      </rPr>
      <t>T</t>
    </r>
    <r>
      <rPr>
        <b/>
        <vertAlign val="subscript"/>
        <sz val="12"/>
        <color theme="1"/>
        <rFont val="Calibri (Body)"/>
      </rPr>
      <t>1</t>
    </r>
    <r>
      <rPr>
        <b/>
        <sz val="12"/>
        <color theme="1"/>
        <rFont val="Calibri"/>
        <family val="2"/>
        <scheme val="minor"/>
      </rPr>
      <t>) [g]</t>
    </r>
  </si>
  <si>
    <t>Results</t>
  </si>
  <si>
    <t>Choose % to find secant but careful it is still finding a value in intial branch</t>
  </si>
  <si>
    <r>
      <t xml:space="preserve">Median collapse intensity, </t>
    </r>
    <r>
      <rPr>
        <i/>
        <sz val="12"/>
        <rFont val="Calibri"/>
        <family val="2"/>
        <scheme val="minor"/>
      </rPr>
      <t>Sa</t>
    </r>
    <r>
      <rPr>
        <sz val="12"/>
        <rFont val="Calibri"/>
        <family val="2"/>
        <scheme val="minor"/>
      </rPr>
      <t>(</t>
    </r>
    <r>
      <rPr>
        <i/>
        <sz val="12"/>
        <rFont val="Calibri"/>
        <family val="2"/>
        <scheme val="minor"/>
      </rPr>
      <t>T</t>
    </r>
    <r>
      <rPr>
        <vertAlign val="subscript"/>
        <sz val="12"/>
        <rFont val="Calibri (Body)"/>
      </rPr>
      <t>1</t>
    </r>
    <r>
      <rPr>
        <sz val="12"/>
        <rFont val="Calibri"/>
        <family val="2"/>
        <scheme val="minor"/>
      </rPr>
      <t>) =</t>
    </r>
  </si>
  <si>
    <r>
      <t>Dispersion, β</t>
    </r>
    <r>
      <rPr>
        <vertAlign val="subscript"/>
        <sz val="12"/>
        <rFont val="Calibri (Body)"/>
      </rPr>
      <t>RTR</t>
    </r>
    <r>
      <rPr>
        <sz val="12"/>
        <rFont val="Calibri"/>
        <family val="2"/>
        <scheme val="minor"/>
      </rPr>
      <t xml:space="preserve"> = </t>
    </r>
  </si>
  <si>
    <t>Make monotonically increasing</t>
  </si>
  <si>
    <t>a16,h</t>
  </si>
  <si>
    <t>b16,h</t>
  </si>
  <si>
    <t>a50,h</t>
  </si>
  <si>
    <t>b50,h</t>
  </si>
  <si>
    <t>a84,h</t>
  </si>
  <si>
    <t>b84,h</t>
  </si>
  <si>
    <t>a16,s</t>
  </si>
  <si>
    <t>b16,s</t>
  </si>
  <si>
    <t>a50,s</t>
  </si>
  <si>
    <t>b50,s</t>
  </si>
  <si>
    <t>a84,s</t>
  </si>
  <si>
    <t>b84,s</t>
  </si>
  <si>
    <t>a16,rp</t>
  </si>
  <si>
    <t>b16,rp</t>
  </si>
  <si>
    <t>a50,rp</t>
  </si>
  <si>
    <t>b50,rp</t>
  </si>
  <si>
    <t>a84,rp</t>
  </si>
  <si>
    <t>b84,rp</t>
  </si>
  <si>
    <t>a16,sd</t>
  </si>
  <si>
    <t>b16,sd</t>
  </si>
  <si>
    <t>a50,sd</t>
  </si>
  <si>
    <t>b50,sd</t>
  </si>
  <si>
    <t>a84,sd</t>
  </si>
  <si>
    <t>b84,sd</t>
  </si>
  <si>
    <t>Median collapse intensity, AvgSa=</t>
  </si>
  <si>
    <t>Modal analysis should be updated manually along with the formulas in cells O8, O9 and O10</t>
  </si>
  <si>
    <t>𝞀</t>
  </si>
  <si>
    <t>IDA - AvgSa</t>
  </si>
  <si>
    <t>IDA - SaT</t>
  </si>
  <si>
    <t>Cloud - AvgSa</t>
  </si>
  <si>
    <t>𝞓 MDOF</t>
  </si>
  <si>
    <t>Dispersion =</t>
  </si>
  <si>
    <t>Make sure to have small steps for the pushover curve, else errors might pop up</t>
  </si>
  <si>
    <t>AvgSa [g]</t>
  </si>
  <si>
    <t>Correction  =</t>
  </si>
  <si>
    <t>𝞀 with SaRatio - 16%</t>
  </si>
  <si>
    <t>𝞀 with SaRatio - 84%</t>
  </si>
  <si>
    <t xml:space="preserve">a2 = </t>
  </si>
  <si>
    <t xml:space="preserve">b2 = </t>
  </si>
  <si>
    <t>𝞀 with SaRatio - 50%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</si>
</sst>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3" x14ac:knownFonts="1">
    <font>
      <sz val="12"/>
      <color theme="1"/>
      <name val="Calibri"/>
      <family val="2"/>
      <scheme val="minor"/>
    </font>
    <font>
      <b/>
      <sz val="12"/>
      <name val="Arial"/>
      <family val="2"/>
    </font>
    <font>
      <b/>
      <sz val="10"/>
      <name val="Arial"/>
      <family val="2"/>
    </font>
    <font>
      <sz val="12"/>
      <name val="Calibri"/>
      <family val="2"/>
      <scheme val="minor"/>
    </font>
    <font>
      <i/>
      <sz val="12"/>
      <color theme="1"/>
      <name val="Calibri"/>
      <family val="2"/>
      <scheme val="minor"/>
    </font>
    <font>
      <sz val="10"/>
      <color theme="1"/>
      <name val="Courier"/>
      <family val="1"/>
    </font>
    <font>
      <u/>
      <sz val="12"/>
      <color theme="10"/>
      <name val="Calibri"/>
      <family val="2"/>
      <scheme val="minor"/>
    </font>
    <font>
      <u/>
      <sz val="12"/>
      <color theme="11"/>
      <name val="Calibri"/>
      <family val="2"/>
      <scheme val="minor"/>
    </font>
    <font>
      <b/>
      <sz val="12"/>
      <color theme="1"/>
      <name val="Calibri"/>
      <family val="2"/>
      <scheme val="minor"/>
    </font>
    <font>
      <sz val="12"/>
      <color rgb="FFFF0000"/>
      <name val="Calibri"/>
      <family val="2"/>
      <scheme val="minor"/>
    </font>
    <font>
      <vertAlign val="subscript"/>
      <sz val="12"/>
      <color theme="1"/>
      <name val="Calibri (Body)"/>
    </font>
    <font>
      <vertAlign val="subscript"/>
      <sz val="12"/>
      <name val="Calibri (Body)"/>
    </font>
    <font>
      <i/>
      <sz val="12"/>
      <name val="Calibri"/>
      <family val="2"/>
      <scheme val="minor"/>
    </font>
    <font>
      <i/>
      <sz val="12"/>
      <color theme="1"/>
      <name val="Calibri (Body)"/>
    </font>
    <font>
      <b/>
      <sz val="16"/>
      <color theme="1"/>
      <name val="Calibri"/>
      <family val="2"/>
      <scheme val="minor"/>
    </font>
    <font>
      <sz val="12"/>
      <name val="Calibri (Body)"/>
    </font>
    <font>
      <b/>
      <u/>
      <sz val="12"/>
      <color theme="1"/>
      <name val="Calibri"/>
      <family val="2"/>
      <scheme val="minor"/>
    </font>
    <font>
      <b/>
      <vertAlign val="subscript"/>
      <sz val="12"/>
      <color theme="1"/>
      <name val="Calibri (Body)"/>
    </font>
    <font>
      <b/>
      <i/>
      <sz val="12"/>
      <color theme="1"/>
      <name val="Calibri"/>
      <family val="2"/>
      <scheme val="minor"/>
    </font>
    <font>
      <sz val="12"/>
      <color rgb="FF000000"/>
      <name val="Calibri"/>
      <family val="2"/>
      <scheme val="minor"/>
    </font>
    <font>
      <b/>
      <sz val="12"/>
      <color rgb="FF000000"/>
      <name val="Calibri"/>
      <family val="2"/>
      <scheme val="minor"/>
    </font>
    <font>
      <sz val="10"/>
      <color rgb="FF000000"/>
      <name val="Tahoma"/>
      <family val="2"/>
    </font>
    <font>
      <b/>
      <sz val="10"/>
      <color rgb="FF000000"/>
      <name val="Tahoma"/>
      <family val="2"/>
    </font>
  </fonts>
  <fills count="3">
    <fill>
      <patternFill patternType="none"/>
    </fill>
    <fill>
      <patternFill patternType="gray125"/>
    </fill>
    <fill>
      <patternFill patternType="solid">
        <fgColor rgb="FFFFFF00"/>
        <bgColor indexed="64"/>
      </patternFill>
    </fill>
  </fills>
  <borders count="31">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bottom style="thin">
        <color indexed="64"/>
      </bottom>
      <diagonal/>
    </border>
    <border>
      <left/>
      <right style="thin">
        <color rgb="FF000000"/>
      </right>
      <top style="thin">
        <color auto="1"/>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4">
    <xf numFmtId="0" fontId="0" fillId="0" borderId="0" xfId="0"/>
    <xf numFmtId="0" fontId="0" fillId="0" borderId="0" xfId="0" applyAlignment="1">
      <alignment horizontal="center"/>
    </xf>
    <xf numFmtId="0" fontId="0" fillId="0" borderId="0" xfId="0" applyAlignment="1">
      <alignment horizontal="right"/>
    </xf>
    <xf numFmtId="165" fontId="0" fillId="0" borderId="0" xfId="0" applyNumberFormat="1" applyAlignment="1">
      <alignment horizontal="center"/>
    </xf>
    <xf numFmtId="0" fontId="0" fillId="0" borderId="0" xfId="0" applyBorder="1"/>
    <xf numFmtId="0" fontId="1" fillId="0" borderId="0" xfId="0" applyFont="1" applyBorder="1" applyAlignment="1">
      <alignment horizontal="center"/>
    </xf>
    <xf numFmtId="0" fontId="2" fillId="0" borderId="0" xfId="0" applyFont="1" applyBorder="1" applyAlignment="1">
      <alignment horizontal="center"/>
    </xf>
    <xf numFmtId="0" fontId="0" fillId="0" borderId="0" xfId="0" applyBorder="1" applyAlignment="1">
      <alignment horizontal="center"/>
    </xf>
    <xf numFmtId="1" fontId="0" fillId="0" borderId="0" xfId="0" applyNumberFormat="1" applyBorder="1" applyAlignment="1">
      <alignment horizontal="center"/>
    </xf>
    <xf numFmtId="11" fontId="0" fillId="0" borderId="0" xfId="0" applyNumberFormat="1" applyBorder="1" applyAlignment="1">
      <alignment horizontal="center"/>
    </xf>
    <xf numFmtId="2" fontId="0" fillId="0" borderId="0" xfId="0" applyNumberFormat="1" applyBorder="1" applyAlignment="1">
      <alignment horizontal="center"/>
    </xf>
    <xf numFmtId="11" fontId="0" fillId="0" borderId="0" xfId="0" applyNumberFormat="1" applyBorder="1"/>
    <xf numFmtId="0" fontId="0" fillId="0" borderId="0" xfId="0" applyFont="1" applyBorder="1" applyAlignment="1">
      <alignment horizontal="center"/>
    </xf>
    <xf numFmtId="1" fontId="0" fillId="0" borderId="0" xfId="0" applyNumberFormat="1" applyFont="1" applyBorder="1" applyAlignment="1">
      <alignment horizontal="center"/>
    </xf>
    <xf numFmtId="11" fontId="0" fillId="0" borderId="0" xfId="0" applyNumberFormat="1" applyFont="1" applyBorder="1" applyAlignment="1">
      <alignment horizontal="center"/>
    </xf>
    <xf numFmtId="2" fontId="0" fillId="0" borderId="0" xfId="0" applyNumberFormat="1" applyFont="1" applyBorder="1" applyAlignment="1">
      <alignment horizontal="center"/>
    </xf>
    <xf numFmtId="164" fontId="0" fillId="0" borderId="0" xfId="0" applyNumberFormat="1" applyFont="1" applyBorder="1" applyAlignment="1">
      <alignment horizontal="center"/>
    </xf>
    <xf numFmtId="3" fontId="0"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5" fillId="0" borderId="0" xfId="0" applyFont="1"/>
    <xf numFmtId="0" fontId="3" fillId="2" borderId="0" xfId="0" applyFont="1" applyFill="1" applyBorder="1" applyAlignment="1">
      <alignment horizontal="center"/>
    </xf>
    <xf numFmtId="0" fontId="0" fillId="2" borderId="0" xfId="0" applyFont="1" applyFill="1" applyBorder="1" applyAlignment="1">
      <alignment horizontal="center"/>
    </xf>
    <xf numFmtId="2" fontId="0" fillId="0" borderId="0" xfId="0" applyNumberFormat="1"/>
    <xf numFmtId="0" fontId="0" fillId="0" borderId="0" xfId="0" applyFont="1" applyBorder="1"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0" fontId="0" fillId="0" borderId="9" xfId="0" applyBorder="1"/>
    <xf numFmtId="0" fontId="9" fillId="0" borderId="0" xfId="0" applyFont="1" applyBorder="1" applyAlignment="1"/>
    <xf numFmtId="0" fontId="9" fillId="0" borderId="0" xfId="0" applyFont="1" applyFill="1" applyBorder="1"/>
    <xf numFmtId="0" fontId="8" fillId="0" borderId="10" xfId="0" applyFont="1" applyBorder="1" applyAlignment="1">
      <alignment horizontal="center"/>
    </xf>
    <xf numFmtId="0" fontId="14" fillId="0" borderId="0" xfId="0" applyFont="1"/>
    <xf numFmtId="0" fontId="4" fillId="0" borderId="9" xfId="0" applyFont="1" applyBorder="1" applyAlignment="1">
      <alignment horizontal="center"/>
    </xf>
    <xf numFmtId="0" fontId="0" fillId="0" borderId="12" xfId="0" applyBorder="1"/>
    <xf numFmtId="0" fontId="4" fillId="0" borderId="13" xfId="0" applyFont="1" applyBorder="1" applyAlignment="1">
      <alignment horizontal="right"/>
    </xf>
    <xf numFmtId="0" fontId="4" fillId="0" borderId="14" xfId="0" applyFont="1" applyBorder="1" applyAlignment="1">
      <alignment horizontal="right"/>
    </xf>
    <xf numFmtId="2" fontId="0" fillId="0" borderId="12" xfId="0" applyNumberFormat="1" applyBorder="1" applyAlignment="1">
      <alignment horizontal="center"/>
    </xf>
    <xf numFmtId="2" fontId="0" fillId="0" borderId="13" xfId="0" applyNumberFormat="1" applyFill="1" applyBorder="1" applyAlignment="1">
      <alignment horizontal="center"/>
    </xf>
    <xf numFmtId="2" fontId="0" fillId="0" borderId="13" xfId="0" applyNumberFormat="1" applyBorder="1" applyAlignment="1">
      <alignment horizontal="center"/>
    </xf>
    <xf numFmtId="2" fontId="0" fillId="2" borderId="13" xfId="0" applyNumberFormat="1" applyFill="1" applyBorder="1" applyAlignment="1">
      <alignment horizontal="center"/>
    </xf>
    <xf numFmtId="2" fontId="0" fillId="0" borderId="14" xfId="0" applyNumberFormat="1" applyFill="1" applyBorder="1" applyAlignment="1">
      <alignment horizontal="center"/>
    </xf>
    <xf numFmtId="166" fontId="0" fillId="0" borderId="12" xfId="0" applyNumberFormat="1" applyBorder="1" applyAlignment="1">
      <alignment horizontal="center"/>
    </xf>
    <xf numFmtId="166" fontId="0" fillId="2" borderId="13" xfId="0" applyNumberFormat="1" applyFill="1" applyBorder="1" applyAlignment="1">
      <alignment horizontal="center"/>
    </xf>
    <xf numFmtId="2" fontId="0" fillId="0" borderId="14" xfId="0" applyNumberForma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3" xfId="0" applyBorder="1"/>
    <xf numFmtId="0" fontId="0" fillId="0" borderId="14" xfId="0" applyBorder="1"/>
    <xf numFmtId="0" fontId="4" fillId="0" borderId="14" xfId="0" applyFont="1" applyBorder="1" applyAlignment="1">
      <alignment horizontal="center"/>
    </xf>
    <xf numFmtId="0" fontId="0" fillId="0" borderId="9" xfId="0" applyFont="1" applyBorder="1" applyAlignment="1">
      <alignment horizontal="center"/>
    </xf>
    <xf numFmtId="0" fontId="3" fillId="0" borderId="9" xfId="0" applyFont="1" applyBorder="1" applyAlignment="1">
      <alignment horizontal="center"/>
    </xf>
    <xf numFmtId="0" fontId="0" fillId="0" borderId="0" xfId="0" applyFont="1" applyFill="1" applyBorder="1" applyAlignment="1">
      <alignment horizontal="center"/>
    </xf>
    <xf numFmtId="0" fontId="0" fillId="0" borderId="12" xfId="0" applyFont="1" applyBorder="1" applyAlignment="1">
      <alignment horizontal="center"/>
    </xf>
    <xf numFmtId="0" fontId="0" fillId="0" borderId="12" xfId="0" applyFont="1" applyBorder="1"/>
    <xf numFmtId="0" fontId="3" fillId="0" borderId="0" xfId="0" applyFont="1" applyBorder="1" applyAlignment="1">
      <alignment horizontal="right"/>
    </xf>
    <xf numFmtId="0" fontId="16" fillId="0" borderId="0" xfId="0" applyFont="1"/>
    <xf numFmtId="0" fontId="3" fillId="0" borderId="0" xfId="0" applyFont="1" applyFill="1" applyBorder="1" applyAlignment="1">
      <alignment horizontal="center"/>
    </xf>
    <xf numFmtId="2" fontId="3" fillId="0" borderId="0" xfId="0" applyNumberFormat="1" applyFont="1" applyFill="1" applyBorder="1" applyAlignment="1">
      <alignment horizontal="center"/>
    </xf>
    <xf numFmtId="0" fontId="0" fillId="0" borderId="15" xfId="0" applyBorder="1"/>
    <xf numFmtId="0" fontId="0" fillId="0" borderId="16" xfId="0" applyBorder="1" applyAlignment="1">
      <alignment horizontal="right"/>
    </xf>
    <xf numFmtId="9" fontId="0" fillId="2" borderId="16" xfId="0" applyNumberFormat="1" applyFill="1" applyBorder="1"/>
    <xf numFmtId="0" fontId="0" fillId="0" borderId="17" xfId="0" applyBorder="1"/>
    <xf numFmtId="0" fontId="0" fillId="0" borderId="18" xfId="0" applyBorder="1" applyAlignment="1">
      <alignment horizontal="right"/>
    </xf>
    <xf numFmtId="0" fontId="0" fillId="0" borderId="0" xfId="0" applyBorder="1" applyAlignment="1">
      <alignment horizontal="right"/>
    </xf>
    <xf numFmtId="1" fontId="0" fillId="0" borderId="0" xfId="0" applyNumberFormat="1" applyBorder="1"/>
    <xf numFmtId="0" fontId="0" fillId="0" borderId="19" xfId="0" applyBorder="1"/>
    <xf numFmtId="0" fontId="0" fillId="0" borderId="18" xfId="0" applyBorder="1"/>
    <xf numFmtId="0" fontId="0" fillId="0" borderId="20" xfId="0" applyBorder="1"/>
    <xf numFmtId="0" fontId="0" fillId="0" borderId="21" xfId="0" applyBorder="1" applyAlignment="1">
      <alignment horizontal="right"/>
    </xf>
    <xf numFmtId="10" fontId="0" fillId="0" borderId="21" xfId="0" applyNumberFormat="1" applyBorder="1"/>
    <xf numFmtId="0" fontId="0" fillId="0" borderId="22" xfId="0" applyBorder="1"/>
    <xf numFmtId="0" fontId="3" fillId="0" borderId="0" xfId="0" applyFont="1" applyFill="1" applyBorder="1" applyAlignment="1">
      <alignment horizontal="right"/>
    </xf>
    <xf numFmtId="0" fontId="3" fillId="0" borderId="16" xfId="0" applyFont="1" applyBorder="1" applyAlignment="1">
      <alignment horizontal="right"/>
    </xf>
    <xf numFmtId="166" fontId="0" fillId="0" borderId="16" xfId="0" applyNumberFormat="1" applyFont="1" applyBorder="1" applyAlignment="1">
      <alignment horizontal="center"/>
    </xf>
    <xf numFmtId="0" fontId="0" fillId="0" borderId="17" xfId="0" applyFont="1" applyBorder="1" applyAlignment="1">
      <alignment horizontal="left"/>
    </xf>
    <xf numFmtId="164" fontId="0" fillId="0" borderId="0" xfId="0" applyNumberFormat="1" applyBorder="1" applyAlignment="1">
      <alignment horizontal="center"/>
    </xf>
    <xf numFmtId="0" fontId="0" fillId="0" borderId="19" xfId="0" applyFill="1" applyBorder="1"/>
    <xf numFmtId="0" fontId="0" fillId="0" borderId="19" xfId="0" applyBorder="1" applyAlignment="1">
      <alignment horizontal="left"/>
    </xf>
    <xf numFmtId="0" fontId="0" fillId="0" borderId="19" xfId="0" applyFont="1" applyBorder="1" applyAlignment="1">
      <alignment horizontal="left"/>
    </xf>
    <xf numFmtId="166" fontId="0" fillId="0" borderId="0" xfId="0" applyNumberFormat="1" applyBorder="1" applyAlignment="1">
      <alignment horizontal="center"/>
    </xf>
    <xf numFmtId="0" fontId="0" fillId="0" borderId="19" xfId="0" applyFont="1" applyFill="1" applyBorder="1" applyAlignment="1">
      <alignment horizontal="left"/>
    </xf>
    <xf numFmtId="2" fontId="0" fillId="0" borderId="21" xfId="0" applyNumberFormat="1" applyFont="1" applyBorder="1" applyAlignment="1">
      <alignment horizontal="center"/>
    </xf>
    <xf numFmtId="0" fontId="0" fillId="0" borderId="22" xfId="0" applyFont="1" applyBorder="1" applyAlignment="1">
      <alignment horizontal="left"/>
    </xf>
    <xf numFmtId="0" fontId="0" fillId="0" borderId="10" xfId="0" applyBorder="1"/>
    <xf numFmtId="0" fontId="0" fillId="0" borderId="11" xfId="0" applyBorder="1"/>
    <xf numFmtId="0" fontId="3" fillId="0" borderId="21" xfId="0" applyFont="1" applyBorder="1" applyAlignment="1">
      <alignment horizontal="right"/>
    </xf>
    <xf numFmtId="166" fontId="3" fillId="2" borderId="13" xfId="0" applyNumberFormat="1" applyFont="1" applyFill="1" applyBorder="1" applyAlignment="1">
      <alignment horizontal="center"/>
    </xf>
    <xf numFmtId="0" fontId="0" fillId="0" borderId="10" xfId="0" applyBorder="1" applyAlignment="1">
      <alignment horizontal="center"/>
    </xf>
    <xf numFmtId="0" fontId="0" fillId="0" borderId="23"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1" fontId="0" fillId="0" borderId="5" xfId="0" applyNumberFormat="1" applyBorder="1" applyAlignment="1">
      <alignment horizontal="center"/>
    </xf>
    <xf numFmtId="0" fontId="4" fillId="0" borderId="10" xfId="0" applyFont="1" applyBorder="1" applyAlignment="1">
      <alignment horizontal="center"/>
    </xf>
    <xf numFmtId="0" fontId="4" fillId="0" borderId="23" xfId="0" applyFont="1" applyBorder="1" applyAlignment="1">
      <alignment horizontal="center"/>
    </xf>
    <xf numFmtId="0" fontId="4" fillId="0" borderId="11" xfId="0" applyFont="1" applyBorder="1" applyAlignment="1">
      <alignment horizontal="center"/>
    </xf>
    <xf numFmtId="0" fontId="4" fillId="0" borderId="0" xfId="0" applyFont="1" applyAlignment="1">
      <alignment horizontal="center"/>
    </xf>
    <xf numFmtId="0" fontId="0" fillId="0" borderId="4" xfId="0" applyBorder="1"/>
    <xf numFmtId="0" fontId="0" fillId="0" borderId="5" xfId="0" applyBorder="1"/>
    <xf numFmtId="0" fontId="4" fillId="0" borderId="4" xfId="0" applyFont="1" applyBorder="1" applyAlignment="1">
      <alignment horizontal="center"/>
    </xf>
    <xf numFmtId="0" fontId="5" fillId="0" borderId="5" xfId="0" applyFont="1" applyBorder="1"/>
    <xf numFmtId="0" fontId="0" fillId="0" borderId="4" xfId="0" applyBorder="1" applyAlignment="1">
      <alignment horizontal="right"/>
    </xf>
    <xf numFmtId="165" fontId="0" fillId="0" borderId="0" xfId="0" applyNumberFormat="1" applyBorder="1" applyAlignment="1">
      <alignment horizontal="center"/>
    </xf>
    <xf numFmtId="0" fontId="4" fillId="0" borderId="24" xfId="0"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6" xfId="0" applyBorder="1" applyAlignment="1">
      <alignment horizontal="right"/>
    </xf>
    <xf numFmtId="0" fontId="0" fillId="0" borderId="7" xfId="0" applyBorder="1"/>
    <xf numFmtId="0" fontId="0" fillId="0" borderId="8" xfId="0" applyBorder="1"/>
    <xf numFmtId="2" fontId="0" fillId="0" borderId="23" xfId="0" applyNumberFormat="1" applyBorder="1" applyAlignment="1">
      <alignment horizontal="center"/>
    </xf>
    <xf numFmtId="2" fontId="0" fillId="0" borderId="11" xfId="0" applyNumberFormat="1" applyBorder="1" applyAlignment="1">
      <alignment horizontal="center"/>
    </xf>
    <xf numFmtId="2" fontId="0" fillId="0" borderId="16" xfId="0" applyNumberFormat="1" applyBorder="1" applyAlignment="1">
      <alignment horizontal="center"/>
    </xf>
    <xf numFmtId="2" fontId="0" fillId="0" borderId="17" xfId="0" applyNumberFormat="1"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2" fontId="0" fillId="0" borderId="22" xfId="0" applyNumberFormat="1" applyBorder="1" applyAlignment="1">
      <alignment horizontal="center"/>
    </xf>
    <xf numFmtId="9" fontId="0" fillId="0" borderId="10" xfId="0" applyNumberFormat="1" applyBorder="1" applyAlignment="1">
      <alignment horizontal="center"/>
    </xf>
    <xf numFmtId="9" fontId="0" fillId="0" borderId="23" xfId="0" applyNumberFormat="1" applyBorder="1" applyAlignment="1">
      <alignment horizontal="center"/>
    </xf>
    <xf numFmtId="9" fontId="0" fillId="0" borderId="11" xfId="0" applyNumberFormat="1" applyBorder="1" applyAlignment="1">
      <alignment horizontal="center"/>
    </xf>
    <xf numFmtId="2" fontId="0" fillId="0" borderId="15"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2" fontId="0" fillId="0" borderId="10" xfId="0" applyNumberFormat="1" applyBorder="1" applyAlignment="1">
      <alignment horizontal="center"/>
    </xf>
    <xf numFmtId="0" fontId="8" fillId="0" borderId="15" xfId="0" applyFont="1" applyBorder="1" applyAlignment="1">
      <alignment horizontal="center"/>
    </xf>
    <xf numFmtId="166" fontId="0" fillId="0" borderId="14" xfId="0" applyNumberFormat="1" applyFill="1" applyBorder="1" applyAlignment="1">
      <alignment horizontal="center"/>
    </xf>
    <xf numFmtId="9" fontId="0" fillId="0" borderId="16" xfId="0" applyNumberFormat="1" applyBorder="1" applyAlignment="1">
      <alignment horizontal="center"/>
    </xf>
    <xf numFmtId="9" fontId="0" fillId="0" borderId="17" xfId="0" applyNumberFormat="1" applyBorder="1" applyAlignment="1">
      <alignment horizontal="center"/>
    </xf>
    <xf numFmtId="0" fontId="0" fillId="0" borderId="0" xfId="0" applyNumberFormat="1" applyBorder="1" applyAlignment="1">
      <alignment horizontal="center"/>
    </xf>
    <xf numFmtId="0" fontId="0" fillId="0" borderId="19" xfId="0" applyNumberFormat="1" applyBorder="1" applyAlignment="1">
      <alignment horizontal="center"/>
    </xf>
    <xf numFmtId="0" fontId="0" fillId="0" borderId="21" xfId="0" applyBorder="1"/>
    <xf numFmtId="0" fontId="0" fillId="0" borderId="23" xfId="0" applyBorder="1"/>
    <xf numFmtId="0" fontId="0" fillId="0" borderId="16" xfId="0" applyBorder="1"/>
    <xf numFmtId="0" fontId="0" fillId="0" borderId="21" xfId="0" applyBorder="1" applyAlignment="1">
      <alignment horizontal="center"/>
    </xf>
    <xf numFmtId="166" fontId="0" fillId="0" borderId="15" xfId="0" applyNumberFormat="1" applyBorder="1" applyAlignment="1">
      <alignment horizontal="center"/>
    </xf>
    <xf numFmtId="166" fontId="0" fillId="0" borderId="20" xfId="0" applyNumberFormat="1" applyBorder="1" applyAlignment="1">
      <alignment horizontal="center"/>
    </xf>
    <xf numFmtId="166" fontId="0" fillId="0" borderId="18" xfId="0" applyNumberFormat="1" applyBorder="1" applyAlignment="1">
      <alignment horizontal="center"/>
    </xf>
    <xf numFmtId="166" fontId="0" fillId="0" borderId="10" xfId="0" applyNumberFormat="1" applyBorder="1" applyAlignment="1">
      <alignment horizontal="center"/>
    </xf>
    <xf numFmtId="0" fontId="3" fillId="0" borderId="16" xfId="0" applyFont="1" applyFill="1" applyBorder="1" applyAlignment="1">
      <alignment horizontal="right"/>
    </xf>
    <xf numFmtId="0" fontId="0" fillId="0" borderId="17" xfId="0" applyFont="1" applyFill="1" applyBorder="1" applyAlignment="1">
      <alignment horizontal="left"/>
    </xf>
    <xf numFmtId="0" fontId="3" fillId="0" borderId="21" xfId="0" applyFont="1" applyFill="1" applyBorder="1" applyAlignment="1">
      <alignment horizontal="right"/>
    </xf>
    <xf numFmtId="0" fontId="0" fillId="0" borderId="21" xfId="0" applyBorder="1" applyAlignment="1">
      <alignment horizontal="center"/>
    </xf>
    <xf numFmtId="9" fontId="0" fillId="0" borderId="0" xfId="0" applyNumberFormat="1" applyBorder="1" applyAlignment="1">
      <alignment horizontal="center"/>
    </xf>
    <xf numFmtId="0" fontId="8" fillId="0" borderId="0" xfId="0" applyFont="1" applyBorder="1" applyAlignment="1">
      <alignment horizontal="center"/>
    </xf>
    <xf numFmtId="0" fontId="0" fillId="0" borderId="27" xfId="0" applyBorder="1" applyAlignment="1">
      <alignment horizontal="center"/>
    </xf>
    <xf numFmtId="11" fontId="0" fillId="0" borderId="26" xfId="0" applyNumberFormat="1" applyBorder="1" applyAlignment="1">
      <alignment horizontal="center"/>
    </xf>
    <xf numFmtId="11" fontId="0" fillId="0" borderId="21" xfId="0" applyNumberFormat="1" applyBorder="1" applyAlignment="1">
      <alignment horizontal="center"/>
    </xf>
    <xf numFmtId="0" fontId="0" fillId="0" borderId="9" xfId="0" applyBorder="1" applyAlignment="1">
      <alignment horizontal="center"/>
    </xf>
    <xf numFmtId="0" fontId="0" fillId="0" borderId="27" xfId="0" applyBorder="1" applyAlignment="1">
      <alignment horizontal="right"/>
    </xf>
    <xf numFmtId="165" fontId="0" fillId="0" borderId="21" xfId="0" applyNumberFormat="1" applyBorder="1" applyAlignment="1">
      <alignment horizontal="center"/>
    </xf>
    <xf numFmtId="0" fontId="0" fillId="0" borderId="26" xfId="0" applyBorder="1"/>
    <xf numFmtId="0" fontId="19" fillId="0" borderId="0" xfId="0" applyFont="1"/>
    <xf numFmtId="9" fontId="19" fillId="0" borderId="10" xfId="0" applyNumberFormat="1" applyFont="1" applyBorder="1" applyAlignment="1">
      <alignment horizontal="center"/>
    </xf>
    <xf numFmtId="9" fontId="19" fillId="0" borderId="23" xfId="0" applyNumberFormat="1" applyFont="1" applyBorder="1" applyAlignment="1">
      <alignment horizontal="center"/>
    </xf>
    <xf numFmtId="9" fontId="19" fillId="0" borderId="11" xfId="0" applyNumberFormat="1" applyFont="1" applyBorder="1" applyAlignment="1">
      <alignment horizontal="center"/>
    </xf>
    <xf numFmtId="0" fontId="19" fillId="0" borderId="10" xfId="0" applyFont="1" applyBorder="1" applyAlignment="1">
      <alignment horizontal="center"/>
    </xf>
    <xf numFmtId="0" fontId="19" fillId="0" borderId="18" xfId="0" applyFont="1" applyBorder="1" applyAlignment="1">
      <alignment horizontal="center"/>
    </xf>
    <xf numFmtId="0" fontId="19" fillId="0" borderId="15" xfId="0" applyFont="1" applyBorder="1" applyAlignment="1">
      <alignment horizontal="center"/>
    </xf>
    <xf numFmtId="0" fontId="19" fillId="0" borderId="16" xfId="0" applyFont="1" applyBorder="1" applyAlignment="1">
      <alignment horizontal="center"/>
    </xf>
    <xf numFmtId="0" fontId="19" fillId="0" borderId="17" xfId="0" applyFont="1" applyBorder="1" applyAlignment="1">
      <alignment horizontal="center"/>
    </xf>
    <xf numFmtId="0" fontId="19" fillId="0" borderId="20" xfId="0" applyFont="1" applyBorder="1" applyAlignment="1">
      <alignment horizontal="center"/>
    </xf>
    <xf numFmtId="2" fontId="19" fillId="0" borderId="18" xfId="0" applyNumberFormat="1" applyFont="1" applyBorder="1" applyAlignment="1">
      <alignment horizontal="center"/>
    </xf>
    <xf numFmtId="2" fontId="19" fillId="0" borderId="19" xfId="0" applyNumberFormat="1" applyFont="1" applyBorder="1" applyAlignment="1">
      <alignment horizontal="center"/>
    </xf>
    <xf numFmtId="2" fontId="19" fillId="0" borderId="20" xfId="0" applyNumberFormat="1" applyFont="1" applyBorder="1" applyAlignment="1">
      <alignment horizontal="center"/>
    </xf>
    <xf numFmtId="2" fontId="19" fillId="0" borderId="21" xfId="0" applyNumberFormat="1" applyFont="1" applyBorder="1" applyAlignment="1">
      <alignment horizontal="center"/>
    </xf>
    <xf numFmtId="2" fontId="19" fillId="0" borderId="22" xfId="0" applyNumberFormat="1" applyFont="1" applyBorder="1" applyAlignment="1">
      <alignment horizontal="center"/>
    </xf>
    <xf numFmtId="0" fontId="20" fillId="0" borderId="20" xfId="0" applyFont="1" applyBorder="1" applyAlignment="1">
      <alignment horizontal="center"/>
    </xf>
    <xf numFmtId="2" fontId="19" fillId="0" borderId="15" xfId="0" applyNumberFormat="1" applyFont="1" applyBorder="1" applyAlignment="1">
      <alignment horizontal="center"/>
    </xf>
    <xf numFmtId="0" fontId="19" fillId="0" borderId="0" xfId="0" applyFont="1" applyBorder="1" applyAlignment="1">
      <alignment horizontal="center"/>
    </xf>
    <xf numFmtId="0" fontId="19" fillId="0" borderId="19" xfId="0" applyFont="1" applyBorder="1" applyAlignment="1">
      <alignment horizontal="center"/>
    </xf>
    <xf numFmtId="2" fontId="19" fillId="0" borderId="0" xfId="0" applyNumberFormat="1" applyFont="1" applyBorder="1" applyAlignment="1">
      <alignment horizontal="center"/>
    </xf>
    <xf numFmtId="2" fontId="19" fillId="0" borderId="16" xfId="0" applyNumberFormat="1" applyFont="1" applyBorder="1" applyAlignment="1">
      <alignment horizontal="center"/>
    </xf>
    <xf numFmtId="2" fontId="19" fillId="0" borderId="17" xfId="0" applyNumberFormat="1" applyFont="1" applyBorder="1" applyAlignment="1">
      <alignment horizontal="center"/>
    </xf>
    <xf numFmtId="2" fontId="19" fillId="0" borderId="9" xfId="0" applyNumberFormat="1" applyFont="1" applyBorder="1" applyAlignment="1">
      <alignment horizontal="center"/>
    </xf>
    <xf numFmtId="166" fontId="0" fillId="0" borderId="14" xfId="0" applyNumberFormat="1" applyBorder="1" applyAlignment="1">
      <alignment horizontal="center"/>
    </xf>
    <xf numFmtId="166" fontId="0" fillId="0" borderId="13" xfId="0" applyNumberFormat="1" applyBorder="1" applyAlignment="1">
      <alignment horizontal="center"/>
    </xf>
    <xf numFmtId="166" fontId="0" fillId="0" borderId="9" xfId="0" applyNumberFormat="1" applyBorder="1" applyAlignment="1">
      <alignment horizontal="center"/>
    </xf>
    <xf numFmtId="166" fontId="0" fillId="0" borderId="22" xfId="0" applyNumberFormat="1" applyBorder="1" applyAlignment="1">
      <alignment horizontal="center"/>
    </xf>
    <xf numFmtId="166" fontId="0" fillId="0" borderId="19" xfId="0" applyNumberFormat="1" applyBorder="1" applyAlignment="1">
      <alignment horizontal="center"/>
    </xf>
    <xf numFmtId="166" fontId="0" fillId="0" borderId="17" xfId="0" applyNumberFormat="1" applyBorder="1" applyAlignment="1">
      <alignment horizontal="center"/>
    </xf>
    <xf numFmtId="2" fontId="3" fillId="2" borderId="0" xfId="0" applyNumberFormat="1" applyFont="1" applyFill="1" applyBorder="1" applyAlignment="1">
      <alignment horizontal="center"/>
    </xf>
    <xf numFmtId="2" fontId="0" fillId="0" borderId="0" xfId="0" applyNumberFormat="1" applyAlignment="1">
      <alignment horizontal="center"/>
    </xf>
    <xf numFmtId="166" fontId="0" fillId="0" borderId="0" xfId="0" applyNumberFormat="1"/>
    <xf numFmtId="0" fontId="0" fillId="0" borderId="0" xfId="0" applyFill="1" applyBorder="1" applyAlignment="1">
      <alignment horizontal="center"/>
    </xf>
    <xf numFmtId="9" fontId="0" fillId="0" borderId="0" xfId="0" applyNumberFormat="1"/>
    <xf numFmtId="2" fontId="0" fillId="0" borderId="0" xfId="0" applyNumberFormat="1" applyFill="1" applyBorder="1"/>
    <xf numFmtId="2" fontId="0" fillId="0" borderId="0" xfId="0" applyNumberFormat="1" applyBorder="1"/>
    <xf numFmtId="166" fontId="0" fillId="0" borderId="0" xfId="0" applyNumberFormat="1" applyBorder="1"/>
    <xf numFmtId="0" fontId="8" fillId="0" borderId="21" xfId="0" applyFont="1" applyBorder="1" applyAlignment="1">
      <alignment horizontal="center"/>
    </xf>
    <xf numFmtId="0" fontId="0" fillId="2" borderId="18" xfId="0" applyFill="1" applyBorder="1" applyAlignment="1">
      <alignment horizontal="center"/>
    </xf>
    <xf numFmtId="0" fontId="0" fillId="2" borderId="0" xfId="0" applyFill="1" applyBorder="1" applyAlignment="1">
      <alignment horizontal="center"/>
    </xf>
    <xf numFmtId="0" fontId="14" fillId="0" borderId="0" xfId="0" applyFont="1" applyBorder="1" applyAlignment="1">
      <alignment horizontal="center"/>
    </xf>
    <xf numFmtId="0" fontId="0" fillId="0" borderId="9" xfId="0" applyFont="1" applyBorder="1" applyAlignment="1">
      <alignment horizontal="center"/>
    </xf>
    <xf numFmtId="0" fontId="0" fillId="0" borderId="0" xfId="0" applyFont="1" applyBorder="1" applyAlignment="1">
      <alignment horizontal="center"/>
    </xf>
    <xf numFmtId="0" fontId="0" fillId="0" borderId="21"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14" fillId="0" borderId="1" xfId="0" applyFont="1" applyBorder="1" applyAlignment="1">
      <alignment horizontal="center"/>
    </xf>
    <xf numFmtId="0" fontId="14" fillId="0" borderId="3" xfId="0" applyFont="1" applyBorder="1" applyAlignment="1">
      <alignment horizontal="center"/>
    </xf>
    <xf numFmtId="0" fontId="14" fillId="0" borderId="2" xfId="0" applyFont="1" applyBorder="1" applyAlignment="1">
      <alignment horizontal="center"/>
    </xf>
    <xf numFmtId="0" fontId="0" fillId="0" borderId="10" xfId="0" applyBorder="1" applyAlignment="1">
      <alignment horizontal="center"/>
    </xf>
    <xf numFmtId="0" fontId="0" fillId="0" borderId="23" xfId="0" applyBorder="1" applyAlignment="1">
      <alignment horizontal="center"/>
    </xf>
    <xf numFmtId="0" fontId="0" fillId="0" borderId="11" xfId="0"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0" borderId="17" xfId="0" applyFont="1" applyBorder="1" applyAlignment="1">
      <alignment horizontal="center"/>
    </xf>
    <xf numFmtId="0" fontId="8" fillId="0" borderId="15"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15" xfId="0" applyFont="1" applyBorder="1" applyAlignment="1">
      <alignment horizontal="center" vertical="center"/>
    </xf>
    <xf numFmtId="0" fontId="8" fillId="0" borderId="20" xfId="0" applyFont="1" applyBorder="1" applyAlignment="1">
      <alignment horizontal="center" vertical="center"/>
    </xf>
    <xf numFmtId="0" fontId="8" fillId="0" borderId="18" xfId="0" applyFont="1" applyBorder="1" applyAlignment="1">
      <alignment horizontal="center" vertical="center"/>
    </xf>
    <xf numFmtId="0" fontId="20" fillId="0" borderId="10" xfId="0" applyFont="1" applyBorder="1" applyAlignment="1">
      <alignment horizontal="center"/>
    </xf>
    <xf numFmtId="0" fontId="20" fillId="0" borderId="23" xfId="0" applyFont="1" applyBorder="1" applyAlignment="1">
      <alignment horizontal="center"/>
    </xf>
    <xf numFmtId="0" fontId="8" fillId="0" borderId="10" xfId="0" applyFont="1" applyBorder="1" applyAlignment="1">
      <alignment horizontal="center"/>
    </xf>
    <xf numFmtId="0" fontId="8" fillId="0" borderId="23" xfId="0" applyFont="1" applyBorder="1" applyAlignment="1">
      <alignment horizontal="center"/>
    </xf>
    <xf numFmtId="0" fontId="8" fillId="0" borderId="11" xfId="0" applyFont="1" applyBorder="1" applyAlignment="1">
      <alignment horizontal="center"/>
    </xf>
    <xf numFmtId="0" fontId="20" fillId="0" borderId="28" xfId="0" applyFont="1" applyBorder="1" applyAlignment="1">
      <alignment horizontal="center"/>
    </xf>
    <xf numFmtId="0" fontId="20" fillId="0" borderId="12" xfId="0" applyFont="1" applyBorder="1" applyAlignment="1">
      <alignment horizontal="center" vertical="center"/>
    </xf>
    <xf numFmtId="0" fontId="20" fillId="0" borderId="29" xfId="0" applyFont="1" applyBorder="1" applyAlignment="1">
      <alignment horizontal="center" vertical="center"/>
    </xf>
    <xf numFmtId="0" fontId="20" fillId="0" borderId="30" xfId="0" applyFont="1" applyBorder="1" applyAlignment="1">
      <alignment horizontal="center" vertical="center"/>
    </xf>
    <xf numFmtId="0" fontId="20" fillId="0" borderId="13" xfId="0" applyFont="1" applyBorder="1" applyAlignment="1">
      <alignment horizontal="center" vertical="center"/>
    </xf>
    <xf numFmtId="0" fontId="20" fillId="0" borderId="30"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29" xfId="0" applyFont="1" applyBorder="1" applyAlignment="1">
      <alignment horizontal="center"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colors>
    <mruColors>
      <color rgb="FFFF40FF"/>
      <color rgb="FF00FB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81113592972"/>
          <c:y val="4.4811146653543299E-2"/>
          <c:w val="0.78324357038571402"/>
          <c:h val="0.74808788549868799"/>
        </c:manualLayout>
      </c:layout>
      <c:scatterChart>
        <c:scatterStyle val="lineMarker"/>
        <c:varyColors val="0"/>
        <c:ser>
          <c:idx val="1"/>
          <c:order val="1"/>
          <c:tx>
            <c:v>Linearisation</c:v>
          </c:tx>
          <c:spPr>
            <a:ln w="25400" cap="rnd">
              <a:solidFill>
                <a:schemeClr val="tx1"/>
              </a:solidFill>
              <a:prstDash val="dash"/>
              <a:round/>
            </a:ln>
            <a:effectLst/>
          </c:spPr>
          <c:marker>
            <c:symbol val="circle"/>
            <c:size val="10"/>
            <c:spPr>
              <a:solidFill>
                <a:schemeClr val="accent2"/>
              </a:solidFill>
              <a:ln w="9525">
                <a:solidFill>
                  <a:srgbClr val="FF0000"/>
                </a:solidFill>
              </a:ln>
              <a:effectLst/>
            </c:spPr>
          </c:marker>
          <c:xVal>
            <c:numRef>
              <c:f>Input!$G$4:$G$9</c:f>
              <c:numCache>
                <c:formatCode>0.000</c:formatCode>
                <c:ptCount val="6"/>
                <c:pt idx="0">
                  <c:v>0</c:v>
                </c:pt>
                <c:pt idx="1">
                  <c:v>0.03</c:v>
                </c:pt>
                <c:pt idx="2">
                  <c:v>7.0000000000000007E-2</c:v>
                </c:pt>
                <c:pt idx="3">
                  <c:v>0.13</c:v>
                </c:pt>
                <c:pt idx="4">
                  <c:v>0.495</c:v>
                </c:pt>
                <c:pt idx="5">
                  <c:v>0.49957099999999999</c:v>
                </c:pt>
              </c:numCache>
            </c:numRef>
          </c:xVal>
          <c:yVal>
            <c:numRef>
              <c:f>Input!$F$4:$F$9</c:f>
              <c:numCache>
                <c:formatCode>0.00</c:formatCode>
                <c:ptCount val="6"/>
                <c:pt idx="0">
                  <c:v>0</c:v>
                </c:pt>
                <c:pt idx="1">
                  <c:v>2255.3056999999999</c:v>
                </c:pt>
                <c:pt idx="2">
                  <c:v>2255.3056999999999</c:v>
                </c:pt>
                <c:pt idx="3">
                  <c:v>1600</c:v>
                </c:pt>
                <c:pt idx="4">
                  <c:v>1600</c:v>
                </c:pt>
                <c:pt idx="5">
                  <c:v>0</c:v>
                </c:pt>
              </c:numCache>
            </c:numRef>
          </c:yVal>
          <c:smooth val="0"/>
          <c:extLst>
            <c:ext xmlns:c16="http://schemas.microsoft.com/office/drawing/2014/chart" uri="{C3380CC4-5D6E-409C-BE32-E72D297353CC}">
              <c16:uniqueId val="{00000000-EB47-3947-8B64-50AA9EDC5D93}"/>
            </c:ext>
          </c:extLst>
        </c:ser>
        <c:dLbls>
          <c:showLegendKey val="0"/>
          <c:showVal val="0"/>
          <c:showCatName val="0"/>
          <c:showSerName val="0"/>
          <c:showPercent val="0"/>
          <c:showBubbleSize val="0"/>
        </c:dLbls>
        <c:axId val="-1113891472"/>
        <c:axId val="-1111633440"/>
      </c:scatterChart>
      <c:scatterChart>
        <c:scatterStyle val="smoothMarker"/>
        <c:varyColors val="0"/>
        <c:ser>
          <c:idx val="0"/>
          <c:order val="0"/>
          <c:tx>
            <c:v>SPO Data</c:v>
          </c:tx>
          <c:spPr>
            <a:ln w="25400" cap="rnd">
              <a:solidFill>
                <a:schemeClr val="tx1"/>
              </a:solidFill>
              <a:round/>
            </a:ln>
            <a:effectLst/>
          </c:spPr>
          <c:marker>
            <c:symbol val="none"/>
          </c:marker>
          <c:xVal>
            <c:numRef>
              <c:f>Input!$C$3:$C$502</c:f>
              <c:numCache>
                <c:formatCode>0.000</c:formatCode>
                <c:ptCount val="500"/>
                <c:pt idx="0">
                  <c:v>0</c:v>
                </c:pt>
                <c:pt idx="1">
                  <c:v>4.5714800000000002E-3</c:v>
                </c:pt>
                <c:pt idx="2">
                  <c:v>9.5714800000000003E-3</c:v>
                </c:pt>
                <c:pt idx="3">
                  <c:v>1.4571499999999999E-2</c:v>
                </c:pt>
                <c:pt idx="4">
                  <c:v>1.9571499999999999E-2</c:v>
                </c:pt>
                <c:pt idx="5">
                  <c:v>2.45715E-2</c:v>
                </c:pt>
                <c:pt idx="6">
                  <c:v>2.9571500000000001E-2</c:v>
                </c:pt>
                <c:pt idx="7">
                  <c:v>3.4571499999999998E-2</c:v>
                </c:pt>
                <c:pt idx="8">
                  <c:v>3.9571500000000003E-2</c:v>
                </c:pt>
                <c:pt idx="9">
                  <c:v>4.45715E-2</c:v>
                </c:pt>
                <c:pt idx="10">
                  <c:v>4.9571499999999998E-2</c:v>
                </c:pt>
                <c:pt idx="11">
                  <c:v>5.4571500000000002E-2</c:v>
                </c:pt>
                <c:pt idx="12">
                  <c:v>5.9571499999999999E-2</c:v>
                </c:pt>
                <c:pt idx="13">
                  <c:v>6.4571500000000004E-2</c:v>
                </c:pt>
                <c:pt idx="14">
                  <c:v>6.9571499999999994E-2</c:v>
                </c:pt>
                <c:pt idx="15">
                  <c:v>7.4571499999999999E-2</c:v>
                </c:pt>
                <c:pt idx="16">
                  <c:v>7.9571500000000003E-2</c:v>
                </c:pt>
                <c:pt idx="17">
                  <c:v>8.4571499999999994E-2</c:v>
                </c:pt>
                <c:pt idx="18">
                  <c:v>8.9571499999999998E-2</c:v>
                </c:pt>
                <c:pt idx="19">
                  <c:v>9.4571500000000003E-2</c:v>
                </c:pt>
                <c:pt idx="20">
                  <c:v>9.9571499999999993E-2</c:v>
                </c:pt>
                <c:pt idx="21">
                  <c:v>0.104571</c:v>
                </c:pt>
                <c:pt idx="22">
                  <c:v>0.109571</c:v>
                </c:pt>
                <c:pt idx="23">
                  <c:v>0.11457100000000001</c:v>
                </c:pt>
                <c:pt idx="24">
                  <c:v>0.119571</c:v>
                </c:pt>
                <c:pt idx="25">
                  <c:v>0.124571</c:v>
                </c:pt>
                <c:pt idx="26">
                  <c:v>0.12957099999999999</c:v>
                </c:pt>
                <c:pt idx="27">
                  <c:v>0.134571</c:v>
                </c:pt>
                <c:pt idx="28">
                  <c:v>0.139571</c:v>
                </c:pt>
                <c:pt idx="29">
                  <c:v>0.14457100000000001</c:v>
                </c:pt>
                <c:pt idx="30">
                  <c:v>0.14957100000000001</c:v>
                </c:pt>
                <c:pt idx="31">
                  <c:v>0.15457099999999999</c:v>
                </c:pt>
                <c:pt idx="32">
                  <c:v>0.15957099999999999</c:v>
                </c:pt>
                <c:pt idx="33">
                  <c:v>0.164571</c:v>
                </c:pt>
                <c:pt idx="34">
                  <c:v>0.169571</c:v>
                </c:pt>
                <c:pt idx="35">
                  <c:v>0.174571</c:v>
                </c:pt>
                <c:pt idx="36">
                  <c:v>0.17957100000000001</c:v>
                </c:pt>
                <c:pt idx="37">
                  <c:v>0.18457100000000001</c:v>
                </c:pt>
                <c:pt idx="38">
                  <c:v>0.18957099999999999</c:v>
                </c:pt>
                <c:pt idx="39">
                  <c:v>0.19457099999999999</c:v>
                </c:pt>
                <c:pt idx="40">
                  <c:v>0.199571</c:v>
                </c:pt>
                <c:pt idx="41">
                  <c:v>0.204571</c:v>
                </c:pt>
                <c:pt idx="42">
                  <c:v>0.20957100000000001</c:v>
                </c:pt>
                <c:pt idx="43">
                  <c:v>0.21457100000000001</c:v>
                </c:pt>
                <c:pt idx="44">
                  <c:v>0.21957099999999999</c:v>
                </c:pt>
                <c:pt idx="45">
                  <c:v>0.22457099999999999</c:v>
                </c:pt>
                <c:pt idx="46">
                  <c:v>0.229571</c:v>
                </c:pt>
                <c:pt idx="47">
                  <c:v>0.234571</c:v>
                </c:pt>
                <c:pt idx="48">
                  <c:v>0.23957100000000001</c:v>
                </c:pt>
                <c:pt idx="49">
                  <c:v>0.24457100000000001</c:v>
                </c:pt>
                <c:pt idx="50">
                  <c:v>0.24957099999999999</c:v>
                </c:pt>
                <c:pt idx="51">
                  <c:v>0.25457099999999999</c:v>
                </c:pt>
                <c:pt idx="52">
                  <c:v>0.259571</c:v>
                </c:pt>
                <c:pt idx="53">
                  <c:v>0.264571</c:v>
                </c:pt>
                <c:pt idx="54">
                  <c:v>0.26957100000000001</c:v>
                </c:pt>
                <c:pt idx="55">
                  <c:v>0.27457100000000001</c:v>
                </c:pt>
                <c:pt idx="56">
                  <c:v>0.27957100000000001</c:v>
                </c:pt>
                <c:pt idx="57">
                  <c:v>0.28457100000000002</c:v>
                </c:pt>
                <c:pt idx="58">
                  <c:v>0.28957100000000002</c:v>
                </c:pt>
                <c:pt idx="59">
                  <c:v>0.29457100000000003</c:v>
                </c:pt>
                <c:pt idx="60">
                  <c:v>0.29957099999999998</c:v>
                </c:pt>
                <c:pt idx="61">
                  <c:v>0.30457099999999998</c:v>
                </c:pt>
                <c:pt idx="62">
                  <c:v>0.30957099999999999</c:v>
                </c:pt>
                <c:pt idx="63">
                  <c:v>0.31457099999999999</c:v>
                </c:pt>
                <c:pt idx="64">
                  <c:v>0.31957099999999999</c:v>
                </c:pt>
                <c:pt idx="65">
                  <c:v>0.324571</c:v>
                </c:pt>
                <c:pt idx="66">
                  <c:v>0.329571</c:v>
                </c:pt>
                <c:pt idx="67">
                  <c:v>0.33457100000000001</c:v>
                </c:pt>
                <c:pt idx="68">
                  <c:v>0.33957100000000001</c:v>
                </c:pt>
                <c:pt idx="69">
                  <c:v>0.34457100000000002</c:v>
                </c:pt>
                <c:pt idx="70">
                  <c:v>0.34957100000000002</c:v>
                </c:pt>
                <c:pt idx="71">
                  <c:v>0.35457100000000003</c:v>
                </c:pt>
                <c:pt idx="72">
                  <c:v>0.35957099999999997</c:v>
                </c:pt>
                <c:pt idx="73">
                  <c:v>0.36457099999999998</c:v>
                </c:pt>
                <c:pt idx="74">
                  <c:v>0.36957099999999998</c:v>
                </c:pt>
                <c:pt idx="75">
                  <c:v>0.37457099999999999</c:v>
                </c:pt>
                <c:pt idx="76">
                  <c:v>0.37957099999999999</c:v>
                </c:pt>
                <c:pt idx="77">
                  <c:v>0.384571</c:v>
                </c:pt>
                <c:pt idx="78">
                  <c:v>0.389571</c:v>
                </c:pt>
                <c:pt idx="79">
                  <c:v>0.39457100000000001</c:v>
                </c:pt>
                <c:pt idx="80">
                  <c:v>0.39957100000000001</c:v>
                </c:pt>
                <c:pt idx="81">
                  <c:v>0.40457100000000001</c:v>
                </c:pt>
                <c:pt idx="82">
                  <c:v>0.40957100000000002</c:v>
                </c:pt>
                <c:pt idx="83">
                  <c:v>0.41457100000000002</c:v>
                </c:pt>
                <c:pt idx="84">
                  <c:v>0.41957100000000003</c:v>
                </c:pt>
                <c:pt idx="85">
                  <c:v>0.42457099999999998</c:v>
                </c:pt>
                <c:pt idx="86">
                  <c:v>0.42957099999999998</c:v>
                </c:pt>
                <c:pt idx="87">
                  <c:v>0.43457099999999999</c:v>
                </c:pt>
                <c:pt idx="88">
                  <c:v>0.43957099999999999</c:v>
                </c:pt>
                <c:pt idx="89">
                  <c:v>0.44457099999999999</c:v>
                </c:pt>
                <c:pt idx="90">
                  <c:v>0.449571</c:v>
                </c:pt>
                <c:pt idx="91">
                  <c:v>0.454571</c:v>
                </c:pt>
                <c:pt idx="92">
                  <c:v>0.45957100000000001</c:v>
                </c:pt>
                <c:pt idx="93">
                  <c:v>0.46457100000000001</c:v>
                </c:pt>
                <c:pt idx="94">
                  <c:v>0.46957100000000002</c:v>
                </c:pt>
                <c:pt idx="95">
                  <c:v>0.47457100000000002</c:v>
                </c:pt>
                <c:pt idx="96">
                  <c:v>0.47957100000000003</c:v>
                </c:pt>
                <c:pt idx="97">
                  <c:v>0.48457099999999997</c:v>
                </c:pt>
                <c:pt idx="98">
                  <c:v>0.48957099999999998</c:v>
                </c:pt>
                <c:pt idx="99">
                  <c:v>0.49457099999999998</c:v>
                </c:pt>
                <c:pt idx="100">
                  <c:v>0.49957099999999999</c:v>
                </c:pt>
              </c:numCache>
            </c:numRef>
          </c:xVal>
          <c:yVal>
            <c:numRef>
              <c:f>Input!$B$3:$B$502</c:f>
              <c:numCache>
                <c:formatCode>0.000</c:formatCode>
                <c:ptCount val="500"/>
                <c:pt idx="0" formatCode="0">
                  <c:v>0</c:v>
                </c:pt>
                <c:pt idx="1">
                  <c:v>407.29419000000001</c:v>
                </c:pt>
                <c:pt idx="2">
                  <c:v>791.70974000000001</c:v>
                </c:pt>
                <c:pt idx="3">
                  <c:v>1176.6863000000001</c:v>
                </c:pt>
                <c:pt idx="4">
                  <c:v>1511.3794</c:v>
                </c:pt>
                <c:pt idx="5">
                  <c:v>1686.7302999999999</c:v>
                </c:pt>
                <c:pt idx="6">
                  <c:v>1825.9085</c:v>
                </c:pt>
                <c:pt idx="7">
                  <c:v>1952.0574999999999</c:v>
                </c:pt>
                <c:pt idx="8">
                  <c:v>2074.8980000000001</c:v>
                </c:pt>
                <c:pt idx="9">
                  <c:v>2143.8533000000002</c:v>
                </c:pt>
                <c:pt idx="10">
                  <c:v>2194.2759000000001</c:v>
                </c:pt>
                <c:pt idx="11">
                  <c:v>2229.2667999999999</c:v>
                </c:pt>
                <c:pt idx="12">
                  <c:v>2247.4848999999999</c:v>
                </c:pt>
                <c:pt idx="13">
                  <c:v>2255.3056999999999</c:v>
                </c:pt>
                <c:pt idx="14">
                  <c:v>2254.0648000000001</c:v>
                </c:pt>
                <c:pt idx="15">
                  <c:v>2237.4949999999999</c:v>
                </c:pt>
                <c:pt idx="16">
                  <c:v>2210.6788999999999</c:v>
                </c:pt>
                <c:pt idx="17">
                  <c:v>2177.6269000000002</c:v>
                </c:pt>
                <c:pt idx="18">
                  <c:v>2129.0877999999998</c:v>
                </c:pt>
                <c:pt idx="19">
                  <c:v>2062.9133999999999</c:v>
                </c:pt>
                <c:pt idx="20">
                  <c:v>1992.3787</c:v>
                </c:pt>
                <c:pt idx="21">
                  <c:v>1915.4915000000001</c:v>
                </c:pt>
                <c:pt idx="22">
                  <c:v>1827.3833</c:v>
                </c:pt>
                <c:pt idx="23">
                  <c:v>1795.6469999999999</c:v>
                </c:pt>
                <c:pt idx="24">
                  <c:v>1726.701</c:v>
                </c:pt>
                <c:pt idx="25">
                  <c:v>1654.011</c:v>
                </c:pt>
                <c:pt idx="26">
                  <c:v>1580.5326</c:v>
                </c:pt>
                <c:pt idx="27">
                  <c:v>1567.3496</c:v>
                </c:pt>
                <c:pt idx="28">
                  <c:v>1574.4667999999999</c:v>
                </c:pt>
                <c:pt idx="29">
                  <c:v>1574.7983999999999</c:v>
                </c:pt>
                <c:pt idx="30">
                  <c:v>1575.2052000000001</c:v>
                </c:pt>
                <c:pt idx="31">
                  <c:v>1575.4637</c:v>
                </c:pt>
                <c:pt idx="32">
                  <c:v>1574.6890000000001</c:v>
                </c:pt>
                <c:pt idx="33">
                  <c:v>1573.0376000000001</c:v>
                </c:pt>
                <c:pt idx="34">
                  <c:v>1570.1796999999999</c:v>
                </c:pt>
                <c:pt idx="35">
                  <c:v>1565.6931</c:v>
                </c:pt>
                <c:pt idx="36">
                  <c:v>1558.8873000000001</c:v>
                </c:pt>
                <c:pt idx="37">
                  <c:v>1551.4646</c:v>
                </c:pt>
                <c:pt idx="38">
                  <c:v>1544.0416</c:v>
                </c:pt>
                <c:pt idx="39">
                  <c:v>1536.6197</c:v>
                </c:pt>
                <c:pt idx="40">
                  <c:v>1529.0234</c:v>
                </c:pt>
                <c:pt idx="41">
                  <c:v>1520.4117000000001</c:v>
                </c:pt>
                <c:pt idx="42">
                  <c:v>1511.1563000000001</c:v>
                </c:pt>
                <c:pt idx="43">
                  <c:v>1501.6409000000001</c:v>
                </c:pt>
                <c:pt idx="44">
                  <c:v>1491.2941000000001</c:v>
                </c:pt>
                <c:pt idx="45">
                  <c:v>1480.7049</c:v>
                </c:pt>
                <c:pt idx="46">
                  <c:v>1470.1153999999999</c:v>
                </c:pt>
                <c:pt idx="47">
                  <c:v>1459.5264</c:v>
                </c:pt>
                <c:pt idx="48">
                  <c:v>1448.9372000000001</c:v>
                </c:pt>
                <c:pt idx="49">
                  <c:v>1438.3481999999999</c:v>
                </c:pt>
                <c:pt idx="50">
                  <c:v>1427.759</c:v>
                </c:pt>
                <c:pt idx="51">
                  <c:v>1417.1697999999999</c:v>
                </c:pt>
                <c:pt idx="52">
                  <c:v>1406.5808999999999</c:v>
                </c:pt>
                <c:pt idx="53" formatCode="0">
                  <c:v>1395.9918</c:v>
                </c:pt>
                <c:pt idx="54" formatCode="0">
                  <c:v>1385.4027000000001</c:v>
                </c:pt>
                <c:pt idx="55" formatCode="0">
                  <c:v>1374.8136</c:v>
                </c:pt>
                <c:pt idx="56" formatCode="0">
                  <c:v>1364.0717999999999</c:v>
                </c:pt>
                <c:pt idx="57" formatCode="0">
                  <c:v>1353.0402999999999</c:v>
                </c:pt>
                <c:pt idx="58" formatCode="0">
                  <c:v>1342.0102999999999</c:v>
                </c:pt>
                <c:pt idx="59" formatCode="0">
                  <c:v>1330.9808</c:v>
                </c:pt>
                <c:pt idx="60" formatCode="0">
                  <c:v>1319.8034</c:v>
                </c:pt>
                <c:pt idx="61" formatCode="0">
                  <c:v>1308.3293000000001</c:v>
                </c:pt>
                <c:pt idx="62" formatCode="0">
                  <c:v>1296.8554999999999</c:v>
                </c:pt>
                <c:pt idx="63" formatCode="0">
                  <c:v>1285.3813</c:v>
                </c:pt>
                <c:pt idx="64" formatCode="0">
                  <c:v>1273.9074000000001</c:v>
                </c:pt>
                <c:pt idx="65" formatCode="0">
                  <c:v>1262.4331999999999</c:v>
                </c:pt>
                <c:pt idx="66" formatCode="0">
                  <c:v>1250.9591</c:v>
                </c:pt>
                <c:pt idx="67" formatCode="0">
                  <c:v>1239.4848999999999</c:v>
                </c:pt>
                <c:pt idx="68" formatCode="0">
                  <c:v>1228.0105000000001</c:v>
                </c:pt>
                <c:pt idx="69" formatCode="0">
                  <c:v>1216.5363</c:v>
                </c:pt>
                <c:pt idx="70" formatCode="0">
                  <c:v>1205.0618999999999</c:v>
                </c:pt>
                <c:pt idx="71" formatCode="0">
                  <c:v>1193.5875000000001</c:v>
                </c:pt>
                <c:pt idx="72" formatCode="0">
                  <c:v>1182.1131</c:v>
                </c:pt>
                <c:pt idx="73" formatCode="0">
                  <c:v>1170.6380999999999</c:v>
                </c:pt>
                <c:pt idx="74" formatCode="0">
                  <c:v>1159.1638</c:v>
                </c:pt>
                <c:pt idx="75" formatCode="0">
                  <c:v>1147.6890000000001</c:v>
                </c:pt>
                <c:pt idx="76" formatCode="0">
                  <c:v>1136.2147</c:v>
                </c:pt>
                <c:pt idx="77" formatCode="0">
                  <c:v>1124.7399</c:v>
                </c:pt>
                <c:pt idx="78" formatCode="0">
                  <c:v>1113.2650000000001</c:v>
                </c:pt>
                <c:pt idx="79" formatCode="0">
                  <c:v>1101.7900999999999</c:v>
                </c:pt>
                <c:pt idx="80" formatCode="0">
                  <c:v>1090.3154999999999</c:v>
                </c:pt>
                <c:pt idx="81" formatCode="0">
                  <c:v>1078.8332</c:v>
                </c:pt>
                <c:pt idx="82" formatCode="0">
                  <c:v>1067.3504</c:v>
                </c:pt>
                <c:pt idx="83" formatCode="0">
                  <c:v>1055.8678</c:v>
                </c:pt>
                <c:pt idx="84" formatCode="0">
                  <c:v>1044.3852999999999</c:v>
                </c:pt>
                <c:pt idx="85" formatCode="0">
                  <c:v>1032.9022</c:v>
                </c:pt>
                <c:pt idx="86" formatCode="0">
                  <c:v>1021.4194</c:v>
                </c:pt>
                <c:pt idx="87" formatCode="0">
                  <c:v>1009.9364</c:v>
                </c:pt>
                <c:pt idx="88" formatCode="0">
                  <c:v>998.45360000000005</c:v>
                </c:pt>
                <c:pt idx="89" formatCode="0">
                  <c:v>986.97069999999997</c:v>
                </c:pt>
                <c:pt idx="90" formatCode="0">
                  <c:v>975.48749999999995</c:v>
                </c:pt>
                <c:pt idx="91" formatCode="0">
                  <c:v>964.00409999999999</c:v>
                </c:pt>
                <c:pt idx="92" formatCode="0">
                  <c:v>952.52099999999996</c:v>
                </c:pt>
                <c:pt idx="93" formatCode="0">
                  <c:v>941.03790000000004</c:v>
                </c:pt>
                <c:pt idx="94" formatCode="0">
                  <c:v>929.55439999999999</c:v>
                </c:pt>
                <c:pt idx="95" formatCode="0">
                  <c:v>918.07100000000003</c:v>
                </c:pt>
                <c:pt idx="96" formatCode="0">
                  <c:v>906.58770000000004</c:v>
                </c:pt>
                <c:pt idx="97" formatCode="0">
                  <c:v>895.10429999999997</c:v>
                </c:pt>
                <c:pt idx="98" formatCode="0">
                  <c:v>883.62080000000003</c:v>
                </c:pt>
                <c:pt idx="99" formatCode="0">
                  <c:v>872.13710000000003</c:v>
                </c:pt>
                <c:pt idx="100" formatCode="0">
                  <c:v>0</c:v>
                </c:pt>
              </c:numCache>
            </c:numRef>
          </c:yVal>
          <c:smooth val="1"/>
          <c:extLst>
            <c:ext xmlns:c16="http://schemas.microsoft.com/office/drawing/2014/chart" uri="{C3380CC4-5D6E-409C-BE32-E72D297353CC}">
              <c16:uniqueId val="{00000001-EB47-3947-8B64-50AA9EDC5D93}"/>
            </c:ext>
          </c:extLst>
        </c:ser>
        <c:dLbls>
          <c:showLegendKey val="0"/>
          <c:showVal val="0"/>
          <c:showCatName val="0"/>
          <c:showSerName val="0"/>
          <c:showPercent val="0"/>
          <c:showBubbleSize val="0"/>
        </c:dLbls>
        <c:axId val="-1113891472"/>
        <c:axId val="-1111633440"/>
      </c:scatterChart>
      <c:valAx>
        <c:axId val="-1113891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Roof Displacement [m]</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11633440"/>
        <c:crosses val="autoZero"/>
        <c:crossBetween val="midCat"/>
      </c:valAx>
      <c:valAx>
        <c:axId val="-11116334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Base Shear [kN]</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13891472"/>
        <c:crosses val="autoZero"/>
        <c:crossBetween val="midCat"/>
      </c:valAx>
      <c:spPr>
        <a:noFill/>
        <a:ln>
          <a:noFill/>
        </a:ln>
        <a:effectLst/>
      </c:spPr>
    </c:plotArea>
    <c:legend>
      <c:legendPos val="r"/>
      <c:layout>
        <c:manualLayout>
          <c:xMode val="edge"/>
          <c:yMode val="edge"/>
          <c:x val="0.65503961965134705"/>
          <c:y val="0.218305241141732"/>
          <c:w val="0.226739037915689"/>
          <c:h val="0.17506727343879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IM = Sa(T</a:t>
            </a:r>
            <a:r>
              <a:rPr lang="en-US" sz="1100"/>
              <a:t>1</a:t>
            </a:r>
            <a:r>
              <a:rPr lang="en-US" sz="1800"/>
              <a:t>) (IDA)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81113592972"/>
          <c:y val="0.127541024186582"/>
          <c:w val="0.78324357038571402"/>
          <c:h val="0.66535798826649095"/>
        </c:manualLayout>
      </c:layout>
      <c:scatterChart>
        <c:scatterStyle val="lineMarker"/>
        <c:varyColors val="0"/>
        <c:ser>
          <c:idx val="1"/>
          <c:order val="0"/>
          <c:tx>
            <c:v>SPO</c:v>
          </c:tx>
          <c:spPr>
            <a:ln w="31750" cap="rnd">
              <a:solidFill>
                <a:schemeClr val="tx1"/>
              </a:solidFill>
              <a:round/>
            </a:ln>
            <a:effectLst/>
          </c:spPr>
          <c:marker>
            <c:symbol val="none"/>
          </c:marker>
          <c:xVal>
            <c:numRef>
              <c:f>Input!$I$4:$I$9</c:f>
              <c:numCache>
                <c:formatCode>0.00</c:formatCode>
                <c:ptCount val="6"/>
                <c:pt idx="0">
                  <c:v>0</c:v>
                </c:pt>
                <c:pt idx="1">
                  <c:v>1</c:v>
                </c:pt>
                <c:pt idx="2">
                  <c:v>2.3333333333333335</c:v>
                </c:pt>
                <c:pt idx="3">
                  <c:v>4.3333333333333339</c:v>
                </c:pt>
                <c:pt idx="4">
                  <c:v>16.5</c:v>
                </c:pt>
                <c:pt idx="5">
                  <c:v>16.652366666666666</c:v>
                </c:pt>
              </c:numCache>
            </c:numRef>
          </c:xVal>
          <c:yVal>
            <c:numRef>
              <c:f>Input!$H$4:$H$9</c:f>
              <c:numCache>
                <c:formatCode>0.00</c:formatCode>
                <c:ptCount val="6"/>
                <c:pt idx="0">
                  <c:v>0</c:v>
                </c:pt>
                <c:pt idx="1">
                  <c:v>1</c:v>
                </c:pt>
                <c:pt idx="2">
                  <c:v>1</c:v>
                </c:pt>
                <c:pt idx="3">
                  <c:v>0.70943819279133646</c:v>
                </c:pt>
                <c:pt idx="4">
                  <c:v>0.70943819279133646</c:v>
                </c:pt>
                <c:pt idx="5">
                  <c:v>0</c:v>
                </c:pt>
              </c:numCache>
            </c:numRef>
          </c:yVal>
          <c:smooth val="0"/>
          <c:extLst>
            <c:ext xmlns:c16="http://schemas.microsoft.com/office/drawing/2014/chart" uri="{C3380CC4-5D6E-409C-BE32-E72D297353CC}">
              <c16:uniqueId val="{00000000-8CDF-D04D-A191-7536617D6B6C}"/>
            </c:ext>
          </c:extLst>
        </c:ser>
        <c:ser>
          <c:idx val="3"/>
          <c:order val="1"/>
          <c:tx>
            <c:v>16%</c:v>
          </c:tx>
          <c:spPr>
            <a:ln w="31750" cap="rnd">
              <a:solidFill>
                <a:srgbClr val="00FB00"/>
              </a:solidFill>
              <a:prstDash val="dash"/>
              <a:round/>
            </a:ln>
            <a:effectLst/>
          </c:spPr>
          <c:marker>
            <c:symbol val="none"/>
          </c:marker>
          <c:xVal>
            <c:numRef>
              <c:f>'Output (Sa(T1))'!$F$6:$F$46</c:f>
              <c:numCache>
                <c:formatCode>0.00</c:formatCode>
                <c:ptCount val="41"/>
                <c:pt idx="0">
                  <c:v>1</c:v>
                </c:pt>
                <c:pt idx="1">
                  <c:v>1.1481481481481481</c:v>
                </c:pt>
                <c:pt idx="2">
                  <c:v>1.2962962962962963</c:v>
                </c:pt>
                <c:pt idx="3">
                  <c:v>1.4444444444444444</c:v>
                </c:pt>
                <c:pt idx="4">
                  <c:v>1.5925925925925926</c:v>
                </c:pt>
                <c:pt idx="5">
                  <c:v>1.7407407407407407</c:v>
                </c:pt>
                <c:pt idx="6">
                  <c:v>1.8888888888888888</c:v>
                </c:pt>
                <c:pt idx="7">
                  <c:v>2.0370370370370372</c:v>
                </c:pt>
                <c:pt idx="8">
                  <c:v>2.1851851851851856</c:v>
                </c:pt>
                <c:pt idx="9">
                  <c:v>2.3333333333333335</c:v>
                </c:pt>
                <c:pt idx="10">
                  <c:v>2.3333333333333335</c:v>
                </c:pt>
                <c:pt idx="11">
                  <c:v>2.5555555555555558</c:v>
                </c:pt>
                <c:pt idx="12">
                  <c:v>2.7777777777777781</c:v>
                </c:pt>
                <c:pt idx="13">
                  <c:v>3.0000000000000004</c:v>
                </c:pt>
                <c:pt idx="14">
                  <c:v>3.2222222222222228</c:v>
                </c:pt>
                <c:pt idx="15">
                  <c:v>3.4444444444444451</c:v>
                </c:pt>
                <c:pt idx="16">
                  <c:v>3.6666666666666674</c:v>
                </c:pt>
                <c:pt idx="17">
                  <c:v>3.8888888888888897</c:v>
                </c:pt>
                <c:pt idx="18">
                  <c:v>4.1111111111111116</c:v>
                </c:pt>
                <c:pt idx="19">
                  <c:v>4.3333333333333339</c:v>
                </c:pt>
                <c:pt idx="20">
                  <c:v>4.3333333333333339</c:v>
                </c:pt>
                <c:pt idx="21">
                  <c:v>5.685185185185186</c:v>
                </c:pt>
                <c:pt idx="22">
                  <c:v>7.0370370370370381</c:v>
                </c:pt>
                <c:pt idx="23">
                  <c:v>8.3888888888888893</c:v>
                </c:pt>
                <c:pt idx="24">
                  <c:v>9.7407407407407405</c:v>
                </c:pt>
                <c:pt idx="25">
                  <c:v>11.092592592592592</c:v>
                </c:pt>
                <c:pt idx="26">
                  <c:v>12.444444444444443</c:v>
                </c:pt>
                <c:pt idx="27">
                  <c:v>13.796296296296294</c:v>
                </c:pt>
                <c:pt idx="28">
                  <c:v>15.148148148148145</c:v>
                </c:pt>
                <c:pt idx="29">
                  <c:v>16.5</c:v>
                </c:pt>
                <c:pt idx="30">
                  <c:v>16.5</c:v>
                </c:pt>
                <c:pt idx="31">
                  <c:v>16.51692962962963</c:v>
                </c:pt>
                <c:pt idx="32">
                  <c:v>16.533859259259259</c:v>
                </c:pt>
                <c:pt idx="33">
                  <c:v>16.550788888888889</c:v>
                </c:pt>
                <c:pt idx="34">
                  <c:v>16.567718518518518</c:v>
                </c:pt>
                <c:pt idx="35">
                  <c:v>16.584648148148148</c:v>
                </c:pt>
                <c:pt idx="36">
                  <c:v>16.601577777777777</c:v>
                </c:pt>
                <c:pt idx="37">
                  <c:v>16.618507407407407</c:v>
                </c:pt>
                <c:pt idx="38">
                  <c:v>16.635437037037036</c:v>
                </c:pt>
                <c:pt idx="39">
                  <c:v>16.652366666666666</c:v>
                </c:pt>
                <c:pt idx="40">
                  <c:v>18.652366666666666</c:v>
                </c:pt>
              </c:numCache>
            </c:numRef>
          </c:xVal>
          <c:yVal>
            <c:numRef>
              <c:f>'Output (Sa(T1))'!$Q$6:$Q$46</c:f>
              <c:numCache>
                <c:formatCode>0.00</c:formatCode>
                <c:ptCount val="41"/>
                <c:pt idx="0">
                  <c:v>1</c:v>
                </c:pt>
                <c:pt idx="1">
                  <c:v>1.0924732161452289</c:v>
                </c:pt>
                <c:pt idx="2">
                  <c:v>1.1812133112558048</c:v>
                </c:pt>
                <c:pt idx="3">
                  <c:v>1.2667751645484482</c:v>
                </c:pt>
                <c:pt idx="4">
                  <c:v>1.3495831269957979</c:v>
                </c:pt>
                <c:pt idx="5">
                  <c:v>1.4299709695111287</c:v>
                </c:pt>
                <c:pt idx="6">
                  <c:v>1.5082072496414649</c:v>
                </c:pt>
                <c:pt idx="7">
                  <c:v>1.5845121458772145</c:v>
                </c:pt>
                <c:pt idx="8">
                  <c:v>1.6590690411032827</c:v>
                </c:pt>
                <c:pt idx="9">
                  <c:v>1.7320327375855662</c:v>
                </c:pt>
                <c:pt idx="10">
                  <c:v>1.7320327375855662</c:v>
                </c:pt>
                <c:pt idx="11">
                  <c:v>1.751179359857348</c:v>
                </c:pt>
                <c:pt idx="12">
                  <c:v>1.7698430041398896</c:v>
                </c:pt>
                <c:pt idx="13">
                  <c:v>1.7880236704331902</c:v>
                </c:pt>
                <c:pt idx="14">
                  <c:v>1.8057213587372511</c:v>
                </c:pt>
                <c:pt idx="15">
                  <c:v>1.8229360690520711</c:v>
                </c:pt>
                <c:pt idx="16">
                  <c:v>1.8396678013776506</c:v>
                </c:pt>
                <c:pt idx="17">
                  <c:v>1.8559165557139896</c:v>
                </c:pt>
                <c:pt idx="18">
                  <c:v>1.8716823320610882</c:v>
                </c:pt>
                <c:pt idx="19">
                  <c:v>1.8869651304189465</c:v>
                </c:pt>
                <c:pt idx="20">
                  <c:v>1.8869651304189465</c:v>
                </c:pt>
                <c:pt idx="21">
                  <c:v>2.0277023446966664</c:v>
                </c:pt>
                <c:pt idx="22">
                  <c:v>2.168439558974387</c:v>
                </c:pt>
                <c:pt idx="23">
                  <c:v>2.3091767732521067</c:v>
                </c:pt>
                <c:pt idx="24">
                  <c:v>2.4499139875298264</c:v>
                </c:pt>
                <c:pt idx="25">
                  <c:v>2.5906512018075469</c:v>
                </c:pt>
                <c:pt idx="26">
                  <c:v>2.7313884160852666</c:v>
                </c:pt>
                <c:pt idx="27">
                  <c:v>2.8721256303629863</c:v>
                </c:pt>
                <c:pt idx="28">
                  <c:v>3.0128628446407069</c:v>
                </c:pt>
                <c:pt idx="29">
                  <c:v>3.1536000589184265</c:v>
                </c:pt>
                <c:pt idx="30">
                  <c:v>3.1536000589184265</c:v>
                </c:pt>
                <c:pt idx="31">
                  <c:v>3.1542319998310857</c:v>
                </c:pt>
                <c:pt idx="32">
                  <c:v>3.1548639407437449</c:v>
                </c:pt>
                <c:pt idx="33">
                  <c:v>3.155495881656404</c:v>
                </c:pt>
                <c:pt idx="34">
                  <c:v>3.1561278225690632</c:v>
                </c:pt>
                <c:pt idx="35">
                  <c:v>3.1567597634817228</c:v>
                </c:pt>
                <c:pt idx="36">
                  <c:v>3.157391704394382</c:v>
                </c:pt>
                <c:pt idx="37">
                  <c:v>3.1580236453070412</c:v>
                </c:pt>
                <c:pt idx="38">
                  <c:v>3.1586555862197003</c:v>
                </c:pt>
                <c:pt idx="39">
                  <c:v>3.1592875271323595</c:v>
                </c:pt>
                <c:pt idx="40">
                  <c:v>3.1592875271323595</c:v>
                </c:pt>
              </c:numCache>
            </c:numRef>
          </c:yVal>
          <c:smooth val="0"/>
          <c:extLst>
            <c:ext xmlns:c16="http://schemas.microsoft.com/office/drawing/2014/chart" uri="{C3380CC4-5D6E-409C-BE32-E72D297353CC}">
              <c16:uniqueId val="{00000003-8CDF-D04D-A191-7536617D6B6C}"/>
            </c:ext>
          </c:extLst>
        </c:ser>
        <c:ser>
          <c:idx val="2"/>
          <c:order val="2"/>
          <c:tx>
            <c:v>50%</c:v>
          </c:tx>
          <c:spPr>
            <a:ln w="31750" cap="rnd">
              <a:solidFill>
                <a:srgbClr val="FF0000"/>
              </a:solidFill>
              <a:round/>
            </a:ln>
            <a:effectLst/>
          </c:spPr>
          <c:marker>
            <c:symbol val="none"/>
          </c:marker>
          <c:xVal>
            <c:numRef>
              <c:f>'Output (Sa(T1))'!$F$6:$F$46</c:f>
              <c:numCache>
                <c:formatCode>0.00</c:formatCode>
                <c:ptCount val="41"/>
                <c:pt idx="0">
                  <c:v>1</c:v>
                </c:pt>
                <c:pt idx="1">
                  <c:v>1.1481481481481481</c:v>
                </c:pt>
                <c:pt idx="2">
                  <c:v>1.2962962962962963</c:v>
                </c:pt>
                <c:pt idx="3">
                  <c:v>1.4444444444444444</c:v>
                </c:pt>
                <c:pt idx="4">
                  <c:v>1.5925925925925926</c:v>
                </c:pt>
                <c:pt idx="5">
                  <c:v>1.7407407407407407</c:v>
                </c:pt>
                <c:pt idx="6">
                  <c:v>1.8888888888888888</c:v>
                </c:pt>
                <c:pt idx="7">
                  <c:v>2.0370370370370372</c:v>
                </c:pt>
                <c:pt idx="8">
                  <c:v>2.1851851851851856</c:v>
                </c:pt>
                <c:pt idx="9">
                  <c:v>2.3333333333333335</c:v>
                </c:pt>
                <c:pt idx="10">
                  <c:v>2.3333333333333335</c:v>
                </c:pt>
                <c:pt idx="11">
                  <c:v>2.5555555555555558</c:v>
                </c:pt>
                <c:pt idx="12">
                  <c:v>2.7777777777777781</c:v>
                </c:pt>
                <c:pt idx="13">
                  <c:v>3.0000000000000004</c:v>
                </c:pt>
                <c:pt idx="14">
                  <c:v>3.2222222222222228</c:v>
                </c:pt>
                <c:pt idx="15">
                  <c:v>3.4444444444444451</c:v>
                </c:pt>
                <c:pt idx="16">
                  <c:v>3.6666666666666674</c:v>
                </c:pt>
                <c:pt idx="17">
                  <c:v>3.8888888888888897</c:v>
                </c:pt>
                <c:pt idx="18">
                  <c:v>4.1111111111111116</c:v>
                </c:pt>
                <c:pt idx="19">
                  <c:v>4.3333333333333339</c:v>
                </c:pt>
                <c:pt idx="20">
                  <c:v>4.3333333333333339</c:v>
                </c:pt>
                <c:pt idx="21">
                  <c:v>5.685185185185186</c:v>
                </c:pt>
                <c:pt idx="22">
                  <c:v>7.0370370370370381</c:v>
                </c:pt>
                <c:pt idx="23">
                  <c:v>8.3888888888888893</c:v>
                </c:pt>
                <c:pt idx="24">
                  <c:v>9.7407407407407405</c:v>
                </c:pt>
                <c:pt idx="25">
                  <c:v>11.092592592592592</c:v>
                </c:pt>
                <c:pt idx="26">
                  <c:v>12.444444444444443</c:v>
                </c:pt>
                <c:pt idx="27">
                  <c:v>13.796296296296294</c:v>
                </c:pt>
                <c:pt idx="28">
                  <c:v>15.148148148148145</c:v>
                </c:pt>
                <c:pt idx="29">
                  <c:v>16.5</c:v>
                </c:pt>
                <c:pt idx="30">
                  <c:v>16.5</c:v>
                </c:pt>
                <c:pt idx="31">
                  <c:v>16.51692962962963</c:v>
                </c:pt>
                <c:pt idx="32">
                  <c:v>16.533859259259259</c:v>
                </c:pt>
                <c:pt idx="33">
                  <c:v>16.550788888888889</c:v>
                </c:pt>
                <c:pt idx="34">
                  <c:v>16.567718518518518</c:v>
                </c:pt>
                <c:pt idx="35">
                  <c:v>16.584648148148148</c:v>
                </c:pt>
                <c:pt idx="36">
                  <c:v>16.601577777777777</c:v>
                </c:pt>
                <c:pt idx="37">
                  <c:v>16.618507407407407</c:v>
                </c:pt>
                <c:pt idx="38">
                  <c:v>16.635437037037036</c:v>
                </c:pt>
                <c:pt idx="39">
                  <c:v>16.652366666666666</c:v>
                </c:pt>
                <c:pt idx="40">
                  <c:v>18.652366666666666</c:v>
                </c:pt>
              </c:numCache>
            </c:numRef>
          </c:xVal>
          <c:yVal>
            <c:numRef>
              <c:f>'Output (Sa(T1))'!$P$6:$P$46</c:f>
              <c:numCache>
                <c:formatCode>0.00</c:formatCode>
                <c:ptCount val="41"/>
                <c:pt idx="0">
                  <c:v>1</c:v>
                </c:pt>
                <c:pt idx="1">
                  <c:v>1.120235082448588</c:v>
                </c:pt>
                <c:pt idx="2">
                  <c:v>1.2374892534991999</c:v>
                </c:pt>
                <c:pt idx="3">
                  <c:v>1.3521666539516126</c:v>
                </c:pt>
                <c:pt idx="4">
                  <c:v>1.4645808673281993</c:v>
                </c:pt>
                <c:pt idx="5">
                  <c:v>1.5749817572515925</c:v>
                </c:pt>
                <c:pt idx="6">
                  <c:v>1.683572737649538</c:v>
                </c:pt>
                <c:pt idx="7">
                  <c:v>1.790522372227775</c:v>
                </c:pt>
                <c:pt idx="8">
                  <c:v>1.8959724434381475</c:v>
                </c:pt>
                <c:pt idx="9">
                  <c:v>2.0000437325359979</c:v>
                </c:pt>
                <c:pt idx="10">
                  <c:v>2.0000437325359979</c:v>
                </c:pt>
                <c:pt idx="11">
                  <c:v>2.0828924639700106</c:v>
                </c:pt>
                <c:pt idx="12">
                  <c:v>2.1648568997353781</c:v>
                </c:pt>
                <c:pt idx="13">
                  <c:v>2.245937039832099</c:v>
                </c:pt>
                <c:pt idx="14">
                  <c:v>2.3261328842601752</c:v>
                </c:pt>
                <c:pt idx="15">
                  <c:v>2.4054444330196043</c:v>
                </c:pt>
                <c:pt idx="16">
                  <c:v>2.4838716861103882</c:v>
                </c:pt>
                <c:pt idx="17">
                  <c:v>2.561414643532526</c:v>
                </c:pt>
                <c:pt idx="18">
                  <c:v>2.6380733052860177</c:v>
                </c:pt>
                <c:pt idx="19">
                  <c:v>2.7138476713708637</c:v>
                </c:pt>
                <c:pt idx="20">
                  <c:v>2.7138476713708637</c:v>
                </c:pt>
                <c:pt idx="21">
                  <c:v>3.096887960698878</c:v>
                </c:pt>
                <c:pt idx="22">
                  <c:v>3.4799282500268927</c:v>
                </c:pt>
                <c:pt idx="23">
                  <c:v>3.8629685393549069</c:v>
                </c:pt>
                <c:pt idx="24">
                  <c:v>4.2460088286829212</c:v>
                </c:pt>
                <c:pt idx="25">
                  <c:v>4.6290491180109345</c:v>
                </c:pt>
                <c:pt idx="26">
                  <c:v>5.0120894073389497</c:v>
                </c:pt>
                <c:pt idx="27">
                  <c:v>5.3951296966669631</c:v>
                </c:pt>
                <c:pt idx="28">
                  <c:v>5.7781699859949782</c:v>
                </c:pt>
                <c:pt idx="29">
                  <c:v>6.1612102753229934</c:v>
                </c:pt>
                <c:pt idx="30">
                  <c:v>6.1612102753229934</c:v>
                </c:pt>
                <c:pt idx="31">
                  <c:v>6.16292392077691</c:v>
                </c:pt>
                <c:pt idx="32">
                  <c:v>6.1646375662308248</c:v>
                </c:pt>
                <c:pt idx="33">
                  <c:v>6.1663512116847414</c:v>
                </c:pt>
                <c:pt idx="34">
                  <c:v>6.1680648571386563</c:v>
                </c:pt>
                <c:pt idx="35">
                  <c:v>6.1697785025925729</c:v>
                </c:pt>
                <c:pt idx="36">
                  <c:v>6.1714921480464877</c:v>
                </c:pt>
                <c:pt idx="37">
                  <c:v>6.1732057935004043</c:v>
                </c:pt>
                <c:pt idx="38">
                  <c:v>6.1749194389543192</c:v>
                </c:pt>
                <c:pt idx="39">
                  <c:v>6.1766330844082358</c:v>
                </c:pt>
                <c:pt idx="40">
                  <c:v>6.1766330844082358</c:v>
                </c:pt>
              </c:numCache>
            </c:numRef>
          </c:yVal>
          <c:smooth val="0"/>
          <c:extLst>
            <c:ext xmlns:c16="http://schemas.microsoft.com/office/drawing/2014/chart" uri="{C3380CC4-5D6E-409C-BE32-E72D297353CC}">
              <c16:uniqueId val="{00000002-8CDF-D04D-A191-7536617D6B6C}"/>
            </c:ext>
          </c:extLst>
        </c:ser>
        <c:ser>
          <c:idx val="0"/>
          <c:order val="3"/>
          <c:tx>
            <c:v>84%</c:v>
          </c:tx>
          <c:spPr>
            <a:ln w="31750" cap="rnd">
              <a:solidFill>
                <a:srgbClr val="FF40FF"/>
              </a:solidFill>
              <a:prstDash val="dash"/>
              <a:round/>
            </a:ln>
            <a:effectLst/>
          </c:spPr>
          <c:marker>
            <c:symbol val="none"/>
          </c:marker>
          <c:xVal>
            <c:numRef>
              <c:f>'Output (Sa(T1))'!$F$6:$F$46</c:f>
              <c:numCache>
                <c:formatCode>0.00</c:formatCode>
                <c:ptCount val="41"/>
                <c:pt idx="0">
                  <c:v>1</c:v>
                </c:pt>
                <c:pt idx="1">
                  <c:v>1.1481481481481481</c:v>
                </c:pt>
                <c:pt idx="2">
                  <c:v>1.2962962962962963</c:v>
                </c:pt>
                <c:pt idx="3">
                  <c:v>1.4444444444444444</c:v>
                </c:pt>
                <c:pt idx="4">
                  <c:v>1.5925925925925926</c:v>
                </c:pt>
                <c:pt idx="5">
                  <c:v>1.7407407407407407</c:v>
                </c:pt>
                <c:pt idx="6">
                  <c:v>1.8888888888888888</c:v>
                </c:pt>
                <c:pt idx="7">
                  <c:v>2.0370370370370372</c:v>
                </c:pt>
                <c:pt idx="8">
                  <c:v>2.1851851851851856</c:v>
                </c:pt>
                <c:pt idx="9">
                  <c:v>2.3333333333333335</c:v>
                </c:pt>
                <c:pt idx="10">
                  <c:v>2.3333333333333335</c:v>
                </c:pt>
                <c:pt idx="11">
                  <c:v>2.5555555555555558</c:v>
                </c:pt>
                <c:pt idx="12">
                  <c:v>2.7777777777777781</c:v>
                </c:pt>
                <c:pt idx="13">
                  <c:v>3.0000000000000004</c:v>
                </c:pt>
                <c:pt idx="14">
                  <c:v>3.2222222222222228</c:v>
                </c:pt>
                <c:pt idx="15">
                  <c:v>3.4444444444444451</c:v>
                </c:pt>
                <c:pt idx="16">
                  <c:v>3.6666666666666674</c:v>
                </c:pt>
                <c:pt idx="17">
                  <c:v>3.8888888888888897</c:v>
                </c:pt>
                <c:pt idx="18">
                  <c:v>4.1111111111111116</c:v>
                </c:pt>
                <c:pt idx="19">
                  <c:v>4.3333333333333339</c:v>
                </c:pt>
                <c:pt idx="20">
                  <c:v>4.3333333333333339</c:v>
                </c:pt>
                <c:pt idx="21">
                  <c:v>5.685185185185186</c:v>
                </c:pt>
                <c:pt idx="22">
                  <c:v>7.0370370370370381</c:v>
                </c:pt>
                <c:pt idx="23">
                  <c:v>8.3888888888888893</c:v>
                </c:pt>
                <c:pt idx="24">
                  <c:v>9.7407407407407405</c:v>
                </c:pt>
                <c:pt idx="25">
                  <c:v>11.092592592592592</c:v>
                </c:pt>
                <c:pt idx="26">
                  <c:v>12.444444444444443</c:v>
                </c:pt>
                <c:pt idx="27">
                  <c:v>13.796296296296294</c:v>
                </c:pt>
                <c:pt idx="28">
                  <c:v>15.148148148148145</c:v>
                </c:pt>
                <c:pt idx="29">
                  <c:v>16.5</c:v>
                </c:pt>
                <c:pt idx="30">
                  <c:v>16.5</c:v>
                </c:pt>
                <c:pt idx="31">
                  <c:v>16.51692962962963</c:v>
                </c:pt>
                <c:pt idx="32">
                  <c:v>16.533859259259259</c:v>
                </c:pt>
                <c:pt idx="33">
                  <c:v>16.550788888888889</c:v>
                </c:pt>
                <c:pt idx="34">
                  <c:v>16.567718518518518</c:v>
                </c:pt>
                <c:pt idx="35">
                  <c:v>16.584648148148148</c:v>
                </c:pt>
                <c:pt idx="36">
                  <c:v>16.601577777777777</c:v>
                </c:pt>
                <c:pt idx="37">
                  <c:v>16.618507407407407</c:v>
                </c:pt>
                <c:pt idx="38">
                  <c:v>16.635437037037036</c:v>
                </c:pt>
                <c:pt idx="39">
                  <c:v>16.652366666666666</c:v>
                </c:pt>
                <c:pt idx="40">
                  <c:v>18.652366666666666</c:v>
                </c:pt>
              </c:numCache>
            </c:numRef>
          </c:xVal>
          <c:yVal>
            <c:numRef>
              <c:f>'Output (Sa(T1))'!$O$6:$O$46</c:f>
              <c:numCache>
                <c:formatCode>0.00</c:formatCode>
                <c:ptCount val="41"/>
                <c:pt idx="0">
                  <c:v>1</c:v>
                </c:pt>
                <c:pt idx="1">
                  <c:v>1.1757047009735027</c:v>
                </c:pt>
                <c:pt idx="2">
                  <c:v>1.3504965696607878</c:v>
                </c:pt>
                <c:pt idx="3">
                  <c:v>1.5244843851941594</c:v>
                </c:pt>
                <c:pt idx="4">
                  <c:v>1.6977540763212546</c:v>
                </c:pt>
                <c:pt idx="5">
                  <c:v>1.870375215587244</c:v>
                </c:pt>
                <c:pt idx="6">
                  <c:v>2.0424052677821436</c:v>
                </c:pt>
                <c:pt idx="7">
                  <c:v>2.2138924859726066</c:v>
                </c:pt>
                <c:pt idx="8">
                  <c:v>2.3848779533966926</c:v>
                </c:pt>
                <c:pt idx="9">
                  <c:v>2.5553970643260326</c:v>
                </c:pt>
                <c:pt idx="10">
                  <c:v>2.5553970643260326</c:v>
                </c:pt>
                <c:pt idx="11">
                  <c:v>2.7312065727205748</c:v>
                </c:pt>
                <c:pt idx="12">
                  <c:v>2.9061554048712899</c:v>
                </c:pt>
                <c:pt idx="13">
                  <c:v>3.0802435607781775</c:v>
                </c:pt>
                <c:pt idx="14">
                  <c:v>3.2534710404412395</c:v>
                </c:pt>
                <c:pt idx="15">
                  <c:v>3.4258378438604722</c:v>
                </c:pt>
                <c:pt idx="16">
                  <c:v>3.5973439710358792</c:v>
                </c:pt>
                <c:pt idx="17">
                  <c:v>3.7679894219674579</c:v>
                </c:pt>
                <c:pt idx="18">
                  <c:v>3.9377741966552091</c:v>
                </c:pt>
                <c:pt idx="19">
                  <c:v>4.1066982950991342</c:v>
                </c:pt>
                <c:pt idx="20">
                  <c:v>4.1066982950991342</c:v>
                </c:pt>
                <c:pt idx="21">
                  <c:v>4.8622015050643013</c:v>
                </c:pt>
                <c:pt idx="22">
                  <c:v>5.6177047150294674</c:v>
                </c:pt>
                <c:pt idx="23">
                  <c:v>6.3732079249946327</c:v>
                </c:pt>
                <c:pt idx="24">
                  <c:v>7.1287111349597989</c:v>
                </c:pt>
                <c:pt idx="25">
                  <c:v>7.8842143449249651</c:v>
                </c:pt>
                <c:pt idx="26">
                  <c:v>8.639717554890133</c:v>
                </c:pt>
                <c:pt idx="27">
                  <c:v>9.3952207648552957</c:v>
                </c:pt>
                <c:pt idx="28">
                  <c:v>10.150723974820462</c:v>
                </c:pt>
                <c:pt idx="29">
                  <c:v>10.906227184785632</c:v>
                </c:pt>
                <c:pt idx="30">
                  <c:v>10.906227184785632</c:v>
                </c:pt>
                <c:pt idx="31">
                  <c:v>10.910103587771491</c:v>
                </c:pt>
                <c:pt idx="32">
                  <c:v>10.913979990757353</c:v>
                </c:pt>
                <c:pt idx="33">
                  <c:v>10.917856393743214</c:v>
                </c:pt>
                <c:pt idx="34">
                  <c:v>10.921732796729074</c:v>
                </c:pt>
                <c:pt idx="35">
                  <c:v>10.925609199714936</c:v>
                </c:pt>
                <c:pt idx="36">
                  <c:v>10.929485602700797</c:v>
                </c:pt>
                <c:pt idx="37">
                  <c:v>10.933362005686657</c:v>
                </c:pt>
                <c:pt idx="38">
                  <c:v>10.937238408672519</c:v>
                </c:pt>
                <c:pt idx="39">
                  <c:v>10.94111481165838</c:v>
                </c:pt>
                <c:pt idx="40">
                  <c:v>10.94111481165838</c:v>
                </c:pt>
              </c:numCache>
            </c:numRef>
          </c:yVal>
          <c:smooth val="0"/>
          <c:extLst>
            <c:ext xmlns:c16="http://schemas.microsoft.com/office/drawing/2014/chart" uri="{C3380CC4-5D6E-409C-BE32-E72D297353CC}">
              <c16:uniqueId val="{00000001-8CDF-D04D-A191-7536617D6B6C}"/>
            </c:ext>
          </c:extLst>
        </c:ser>
        <c:dLbls>
          <c:showLegendKey val="0"/>
          <c:showVal val="0"/>
          <c:showCatName val="0"/>
          <c:showSerName val="0"/>
          <c:showPercent val="0"/>
          <c:showBubbleSize val="0"/>
        </c:dLbls>
        <c:axId val="-1123594272"/>
        <c:axId val="-1123591152"/>
      </c:scatterChart>
      <c:valAx>
        <c:axId val="-1123594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Ductility, </a:t>
                </a:r>
                <a:r>
                  <a:rPr lang="el-GR"/>
                  <a:t>μ</a:t>
                </a:r>
                <a:endParaRPr lang="en-US"/>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1152"/>
        <c:crosses val="autoZero"/>
        <c:crossBetween val="midCat"/>
      </c:valAx>
      <c:valAx>
        <c:axId val="-112359115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Strength</a:t>
                </a:r>
                <a:r>
                  <a:rPr lang="en-US" baseline="0"/>
                  <a:t> Factor, R</a:t>
                </a:r>
                <a:endParaRPr lang="en-US"/>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4272"/>
        <c:crosses val="autoZero"/>
        <c:crossBetween val="midCat"/>
      </c:valAx>
      <c:spPr>
        <a:noFill/>
        <a:ln>
          <a:noFill/>
        </a:ln>
        <a:effectLst/>
      </c:spPr>
    </c:plotArea>
    <c:legend>
      <c:legendPos val="b"/>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sz="1800" b="0" i="0" baseline="0">
                <a:effectLst/>
              </a:rPr>
              <a:t>IM = AvgSa (IDA)</a:t>
            </a:r>
            <a:endParaRPr lang="en-US">
              <a:effectLst/>
            </a:endParaRP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81113592972"/>
          <c:y val="0.127541024186582"/>
          <c:w val="0.78324357038571402"/>
          <c:h val="0.66535798826649095"/>
        </c:manualLayout>
      </c:layout>
      <c:scatterChart>
        <c:scatterStyle val="lineMarker"/>
        <c:varyColors val="0"/>
        <c:ser>
          <c:idx val="1"/>
          <c:order val="0"/>
          <c:tx>
            <c:v>SPO</c:v>
          </c:tx>
          <c:spPr>
            <a:ln w="31750" cap="rnd">
              <a:solidFill>
                <a:schemeClr val="tx1"/>
              </a:solidFill>
              <a:round/>
            </a:ln>
            <a:effectLst/>
          </c:spPr>
          <c:marker>
            <c:symbol val="none"/>
          </c:marker>
          <c:xVal>
            <c:numRef>
              <c:f>Input!$I$4:$I$9</c:f>
              <c:numCache>
                <c:formatCode>0.00</c:formatCode>
                <c:ptCount val="6"/>
                <c:pt idx="0">
                  <c:v>0</c:v>
                </c:pt>
                <c:pt idx="1">
                  <c:v>1</c:v>
                </c:pt>
                <c:pt idx="2">
                  <c:v>2.3333333333333335</c:v>
                </c:pt>
                <c:pt idx="3">
                  <c:v>4.3333333333333339</c:v>
                </c:pt>
                <c:pt idx="4">
                  <c:v>16.5</c:v>
                </c:pt>
                <c:pt idx="5">
                  <c:v>16.652366666666666</c:v>
                </c:pt>
              </c:numCache>
            </c:numRef>
          </c:xVal>
          <c:yVal>
            <c:numRef>
              <c:f>Input!$H$4:$H$9</c:f>
              <c:numCache>
                <c:formatCode>0.00</c:formatCode>
                <c:ptCount val="6"/>
                <c:pt idx="0">
                  <c:v>0</c:v>
                </c:pt>
                <c:pt idx="1">
                  <c:v>1</c:v>
                </c:pt>
                <c:pt idx="2">
                  <c:v>1</c:v>
                </c:pt>
                <c:pt idx="3">
                  <c:v>0.70943819279133646</c:v>
                </c:pt>
                <c:pt idx="4">
                  <c:v>0.70943819279133646</c:v>
                </c:pt>
                <c:pt idx="5">
                  <c:v>0</c:v>
                </c:pt>
              </c:numCache>
            </c:numRef>
          </c:yVal>
          <c:smooth val="0"/>
          <c:extLst>
            <c:ext xmlns:c16="http://schemas.microsoft.com/office/drawing/2014/chart" uri="{C3380CC4-5D6E-409C-BE32-E72D297353CC}">
              <c16:uniqueId val="{00000000-8A2A-F64F-9E2E-AF5357A39C7F}"/>
            </c:ext>
          </c:extLst>
        </c:ser>
        <c:ser>
          <c:idx val="0"/>
          <c:order val="1"/>
          <c:tx>
            <c:v>16%</c:v>
          </c:tx>
          <c:spPr>
            <a:ln w="31750" cap="rnd">
              <a:solidFill>
                <a:srgbClr val="00FA00"/>
              </a:solidFill>
              <a:prstDash val="dash"/>
              <a:round/>
            </a:ln>
            <a:effectLst/>
          </c:spPr>
          <c:marker>
            <c:symbol val="none"/>
          </c:marker>
          <c:xVal>
            <c:numRef>
              <c:f>('Output (AvgSa) - IDA'!$F$4:$F$6,'Output (AvgSa) - IDA'!$F$15:$F$16,'Output (AvgSa) - IDA'!$F$25:$F$26,'Output (AvgSa) - IDA'!$F$35:$F$36,'Output (AvgSa) - IDA'!$F$45:$F$46)</c:f>
              <c:numCache>
                <c:formatCode>General</c:formatCode>
                <c:ptCount val="11"/>
                <c:pt idx="0">
                  <c:v>0</c:v>
                </c:pt>
                <c:pt idx="1">
                  <c:v>1</c:v>
                </c:pt>
                <c:pt idx="2" formatCode="0.00">
                  <c:v>1</c:v>
                </c:pt>
                <c:pt idx="3" formatCode="0.00">
                  <c:v>2.3333333333333335</c:v>
                </c:pt>
                <c:pt idx="4" formatCode="0.00">
                  <c:v>2.3333333333333335</c:v>
                </c:pt>
                <c:pt idx="5" formatCode="0.00">
                  <c:v>4.3333333333333339</c:v>
                </c:pt>
                <c:pt idx="6" formatCode="0.00">
                  <c:v>4.3333333333333339</c:v>
                </c:pt>
                <c:pt idx="7" formatCode="0.00">
                  <c:v>16.5</c:v>
                </c:pt>
                <c:pt idx="8" formatCode="0.00">
                  <c:v>16.5</c:v>
                </c:pt>
                <c:pt idx="9" formatCode="0.00">
                  <c:v>16.652366666666666</c:v>
                </c:pt>
                <c:pt idx="10" formatCode="0.00">
                  <c:v>18.652366666666666</c:v>
                </c:pt>
              </c:numCache>
            </c:numRef>
          </c:xVal>
          <c:yVal>
            <c:numRef>
              <c:f>('Output (AvgSa) - IDA'!$G$4:$G$6,'Output (AvgSa) - IDA'!$G$15:$G$16,'Output (AvgSa) - IDA'!$G$25:$G$26,'Output (AvgSa) - IDA'!$G$35:$G$36,'Output (AvgSa) - IDA'!$G$45:$G$46)</c:f>
              <c:numCache>
                <c:formatCode>General</c:formatCode>
                <c:ptCount val="11"/>
                <c:pt idx="0">
                  <c:v>0</c:v>
                </c:pt>
                <c:pt idx="1">
                  <c:v>1</c:v>
                </c:pt>
                <c:pt idx="2" formatCode="0.00">
                  <c:v>1</c:v>
                </c:pt>
                <c:pt idx="3" formatCode="0.00">
                  <c:v>1.3132534861345579</c:v>
                </c:pt>
                <c:pt idx="4" formatCode="0.00">
                  <c:v>1.3132534861345579</c:v>
                </c:pt>
                <c:pt idx="5" formatCode="0.00">
                  <c:v>1.8102096366353919</c:v>
                </c:pt>
                <c:pt idx="6" formatCode="0.00">
                  <c:v>1.8102096366353919</c:v>
                </c:pt>
                <c:pt idx="7" formatCode="0.00">
                  <c:v>2.1060445880989591</c:v>
                </c:pt>
                <c:pt idx="8" formatCode="0.00">
                  <c:v>2.1060445880989591</c:v>
                </c:pt>
                <c:pt idx="9" formatCode="0.00">
                  <c:v>2.1060445880989591</c:v>
                </c:pt>
                <c:pt idx="10" formatCode="0.00">
                  <c:v>2.1060445880989591</c:v>
                </c:pt>
              </c:numCache>
            </c:numRef>
          </c:yVal>
          <c:smooth val="0"/>
          <c:extLst>
            <c:ext xmlns:c16="http://schemas.microsoft.com/office/drawing/2014/chart" uri="{C3380CC4-5D6E-409C-BE32-E72D297353CC}">
              <c16:uniqueId val="{00000001-8A2A-F64F-9E2E-AF5357A39C7F}"/>
            </c:ext>
          </c:extLst>
        </c:ser>
        <c:ser>
          <c:idx val="2"/>
          <c:order val="2"/>
          <c:tx>
            <c:v>50%</c:v>
          </c:tx>
          <c:spPr>
            <a:ln w="38100" cap="rnd">
              <a:solidFill>
                <a:srgbClr val="FF0000"/>
              </a:solidFill>
              <a:round/>
            </a:ln>
            <a:effectLst/>
          </c:spPr>
          <c:marker>
            <c:symbol val="none"/>
          </c:marker>
          <c:xVal>
            <c:numRef>
              <c:f>('Output (AvgSa) - IDA'!$F$4:$F$6,'Output (AvgSa) - IDA'!$F$15:$F$16,'Output (AvgSa) - IDA'!$F$25:$F$26,'Output (AvgSa) - IDA'!$F$35:$F$36,'Output (AvgSa) - IDA'!$F$45:$F$46)</c:f>
              <c:numCache>
                <c:formatCode>General</c:formatCode>
                <c:ptCount val="11"/>
                <c:pt idx="0">
                  <c:v>0</c:v>
                </c:pt>
                <c:pt idx="1">
                  <c:v>1</c:v>
                </c:pt>
                <c:pt idx="2" formatCode="0.00">
                  <c:v>1</c:v>
                </c:pt>
                <c:pt idx="3" formatCode="0.00">
                  <c:v>2.3333333333333335</c:v>
                </c:pt>
                <c:pt idx="4" formatCode="0.00">
                  <c:v>2.3333333333333335</c:v>
                </c:pt>
                <c:pt idx="5" formatCode="0.00">
                  <c:v>4.3333333333333339</c:v>
                </c:pt>
                <c:pt idx="6" formatCode="0.00">
                  <c:v>4.3333333333333339</c:v>
                </c:pt>
                <c:pt idx="7" formatCode="0.00">
                  <c:v>16.5</c:v>
                </c:pt>
                <c:pt idx="8" formatCode="0.00">
                  <c:v>16.5</c:v>
                </c:pt>
                <c:pt idx="9" formatCode="0.00">
                  <c:v>16.652366666666666</c:v>
                </c:pt>
                <c:pt idx="10" formatCode="0.00">
                  <c:v>18.652366666666666</c:v>
                </c:pt>
              </c:numCache>
            </c:numRef>
          </c:xVal>
          <c:yVal>
            <c:numRef>
              <c:f>('Output (AvgSa) - IDA'!$H$4:$H$6,'Output (AvgSa) - IDA'!$H$15:$H$16,'Output (AvgSa) - IDA'!$H$25:$H$26,'Output (AvgSa) - IDA'!$H$35:$H$36,'Output (AvgSa) - IDA'!$H$45:$H$46)</c:f>
              <c:numCache>
                <c:formatCode>General</c:formatCode>
                <c:ptCount val="11"/>
                <c:pt idx="0">
                  <c:v>0</c:v>
                </c:pt>
                <c:pt idx="1">
                  <c:v>1</c:v>
                </c:pt>
                <c:pt idx="2" formatCode="0.00">
                  <c:v>1.0000199999999999</c:v>
                </c:pt>
                <c:pt idx="3" formatCode="0.00">
                  <c:v>1.540480642652936</c:v>
                </c:pt>
                <c:pt idx="4" formatCode="0.00">
                  <c:v>1.540480642652936</c:v>
                </c:pt>
                <c:pt idx="5" formatCode="0.00">
                  <c:v>2.3808728221226572</c:v>
                </c:pt>
                <c:pt idx="6" formatCode="0.00">
                  <c:v>2.3808728221226572</c:v>
                </c:pt>
                <c:pt idx="7" formatCode="0.00">
                  <c:v>2.6011351056970162</c:v>
                </c:pt>
                <c:pt idx="8" formatCode="0.00">
                  <c:v>2.6011351056970162</c:v>
                </c:pt>
                <c:pt idx="9" formatCode="0.00">
                  <c:v>2.6011351056970162</c:v>
                </c:pt>
                <c:pt idx="10" formatCode="0.00">
                  <c:v>2.6011351056970162</c:v>
                </c:pt>
              </c:numCache>
            </c:numRef>
          </c:yVal>
          <c:smooth val="0"/>
          <c:extLst>
            <c:ext xmlns:c16="http://schemas.microsoft.com/office/drawing/2014/chart" uri="{C3380CC4-5D6E-409C-BE32-E72D297353CC}">
              <c16:uniqueId val="{00000002-8A2A-F64F-9E2E-AF5357A39C7F}"/>
            </c:ext>
          </c:extLst>
        </c:ser>
        <c:ser>
          <c:idx val="3"/>
          <c:order val="3"/>
          <c:tx>
            <c:v>84%</c:v>
          </c:tx>
          <c:spPr>
            <a:ln w="31750" cap="rnd">
              <a:solidFill>
                <a:srgbClr val="FF40FF"/>
              </a:solidFill>
              <a:prstDash val="dash"/>
              <a:round/>
            </a:ln>
            <a:effectLst/>
          </c:spPr>
          <c:marker>
            <c:symbol val="none"/>
          </c:marker>
          <c:xVal>
            <c:numRef>
              <c:f>('Output (AvgSa) - IDA'!$F$4:$F$6,'Output (AvgSa) - IDA'!$F$15:$F$16,'Output (AvgSa) - IDA'!$F$25:$F$26,'Output (AvgSa) - IDA'!$F$35:$F$36,'Output (AvgSa) - IDA'!$F$45:$F$46)</c:f>
              <c:numCache>
                <c:formatCode>General</c:formatCode>
                <c:ptCount val="11"/>
                <c:pt idx="0">
                  <c:v>0</c:v>
                </c:pt>
                <c:pt idx="1">
                  <c:v>1</c:v>
                </c:pt>
                <c:pt idx="2" formatCode="0.00">
                  <c:v>1</c:v>
                </c:pt>
                <c:pt idx="3" formatCode="0.00">
                  <c:v>2.3333333333333335</c:v>
                </c:pt>
                <c:pt idx="4" formatCode="0.00">
                  <c:v>2.3333333333333335</c:v>
                </c:pt>
                <c:pt idx="5" formatCode="0.00">
                  <c:v>4.3333333333333339</c:v>
                </c:pt>
                <c:pt idx="6" formatCode="0.00">
                  <c:v>4.3333333333333339</c:v>
                </c:pt>
                <c:pt idx="7" formatCode="0.00">
                  <c:v>16.5</c:v>
                </c:pt>
                <c:pt idx="8" formatCode="0.00">
                  <c:v>16.5</c:v>
                </c:pt>
                <c:pt idx="9" formatCode="0.00">
                  <c:v>16.652366666666666</c:v>
                </c:pt>
                <c:pt idx="10" formatCode="0.00">
                  <c:v>18.652366666666666</c:v>
                </c:pt>
              </c:numCache>
            </c:numRef>
          </c:xVal>
          <c:yVal>
            <c:numRef>
              <c:f>('Output (AvgSa) - IDA'!$I$4:$I$6,'Output (AvgSa) - IDA'!$I$15:$I$16,'Output (AvgSa) - IDA'!$I$25:$I$26,'Output (AvgSa) - IDA'!$I$35:$I$36,'Output (AvgSa) - IDA'!$I$45:$I$46)</c:f>
              <c:numCache>
                <c:formatCode>General</c:formatCode>
                <c:ptCount val="11"/>
                <c:pt idx="0">
                  <c:v>0</c:v>
                </c:pt>
                <c:pt idx="1">
                  <c:v>1</c:v>
                </c:pt>
                <c:pt idx="2" formatCode="0.00">
                  <c:v>1</c:v>
                </c:pt>
                <c:pt idx="3" formatCode="0.00">
                  <c:v>1.8503171442545194</c:v>
                </c:pt>
                <c:pt idx="4" formatCode="0.00">
                  <c:v>1.8503171442545194</c:v>
                </c:pt>
                <c:pt idx="5" formatCode="0.00">
                  <c:v>3.1404735152643193</c:v>
                </c:pt>
                <c:pt idx="6" formatCode="0.00">
                  <c:v>3.1404735152643193</c:v>
                </c:pt>
                <c:pt idx="7" formatCode="0.00">
                  <c:v>3.5425580707386528</c:v>
                </c:pt>
                <c:pt idx="8" formatCode="0.00">
                  <c:v>3.5425580707386528</c:v>
                </c:pt>
                <c:pt idx="9" formatCode="0.00">
                  <c:v>3.5425580707386528</c:v>
                </c:pt>
                <c:pt idx="10" formatCode="0.00">
                  <c:v>3.5425580707386528</c:v>
                </c:pt>
              </c:numCache>
            </c:numRef>
          </c:yVal>
          <c:smooth val="0"/>
          <c:extLst>
            <c:ext xmlns:c16="http://schemas.microsoft.com/office/drawing/2014/chart" uri="{C3380CC4-5D6E-409C-BE32-E72D297353CC}">
              <c16:uniqueId val="{00000003-8A2A-F64F-9E2E-AF5357A39C7F}"/>
            </c:ext>
          </c:extLst>
        </c:ser>
        <c:dLbls>
          <c:showLegendKey val="0"/>
          <c:showVal val="0"/>
          <c:showCatName val="0"/>
          <c:showSerName val="0"/>
          <c:showPercent val="0"/>
          <c:showBubbleSize val="0"/>
        </c:dLbls>
        <c:axId val="-1123594272"/>
        <c:axId val="-1123591152"/>
      </c:scatterChart>
      <c:valAx>
        <c:axId val="-1123594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Ductility, </a:t>
                </a:r>
                <a:r>
                  <a:rPr lang="el-GR"/>
                  <a:t>μ</a:t>
                </a:r>
                <a:endParaRPr lang="en-US"/>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1152"/>
        <c:crosses val="autoZero"/>
        <c:crossBetween val="midCat"/>
      </c:valAx>
      <c:valAx>
        <c:axId val="-112359115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Strength</a:t>
                </a:r>
                <a:r>
                  <a:rPr lang="en-US" baseline="0"/>
                  <a:t> Factor, R</a:t>
                </a:r>
                <a:endParaRPr lang="en-US"/>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4272"/>
        <c:crosses val="autoZero"/>
        <c:crossBetween val="midCat"/>
      </c:valAx>
      <c:spPr>
        <a:noFill/>
        <a:ln>
          <a:noFill/>
        </a:ln>
        <a:effectLst/>
      </c:spPr>
    </c:plotArea>
    <c:legend>
      <c:legendPos val="b"/>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sz="1800" b="0" i="0" baseline="0">
                <a:effectLst/>
              </a:rPr>
              <a:t>IM = AvgSa (Cloud)</a:t>
            </a:r>
            <a:endParaRPr lang="en-US">
              <a:effectLst/>
            </a:endParaRP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81113592972"/>
          <c:y val="0.127541024186582"/>
          <c:w val="0.78324357038571402"/>
          <c:h val="0.66535798826649095"/>
        </c:manualLayout>
      </c:layout>
      <c:scatterChart>
        <c:scatterStyle val="lineMarker"/>
        <c:varyColors val="0"/>
        <c:ser>
          <c:idx val="3"/>
          <c:order val="0"/>
          <c:tx>
            <c:v>SPO</c:v>
          </c:tx>
          <c:spPr>
            <a:ln w="31750" cap="rnd">
              <a:solidFill>
                <a:schemeClr val="tx1"/>
              </a:solidFill>
              <a:round/>
            </a:ln>
            <a:effectLst/>
          </c:spPr>
          <c:marker>
            <c:symbol val="none"/>
          </c:marker>
          <c:xVal>
            <c:numRef>
              <c:f>Input!$I$4:$I$9</c:f>
              <c:numCache>
                <c:formatCode>0.00</c:formatCode>
                <c:ptCount val="6"/>
                <c:pt idx="0">
                  <c:v>0</c:v>
                </c:pt>
                <c:pt idx="1">
                  <c:v>1</c:v>
                </c:pt>
                <c:pt idx="2">
                  <c:v>2.3333333333333335</c:v>
                </c:pt>
                <c:pt idx="3">
                  <c:v>4.3333333333333339</c:v>
                </c:pt>
                <c:pt idx="4">
                  <c:v>16.5</c:v>
                </c:pt>
                <c:pt idx="5">
                  <c:v>16.652366666666666</c:v>
                </c:pt>
              </c:numCache>
            </c:numRef>
          </c:xVal>
          <c:yVal>
            <c:numRef>
              <c:f>Input!$H$4:$H$9</c:f>
              <c:numCache>
                <c:formatCode>0.00</c:formatCode>
                <c:ptCount val="6"/>
                <c:pt idx="0">
                  <c:v>0</c:v>
                </c:pt>
                <c:pt idx="1">
                  <c:v>1</c:v>
                </c:pt>
                <c:pt idx="2">
                  <c:v>1</c:v>
                </c:pt>
                <c:pt idx="3">
                  <c:v>0.70943819279133646</c:v>
                </c:pt>
                <c:pt idx="4">
                  <c:v>0.70943819279133646</c:v>
                </c:pt>
                <c:pt idx="5">
                  <c:v>0</c:v>
                </c:pt>
              </c:numCache>
            </c:numRef>
          </c:yVal>
          <c:smooth val="0"/>
          <c:extLst>
            <c:ext xmlns:c16="http://schemas.microsoft.com/office/drawing/2014/chart" uri="{C3380CC4-5D6E-409C-BE32-E72D297353CC}">
              <c16:uniqueId val="{00000001-1941-4E4D-A88A-9814CF4FFCD5}"/>
            </c:ext>
          </c:extLst>
        </c:ser>
        <c:ser>
          <c:idx val="0"/>
          <c:order val="1"/>
          <c:tx>
            <c:v>16%</c:v>
          </c:tx>
          <c:spPr>
            <a:ln w="31750" cap="rnd">
              <a:solidFill>
                <a:srgbClr val="00FB00"/>
              </a:solidFill>
              <a:prstDash val="dash"/>
              <a:round/>
            </a:ln>
            <a:effectLst/>
          </c:spPr>
          <c:marker>
            <c:symbol val="none"/>
          </c:marker>
          <c:xVal>
            <c:numRef>
              <c:f>'Coefficients (AvgSa) - Cloud'!$B$6:$B$47</c:f>
              <c:numCache>
                <c:formatCode>0.00</c:formatCode>
                <c:ptCount val="42"/>
                <c:pt idx="0">
                  <c:v>0</c:v>
                </c:pt>
                <c:pt idx="1">
                  <c:v>1</c:v>
                </c:pt>
                <c:pt idx="2">
                  <c:v>1.3913091666666666</c:v>
                </c:pt>
                <c:pt idx="3">
                  <c:v>1.7826183333333332</c:v>
                </c:pt>
                <c:pt idx="4">
                  <c:v>2.1739275</c:v>
                </c:pt>
                <c:pt idx="5">
                  <c:v>2.5652366666666668</c:v>
                </c:pt>
                <c:pt idx="6">
                  <c:v>2.9565458333333337</c:v>
                </c:pt>
                <c:pt idx="7">
                  <c:v>3.3478550000000005</c:v>
                </c:pt>
                <c:pt idx="8">
                  <c:v>3.7391641666666673</c:v>
                </c:pt>
                <c:pt idx="9">
                  <c:v>4.1304733333333337</c:v>
                </c:pt>
                <c:pt idx="10">
                  <c:v>4.5217825000000005</c:v>
                </c:pt>
                <c:pt idx="11">
                  <c:v>4.9130916666666673</c:v>
                </c:pt>
                <c:pt idx="12">
                  <c:v>5.3044008333333341</c:v>
                </c:pt>
                <c:pt idx="13">
                  <c:v>5.6957100000000009</c:v>
                </c:pt>
                <c:pt idx="14">
                  <c:v>6.0870191666666678</c:v>
                </c:pt>
                <c:pt idx="15">
                  <c:v>6.4783283333333346</c:v>
                </c:pt>
                <c:pt idx="16">
                  <c:v>6.8696375000000014</c:v>
                </c:pt>
                <c:pt idx="17">
                  <c:v>7.2609466666666682</c:v>
                </c:pt>
                <c:pt idx="18">
                  <c:v>7.652255833333335</c:v>
                </c:pt>
                <c:pt idx="19">
                  <c:v>8.043565000000001</c:v>
                </c:pt>
                <c:pt idx="20">
                  <c:v>8.4348741666666669</c:v>
                </c:pt>
                <c:pt idx="21">
                  <c:v>8.8261833333333328</c:v>
                </c:pt>
                <c:pt idx="22">
                  <c:v>9.2174924999999988</c:v>
                </c:pt>
                <c:pt idx="23">
                  <c:v>9.6088016666666647</c:v>
                </c:pt>
                <c:pt idx="24">
                  <c:v>10.000110833333331</c:v>
                </c:pt>
                <c:pt idx="25">
                  <c:v>10.391419999999997</c:v>
                </c:pt>
                <c:pt idx="26">
                  <c:v>10.782729166666662</c:v>
                </c:pt>
                <c:pt idx="27">
                  <c:v>11.174038333333328</c:v>
                </c:pt>
                <c:pt idx="28">
                  <c:v>11.565347499999994</c:v>
                </c:pt>
                <c:pt idx="29">
                  <c:v>11.95665666666666</c:v>
                </c:pt>
                <c:pt idx="30">
                  <c:v>12.347965833333326</c:v>
                </c:pt>
                <c:pt idx="31">
                  <c:v>12.739274999999992</c:v>
                </c:pt>
                <c:pt idx="32">
                  <c:v>13.130584166666658</c:v>
                </c:pt>
                <c:pt idx="33">
                  <c:v>13.521893333333324</c:v>
                </c:pt>
                <c:pt idx="34">
                  <c:v>13.91320249999999</c:v>
                </c:pt>
                <c:pt idx="35">
                  <c:v>14.304511666666656</c:v>
                </c:pt>
                <c:pt idx="36">
                  <c:v>14.695820833333322</c:v>
                </c:pt>
                <c:pt idx="37">
                  <c:v>15.087129999999988</c:v>
                </c:pt>
                <c:pt idx="38">
                  <c:v>15.478439166666654</c:v>
                </c:pt>
                <c:pt idx="39">
                  <c:v>15.86974833333332</c:v>
                </c:pt>
                <c:pt idx="40">
                  <c:v>16.261057499999986</c:v>
                </c:pt>
                <c:pt idx="41">
                  <c:v>16.652366666666666</c:v>
                </c:pt>
              </c:numCache>
            </c:numRef>
          </c:xVal>
          <c:yVal>
            <c:numRef>
              <c:f>'Coefficients (AvgSa) - Cloud'!$D$6:$D$47</c:f>
              <c:numCache>
                <c:formatCode>0.00</c:formatCode>
                <c:ptCount val="42"/>
                <c:pt idx="0">
                  <c:v>0</c:v>
                </c:pt>
                <c:pt idx="1">
                  <c:v>0.73</c:v>
                </c:pt>
                <c:pt idx="2">
                  <c:v>0.82383655122081967</c:v>
                </c:pt>
                <c:pt idx="3">
                  <c:v>0.94370508188800872</c:v>
                </c:pt>
                <c:pt idx="4">
                  <c:v>1.0521453365383053</c:v>
                </c:pt>
                <c:pt idx="5">
                  <c:v>1.1520594746407875</c:v>
                </c:pt>
                <c:pt idx="6">
                  <c:v>1.2452873280437076</c:v>
                </c:pt>
                <c:pt idx="7">
                  <c:v>1.3330837671826841</c:v>
                </c:pt>
                <c:pt idx="8">
                  <c:v>1.4163508729372718</c:v>
                </c:pt>
                <c:pt idx="9">
                  <c:v>1.4957633758969182</c:v>
                </c:pt>
                <c:pt idx="10">
                  <c:v>1.5718418869217521</c:v>
                </c:pt>
                <c:pt idx="11">
                  <c:v>1.6449982770084302</c:v>
                </c:pt>
                <c:pt idx="12">
                  <c:v>1.7155651662391378</c:v>
                </c:pt>
                <c:pt idx="13">
                  <c:v>1.783815843717413</c:v>
                </c:pt>
                <c:pt idx="14">
                  <c:v>1.8499781648166786</c:v>
                </c:pt>
                <c:pt idx="15">
                  <c:v>1.9142445149592924</c:v>
                </c:pt>
                <c:pt idx="16">
                  <c:v>1.9767791224190008</c:v>
                </c:pt>
                <c:pt idx="17">
                  <c:v>2.0377235355235008</c:v>
                </c:pt>
                <c:pt idx="18">
                  <c:v>2.0972007985901495</c:v>
                </c:pt>
                <c:pt idx="19">
                  <c:v>2.1553186861291733</c:v>
                </c:pt>
                <c:pt idx="20">
                  <c:v>2.2121722429271933</c:v>
                </c:pt>
                <c:pt idx="21">
                  <c:v>2.2678458041013112</c:v>
                </c:pt>
                <c:pt idx="22">
                  <c:v>2.3224146198023883</c:v>
                </c:pt>
                <c:pt idx="23">
                  <c:v>2.3759461753536208</c:v>
                </c:pt>
                <c:pt idx="24">
                  <c:v>2.4285012739311567</c:v>
                </c:pt>
                <c:pt idx="25">
                  <c:v>2.4801349320718282</c:v>
                </c:pt>
                <c:pt idx="26">
                  <c:v>2.5308971261602573</c:v>
                </c:pt>
                <c:pt idx="27">
                  <c:v>2.5808334191746747</c:v>
                </c:pt>
                <c:pt idx="28">
                  <c:v>2.6299854903986111</c:v>
                </c:pt>
                <c:pt idx="29">
                  <c:v>2.6783915858803029</c:v>
                </c:pt>
                <c:pt idx="30">
                  <c:v>2.7260869036902662</c:v>
                </c:pt>
                <c:pt idx="31">
                  <c:v>2.7731039251720957</c:v>
                </c:pt>
                <c:pt idx="32">
                  <c:v>2.8194727011759966</c:v>
                </c:pt>
                <c:pt idx="33">
                  <c:v>2.8652211005460382</c:v>
                </c:pt>
                <c:pt idx="34">
                  <c:v>2.9103750267821829</c:v>
                </c:pt>
                <c:pt idx="35">
                  <c:v>2.9549586077296159</c:v>
                </c:pt>
                <c:pt idx="36">
                  <c:v>2.9989943622960382</c:v>
                </c:pt>
                <c:pt idx="37">
                  <c:v>3.0425033475138905</c:v>
                </c:pt>
                <c:pt idx="38">
                  <c:v>3.0855052887122758</c:v>
                </c:pt>
                <c:pt idx="39">
                  <c:v>3.1280186951146263</c:v>
                </c:pt>
                <c:pt idx="40">
                  <c:v>3.1700609628115393</c:v>
                </c:pt>
                <c:pt idx="41">
                  <c:v>3.2116484667569982</c:v>
                </c:pt>
              </c:numCache>
            </c:numRef>
          </c:yVal>
          <c:smooth val="0"/>
          <c:extLst>
            <c:ext xmlns:c16="http://schemas.microsoft.com/office/drawing/2014/chart" uri="{C3380CC4-5D6E-409C-BE32-E72D297353CC}">
              <c16:uniqueId val="{00000005-6EB5-DC48-8A2C-8798CE700CC7}"/>
            </c:ext>
          </c:extLst>
        </c:ser>
        <c:ser>
          <c:idx val="2"/>
          <c:order val="2"/>
          <c:tx>
            <c:v>50%</c:v>
          </c:tx>
          <c:spPr>
            <a:ln w="38100" cap="rnd">
              <a:solidFill>
                <a:srgbClr val="FF0000"/>
              </a:solidFill>
              <a:round/>
            </a:ln>
            <a:effectLst/>
          </c:spPr>
          <c:marker>
            <c:symbol val="none"/>
          </c:marker>
          <c:xVal>
            <c:numRef>
              <c:f>'Coefficients (AvgSa) - Cloud'!$B$6:$B$47</c:f>
              <c:numCache>
                <c:formatCode>0.00</c:formatCode>
                <c:ptCount val="42"/>
                <c:pt idx="0">
                  <c:v>0</c:v>
                </c:pt>
                <c:pt idx="1">
                  <c:v>1</c:v>
                </c:pt>
                <c:pt idx="2">
                  <c:v>1.3913091666666666</c:v>
                </c:pt>
                <c:pt idx="3">
                  <c:v>1.7826183333333332</c:v>
                </c:pt>
                <c:pt idx="4">
                  <c:v>2.1739275</c:v>
                </c:pt>
                <c:pt idx="5">
                  <c:v>2.5652366666666668</c:v>
                </c:pt>
                <c:pt idx="6">
                  <c:v>2.9565458333333337</c:v>
                </c:pt>
                <c:pt idx="7">
                  <c:v>3.3478550000000005</c:v>
                </c:pt>
                <c:pt idx="8">
                  <c:v>3.7391641666666673</c:v>
                </c:pt>
                <c:pt idx="9">
                  <c:v>4.1304733333333337</c:v>
                </c:pt>
                <c:pt idx="10">
                  <c:v>4.5217825000000005</c:v>
                </c:pt>
                <c:pt idx="11">
                  <c:v>4.9130916666666673</c:v>
                </c:pt>
                <c:pt idx="12">
                  <c:v>5.3044008333333341</c:v>
                </c:pt>
                <c:pt idx="13">
                  <c:v>5.6957100000000009</c:v>
                </c:pt>
                <c:pt idx="14">
                  <c:v>6.0870191666666678</c:v>
                </c:pt>
                <c:pt idx="15">
                  <c:v>6.4783283333333346</c:v>
                </c:pt>
                <c:pt idx="16">
                  <c:v>6.8696375000000014</c:v>
                </c:pt>
                <c:pt idx="17">
                  <c:v>7.2609466666666682</c:v>
                </c:pt>
                <c:pt idx="18">
                  <c:v>7.652255833333335</c:v>
                </c:pt>
                <c:pt idx="19">
                  <c:v>8.043565000000001</c:v>
                </c:pt>
                <c:pt idx="20">
                  <c:v>8.4348741666666669</c:v>
                </c:pt>
                <c:pt idx="21">
                  <c:v>8.8261833333333328</c:v>
                </c:pt>
                <c:pt idx="22">
                  <c:v>9.2174924999999988</c:v>
                </c:pt>
                <c:pt idx="23">
                  <c:v>9.6088016666666647</c:v>
                </c:pt>
                <c:pt idx="24">
                  <c:v>10.000110833333331</c:v>
                </c:pt>
                <c:pt idx="25">
                  <c:v>10.391419999999997</c:v>
                </c:pt>
                <c:pt idx="26">
                  <c:v>10.782729166666662</c:v>
                </c:pt>
                <c:pt idx="27">
                  <c:v>11.174038333333328</c:v>
                </c:pt>
                <c:pt idx="28">
                  <c:v>11.565347499999994</c:v>
                </c:pt>
                <c:pt idx="29">
                  <c:v>11.95665666666666</c:v>
                </c:pt>
                <c:pt idx="30">
                  <c:v>12.347965833333326</c:v>
                </c:pt>
                <c:pt idx="31">
                  <c:v>12.739274999999992</c:v>
                </c:pt>
                <c:pt idx="32">
                  <c:v>13.130584166666658</c:v>
                </c:pt>
                <c:pt idx="33">
                  <c:v>13.521893333333324</c:v>
                </c:pt>
                <c:pt idx="34">
                  <c:v>13.91320249999999</c:v>
                </c:pt>
                <c:pt idx="35">
                  <c:v>14.304511666666656</c:v>
                </c:pt>
                <c:pt idx="36">
                  <c:v>14.695820833333322</c:v>
                </c:pt>
                <c:pt idx="37">
                  <c:v>15.087129999999988</c:v>
                </c:pt>
                <c:pt idx="38">
                  <c:v>15.478439166666654</c:v>
                </c:pt>
                <c:pt idx="39">
                  <c:v>15.86974833333332</c:v>
                </c:pt>
                <c:pt idx="40">
                  <c:v>16.261057499999986</c:v>
                </c:pt>
                <c:pt idx="41">
                  <c:v>16.652366666666666</c:v>
                </c:pt>
              </c:numCache>
            </c:numRef>
          </c:xVal>
          <c:yVal>
            <c:numRef>
              <c:f>'Coefficients (AvgSa) - Cloud'!$E$6:$E$47</c:f>
              <c:numCache>
                <c:formatCode>0.00</c:formatCode>
                <c:ptCount val="42"/>
                <c:pt idx="0">
                  <c:v>0</c:v>
                </c:pt>
                <c:pt idx="1">
                  <c:v>1</c:v>
                </c:pt>
                <c:pt idx="2">
                  <c:v>1.128543220850438</c:v>
                </c:pt>
                <c:pt idx="3">
                  <c:v>1.2927466875178202</c:v>
                </c:pt>
                <c:pt idx="4">
                  <c:v>1.4412949815593223</c:v>
                </c:pt>
                <c:pt idx="5">
                  <c:v>1.5781636638914898</c:v>
                </c:pt>
                <c:pt idx="6">
                  <c:v>1.7058730521146681</c:v>
                </c:pt>
                <c:pt idx="7">
                  <c:v>1.8261421468255947</c:v>
                </c:pt>
                <c:pt idx="8">
                  <c:v>1.9402066752565368</c:v>
                </c:pt>
                <c:pt idx="9">
                  <c:v>2.0489909258861894</c:v>
                </c:pt>
                <c:pt idx="10">
                  <c:v>2.1532080642763729</c:v>
                </c:pt>
                <c:pt idx="11">
                  <c:v>2.2534222972718223</c:v>
                </c:pt>
                <c:pt idx="12">
                  <c:v>2.3500892688207369</c:v>
                </c:pt>
                <c:pt idx="13">
                  <c:v>2.4435833475580999</c:v>
                </c:pt>
                <c:pt idx="14">
                  <c:v>2.5342166641324364</c:v>
                </c:pt>
                <c:pt idx="15">
                  <c:v>2.6222527602182089</c:v>
                </c:pt>
                <c:pt idx="16">
                  <c:v>2.7079166060534257</c:v>
                </c:pt>
                <c:pt idx="17">
                  <c:v>2.7914021034568508</c:v>
                </c:pt>
                <c:pt idx="18">
                  <c:v>2.8728778062878764</c:v>
                </c:pt>
                <c:pt idx="19">
                  <c:v>2.9524913508618811</c:v>
                </c:pt>
                <c:pt idx="20">
                  <c:v>3.0303729355167031</c:v>
                </c:pt>
                <c:pt idx="21">
                  <c:v>3.106638087810015</c:v>
                </c:pt>
                <c:pt idx="22">
                  <c:v>3.1813898901402582</c:v>
                </c:pt>
                <c:pt idx="23">
                  <c:v>3.254720788155645</c:v>
                </c:pt>
                <c:pt idx="24">
                  <c:v>3.3267140738782968</c:v>
                </c:pt>
                <c:pt idx="25">
                  <c:v>3.3974451124271621</c:v>
                </c:pt>
                <c:pt idx="26">
                  <c:v>3.4669823646030924</c:v>
                </c:pt>
                <c:pt idx="27">
                  <c:v>3.5353882454447603</c:v>
                </c:pt>
                <c:pt idx="28">
                  <c:v>3.6027198498611108</c:v>
                </c:pt>
                <c:pt idx="29">
                  <c:v>3.6690295696990454</c:v>
                </c:pt>
                <c:pt idx="30">
                  <c:v>3.7343656214935153</c:v>
                </c:pt>
                <c:pt idx="31">
                  <c:v>3.7987725002357475</c:v>
                </c:pt>
                <c:pt idx="32">
                  <c:v>3.8622913714739679</c:v>
                </c:pt>
                <c:pt idx="33">
                  <c:v>3.9249604117069015</c:v>
                </c:pt>
                <c:pt idx="34">
                  <c:v>3.9868151051810723</c:v>
                </c:pt>
                <c:pt idx="35">
                  <c:v>4.0478885037392001</c:v>
                </c:pt>
                <c:pt idx="36">
                  <c:v>4.1082114552000526</c:v>
                </c:pt>
                <c:pt idx="37">
                  <c:v>4.1678128048135488</c:v>
                </c:pt>
                <c:pt idx="38">
                  <c:v>4.2267195735784604</c:v>
                </c:pt>
                <c:pt idx="39">
                  <c:v>4.2849571165953781</c:v>
                </c:pt>
                <c:pt idx="40">
                  <c:v>4.3425492641253962</c:v>
                </c:pt>
                <c:pt idx="41">
                  <c:v>4.3995184476123264</c:v>
                </c:pt>
              </c:numCache>
            </c:numRef>
          </c:yVal>
          <c:smooth val="0"/>
          <c:extLst>
            <c:ext xmlns:c16="http://schemas.microsoft.com/office/drawing/2014/chart" uri="{C3380CC4-5D6E-409C-BE32-E72D297353CC}">
              <c16:uniqueId val="{00000002-6EB5-DC48-8A2C-8798CE700CC7}"/>
            </c:ext>
          </c:extLst>
        </c:ser>
        <c:ser>
          <c:idx val="1"/>
          <c:order val="3"/>
          <c:tx>
            <c:v>84%</c:v>
          </c:tx>
          <c:spPr>
            <a:ln w="31750" cap="rnd">
              <a:solidFill>
                <a:srgbClr val="FF40FF"/>
              </a:solidFill>
              <a:prstDash val="dash"/>
              <a:round/>
            </a:ln>
            <a:effectLst/>
          </c:spPr>
          <c:marker>
            <c:symbol val="none"/>
          </c:marker>
          <c:xVal>
            <c:numRef>
              <c:f>'Coefficients (AvgSa) - Cloud'!$B$6:$B$47</c:f>
              <c:numCache>
                <c:formatCode>0.00</c:formatCode>
                <c:ptCount val="42"/>
                <c:pt idx="0">
                  <c:v>0</c:v>
                </c:pt>
                <c:pt idx="1">
                  <c:v>1</c:v>
                </c:pt>
                <c:pt idx="2">
                  <c:v>1.3913091666666666</c:v>
                </c:pt>
                <c:pt idx="3">
                  <c:v>1.7826183333333332</c:v>
                </c:pt>
                <c:pt idx="4">
                  <c:v>2.1739275</c:v>
                </c:pt>
                <c:pt idx="5">
                  <c:v>2.5652366666666668</c:v>
                </c:pt>
                <c:pt idx="6">
                  <c:v>2.9565458333333337</c:v>
                </c:pt>
                <c:pt idx="7">
                  <c:v>3.3478550000000005</c:v>
                </c:pt>
                <c:pt idx="8">
                  <c:v>3.7391641666666673</c:v>
                </c:pt>
                <c:pt idx="9">
                  <c:v>4.1304733333333337</c:v>
                </c:pt>
                <c:pt idx="10">
                  <c:v>4.5217825000000005</c:v>
                </c:pt>
                <c:pt idx="11">
                  <c:v>4.9130916666666673</c:v>
                </c:pt>
                <c:pt idx="12">
                  <c:v>5.3044008333333341</c:v>
                </c:pt>
                <c:pt idx="13">
                  <c:v>5.6957100000000009</c:v>
                </c:pt>
                <c:pt idx="14">
                  <c:v>6.0870191666666678</c:v>
                </c:pt>
                <c:pt idx="15">
                  <c:v>6.4783283333333346</c:v>
                </c:pt>
                <c:pt idx="16">
                  <c:v>6.8696375000000014</c:v>
                </c:pt>
                <c:pt idx="17">
                  <c:v>7.2609466666666682</c:v>
                </c:pt>
                <c:pt idx="18">
                  <c:v>7.652255833333335</c:v>
                </c:pt>
                <c:pt idx="19">
                  <c:v>8.043565000000001</c:v>
                </c:pt>
                <c:pt idx="20">
                  <c:v>8.4348741666666669</c:v>
                </c:pt>
                <c:pt idx="21">
                  <c:v>8.8261833333333328</c:v>
                </c:pt>
                <c:pt idx="22">
                  <c:v>9.2174924999999988</c:v>
                </c:pt>
                <c:pt idx="23">
                  <c:v>9.6088016666666647</c:v>
                </c:pt>
                <c:pt idx="24">
                  <c:v>10.000110833333331</c:v>
                </c:pt>
                <c:pt idx="25">
                  <c:v>10.391419999999997</c:v>
                </c:pt>
                <c:pt idx="26">
                  <c:v>10.782729166666662</c:v>
                </c:pt>
                <c:pt idx="27">
                  <c:v>11.174038333333328</c:v>
                </c:pt>
                <c:pt idx="28">
                  <c:v>11.565347499999994</c:v>
                </c:pt>
                <c:pt idx="29">
                  <c:v>11.95665666666666</c:v>
                </c:pt>
                <c:pt idx="30">
                  <c:v>12.347965833333326</c:v>
                </c:pt>
                <c:pt idx="31">
                  <c:v>12.739274999999992</c:v>
                </c:pt>
                <c:pt idx="32">
                  <c:v>13.130584166666658</c:v>
                </c:pt>
                <c:pt idx="33">
                  <c:v>13.521893333333324</c:v>
                </c:pt>
                <c:pt idx="34">
                  <c:v>13.91320249999999</c:v>
                </c:pt>
                <c:pt idx="35">
                  <c:v>14.304511666666656</c:v>
                </c:pt>
                <c:pt idx="36">
                  <c:v>14.695820833333322</c:v>
                </c:pt>
                <c:pt idx="37">
                  <c:v>15.087129999999988</c:v>
                </c:pt>
                <c:pt idx="38">
                  <c:v>15.478439166666654</c:v>
                </c:pt>
                <c:pt idx="39">
                  <c:v>15.86974833333332</c:v>
                </c:pt>
                <c:pt idx="40">
                  <c:v>16.261057499999986</c:v>
                </c:pt>
                <c:pt idx="41">
                  <c:v>16.652366666666666</c:v>
                </c:pt>
              </c:numCache>
            </c:numRef>
          </c:xVal>
          <c:yVal>
            <c:numRef>
              <c:f>'Coefficients (AvgSa) - Cloud'!$F$6:$F$47</c:f>
              <c:numCache>
                <c:formatCode>0.00</c:formatCode>
                <c:ptCount val="42"/>
                <c:pt idx="0">
                  <c:v>0</c:v>
                </c:pt>
                <c:pt idx="1">
                  <c:v>1.27</c:v>
                </c:pt>
                <c:pt idx="2">
                  <c:v>1.4332498904800564</c:v>
                </c:pt>
                <c:pt idx="3">
                  <c:v>1.6417882931476315</c:v>
                </c:pt>
                <c:pt idx="4">
                  <c:v>1.8304446265803394</c:v>
                </c:pt>
                <c:pt idx="5">
                  <c:v>2.004267853142192</c:v>
                </c:pt>
                <c:pt idx="6">
                  <c:v>2.1664587761856287</c:v>
                </c:pt>
                <c:pt idx="7">
                  <c:v>2.3192005264685052</c:v>
                </c:pt>
                <c:pt idx="8">
                  <c:v>2.4640624775758018</c:v>
                </c:pt>
                <c:pt idx="9">
                  <c:v>2.6022184758754605</c:v>
                </c:pt>
                <c:pt idx="10">
                  <c:v>2.7345742416309937</c:v>
                </c:pt>
                <c:pt idx="11">
                  <c:v>2.8618463175352145</c:v>
                </c:pt>
                <c:pt idx="12">
                  <c:v>2.984613371402336</c:v>
                </c:pt>
                <c:pt idx="13">
                  <c:v>3.1033508513987869</c:v>
                </c:pt>
                <c:pt idx="14">
                  <c:v>3.2184551634481942</c:v>
                </c:pt>
                <c:pt idx="15">
                  <c:v>3.3302610054771256</c:v>
                </c:pt>
                <c:pt idx="16">
                  <c:v>3.4390540896878505</c:v>
                </c:pt>
                <c:pt idx="17">
                  <c:v>3.5450806713902008</c:v>
                </c:pt>
                <c:pt idx="18">
                  <c:v>3.6485548139856032</c:v>
                </c:pt>
                <c:pt idx="19">
                  <c:v>3.7496640155945888</c:v>
                </c:pt>
                <c:pt idx="20">
                  <c:v>3.8485736281062128</c:v>
                </c:pt>
                <c:pt idx="21">
                  <c:v>3.9454303715187189</c:v>
                </c:pt>
                <c:pt idx="22">
                  <c:v>4.0403651604781281</c:v>
                </c:pt>
                <c:pt idx="23">
                  <c:v>4.1334954009576688</c:v>
                </c:pt>
                <c:pt idx="24">
                  <c:v>4.2249268738254369</c:v>
                </c:pt>
                <c:pt idx="25">
                  <c:v>4.3147552927824959</c:v>
                </c:pt>
                <c:pt idx="26">
                  <c:v>4.403067603045927</c:v>
                </c:pt>
                <c:pt idx="27">
                  <c:v>4.4899430717148459</c:v>
                </c:pt>
                <c:pt idx="28">
                  <c:v>4.5754542093236106</c:v>
                </c:pt>
                <c:pt idx="29">
                  <c:v>4.6596675535177878</c:v>
                </c:pt>
                <c:pt idx="30">
                  <c:v>4.7426443392967643</c:v>
                </c:pt>
                <c:pt idx="31">
                  <c:v>4.8244410752993989</c:v>
                </c:pt>
                <c:pt idx="32">
                  <c:v>4.9051100417719393</c:v>
                </c:pt>
                <c:pt idx="33">
                  <c:v>4.9846997228677647</c:v>
                </c:pt>
                <c:pt idx="34">
                  <c:v>5.0632551835799617</c:v>
                </c:pt>
                <c:pt idx="35">
                  <c:v>5.1408183997487846</c:v>
                </c:pt>
                <c:pt idx="36">
                  <c:v>5.217428548104067</c:v>
                </c:pt>
                <c:pt idx="37">
                  <c:v>5.293122262113207</c:v>
                </c:pt>
                <c:pt idx="38">
                  <c:v>5.367933858444645</c:v>
                </c:pt>
                <c:pt idx="39">
                  <c:v>5.44189553807613</c:v>
                </c:pt>
                <c:pt idx="40">
                  <c:v>5.5150375654392532</c:v>
                </c:pt>
                <c:pt idx="41">
                  <c:v>5.5873884284676549</c:v>
                </c:pt>
              </c:numCache>
            </c:numRef>
          </c:yVal>
          <c:smooth val="0"/>
          <c:extLst>
            <c:ext xmlns:c16="http://schemas.microsoft.com/office/drawing/2014/chart" uri="{C3380CC4-5D6E-409C-BE32-E72D297353CC}">
              <c16:uniqueId val="{00000006-6EB5-DC48-8A2C-8798CE700CC7}"/>
            </c:ext>
          </c:extLst>
        </c:ser>
        <c:dLbls>
          <c:showLegendKey val="0"/>
          <c:showVal val="0"/>
          <c:showCatName val="0"/>
          <c:showSerName val="0"/>
          <c:showPercent val="0"/>
          <c:showBubbleSize val="0"/>
        </c:dLbls>
        <c:axId val="-1123594272"/>
        <c:axId val="-1123591152"/>
      </c:scatterChart>
      <c:valAx>
        <c:axId val="-112359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1152"/>
        <c:crosses val="autoZero"/>
        <c:crossBetween val="midCat"/>
      </c:valAx>
      <c:valAx>
        <c:axId val="-112359115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800" b="0" i="0" baseline="0">
                    <a:effectLst/>
                  </a:rPr>
                  <a:t>Strength Factor, 𝞺</a:t>
                </a:r>
                <a:endParaRPr lang="en-US">
                  <a:effectLst/>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3594272"/>
        <c:crosses val="autoZero"/>
        <c:crossBetween val="midCat"/>
      </c:valAx>
      <c:spPr>
        <a:noFill/>
        <a:ln>
          <a:noFill/>
        </a:ln>
        <a:effectLst/>
      </c:spPr>
    </c:plotArea>
    <c:legend>
      <c:legendPos val="b"/>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3504</xdr:colOff>
      <xdr:row>9</xdr:row>
      <xdr:rowOff>199696</xdr:rowOff>
    </xdr:from>
    <xdr:to>
      <xdr:col>9</xdr:col>
      <xdr:colOff>812800</xdr:colOff>
      <xdr:row>29</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19</xdr:row>
      <xdr:rowOff>135467</xdr:rowOff>
    </xdr:from>
    <xdr:to>
      <xdr:col>19</xdr:col>
      <xdr:colOff>517196</xdr:colOff>
      <xdr:row>38</xdr:row>
      <xdr:rowOff>202471</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39</xdr:row>
      <xdr:rowOff>0</xdr:rowOff>
    </xdr:from>
    <xdr:to>
      <xdr:col>19</xdr:col>
      <xdr:colOff>517196</xdr:colOff>
      <xdr:row>58</xdr:row>
      <xdr:rowOff>123034</xdr:rowOff>
    </xdr:to>
    <xdr:graphicFrame macro="">
      <xdr:nvGraphicFramePr>
        <xdr:cNvPr id="5" name="Chart 4">
          <a:extLst>
            <a:ext uri="{FF2B5EF4-FFF2-40B4-BE49-F238E27FC236}">
              <a16:creationId xmlns:a16="http://schemas.microsoft.com/office/drawing/2014/main" id="{86F5FEDA-F8FB-064D-8E21-4D255F11E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58</xdr:row>
      <xdr:rowOff>101600</xdr:rowOff>
    </xdr:from>
    <xdr:to>
      <xdr:col>19</xdr:col>
      <xdr:colOff>517196</xdr:colOff>
      <xdr:row>78</xdr:row>
      <xdr:rowOff>21434</xdr:rowOff>
    </xdr:to>
    <xdr:graphicFrame macro="">
      <xdr:nvGraphicFramePr>
        <xdr:cNvPr id="6" name="Chart 5">
          <a:extLst>
            <a:ext uri="{FF2B5EF4-FFF2-40B4-BE49-F238E27FC236}">
              <a16:creationId xmlns:a16="http://schemas.microsoft.com/office/drawing/2014/main" id="{9A25ACBE-6D54-194A-8A25-C125AC2E0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502"/>
  <sheetViews>
    <sheetView tabSelected="1" zoomScale="86" zoomScaleNormal="58" zoomScalePageLayoutView="58" workbookViewId="0">
      <selection activeCell="L19" sqref="L19"/>
    </sheetView>
  </sheetViews>
  <sheetFormatPr baseColWidth="10" defaultRowHeight="16" x14ac:dyDescent="0.2"/>
  <cols>
    <col min="1" max="1" width="6.33203125" customWidth="1"/>
    <col min="2" max="2" width="26" customWidth="1"/>
    <col min="3" max="3" width="24.5" customWidth="1"/>
    <col min="4" max="4" width="7" customWidth="1"/>
    <col min="5" max="5" width="12.1640625" customWidth="1"/>
    <col min="6" max="6" width="16.83203125" customWidth="1"/>
    <col min="7" max="7" width="22" customWidth="1"/>
    <col min="9" max="9" width="10.83203125" customWidth="1"/>
    <col min="11" max="11" width="68.6640625" customWidth="1"/>
    <col min="13" max="13" width="18.5" customWidth="1"/>
    <col min="15" max="15" width="16.1640625" customWidth="1"/>
    <col min="18" max="18" width="22.6640625" customWidth="1"/>
    <col min="20" max="20" width="14.1640625" customWidth="1"/>
    <col min="23" max="23" width="23.83203125" customWidth="1"/>
    <col min="25" max="25" width="14.5" customWidth="1"/>
  </cols>
  <sheetData>
    <row r="1" spans="1:26" ht="21" x14ac:dyDescent="0.25">
      <c r="B1" s="199" t="s">
        <v>1</v>
      </c>
      <c r="C1" s="199"/>
      <c r="E1" s="33" t="s">
        <v>40</v>
      </c>
      <c r="M1" s="33" t="s">
        <v>94</v>
      </c>
    </row>
    <row r="2" spans="1:26" ht="18" x14ac:dyDescent="0.25">
      <c r="B2" s="4" t="s">
        <v>90</v>
      </c>
      <c r="C2" s="7" t="s">
        <v>37</v>
      </c>
      <c r="F2" s="200" t="s">
        <v>33</v>
      </c>
      <c r="G2" s="200"/>
      <c r="H2" s="200" t="s">
        <v>32</v>
      </c>
      <c r="I2" s="200"/>
      <c r="J2" s="55" t="s">
        <v>38</v>
      </c>
      <c r="K2" s="56" t="s">
        <v>34</v>
      </c>
      <c r="M2" s="61"/>
      <c r="N2" s="62" t="s">
        <v>57</v>
      </c>
      <c r="O2" s="63">
        <v>0.2</v>
      </c>
      <c r="P2" s="64"/>
    </row>
    <row r="3" spans="1:26" ht="18" x14ac:dyDescent="0.25">
      <c r="A3">
        <v>1</v>
      </c>
      <c r="B3" s="8">
        <v>0</v>
      </c>
      <c r="C3" s="28">
        <v>0</v>
      </c>
      <c r="F3" s="29" t="s">
        <v>36</v>
      </c>
      <c r="G3" s="29" t="s">
        <v>37</v>
      </c>
      <c r="H3" s="34" t="s">
        <v>25</v>
      </c>
      <c r="I3" s="34" t="s">
        <v>35</v>
      </c>
      <c r="J3" s="51"/>
      <c r="K3" s="50"/>
      <c r="M3" s="65"/>
      <c r="N3" s="66" t="s">
        <v>54</v>
      </c>
      <c r="O3">
        <f>INDEX(B3:B276,MATCH(O2*MAX(B3:B276),B3:B276,1))/INDEX(C3:C276,MATCH(O2*MAX(B3:B276),B3:B276,1))</f>
        <v>89094.601748230329</v>
      </c>
      <c r="P3" s="68" t="s">
        <v>56</v>
      </c>
    </row>
    <row r="4" spans="1:26" x14ac:dyDescent="0.2">
      <c r="A4">
        <v>2</v>
      </c>
      <c r="B4" s="82">
        <v>407.29419000000001</v>
      </c>
      <c r="C4" s="28">
        <v>4.5714800000000002E-3</v>
      </c>
      <c r="D4" s="46">
        <v>1</v>
      </c>
      <c r="E4" s="35"/>
      <c r="F4" s="38">
        <v>0</v>
      </c>
      <c r="G4" s="43">
        <v>0</v>
      </c>
      <c r="H4" s="38">
        <v>0</v>
      </c>
      <c r="I4" s="38">
        <v>0</v>
      </c>
      <c r="J4" s="40" t="s">
        <v>7</v>
      </c>
      <c r="K4" s="49" t="s">
        <v>45</v>
      </c>
      <c r="M4" s="69"/>
      <c r="N4" s="66" t="s">
        <v>55</v>
      </c>
      <c r="O4" s="67">
        <f>F5/G5</f>
        <v>75176.856666666659</v>
      </c>
      <c r="P4" s="68" t="s">
        <v>56</v>
      </c>
    </row>
    <row r="5" spans="1:26" x14ac:dyDescent="0.2">
      <c r="A5">
        <v>3</v>
      </c>
      <c r="B5" s="28">
        <v>791.70974000000001</v>
      </c>
      <c r="C5" s="28">
        <v>9.5714800000000003E-3</v>
      </c>
      <c r="D5" s="47">
        <v>2</v>
      </c>
      <c r="E5" s="36" t="s">
        <v>2</v>
      </c>
      <c r="F5" s="39">
        <f>MAX(B3:B502)</f>
        <v>2255.3056999999999</v>
      </c>
      <c r="G5" s="89">
        <v>0.03</v>
      </c>
      <c r="H5" s="40">
        <f>F5/$F$5</f>
        <v>1</v>
      </c>
      <c r="I5" s="40">
        <f>G5/$G$5</f>
        <v>1</v>
      </c>
      <c r="J5" s="40" t="str">
        <f>IF(O5&lt;10%,"Ok","Error!")</f>
        <v>Ok</v>
      </c>
      <c r="K5" s="49" t="s">
        <v>41</v>
      </c>
      <c r="M5" s="70"/>
      <c r="N5" s="71" t="s">
        <v>58</v>
      </c>
      <c r="O5" s="72">
        <f>(O4-O3)/O3</f>
        <v>-0.15621311289872974</v>
      </c>
      <c r="P5" s="73"/>
      <c r="Q5" s="197" t="s">
        <v>131</v>
      </c>
      <c r="R5" s="198"/>
      <c r="S5" s="198"/>
      <c r="T5" s="198"/>
      <c r="U5" s="198"/>
    </row>
    <row r="6" spans="1:26" ht="18" x14ac:dyDescent="0.25">
      <c r="A6">
        <v>4</v>
      </c>
      <c r="B6" s="28">
        <v>1176.6863000000001</v>
      </c>
      <c r="C6" s="28">
        <v>1.4571499999999999E-2</v>
      </c>
      <c r="D6" s="47">
        <v>3</v>
      </c>
      <c r="E6" s="36" t="s">
        <v>3</v>
      </c>
      <c r="F6" s="40">
        <f>F5</f>
        <v>2255.3056999999999</v>
      </c>
      <c r="G6" s="44">
        <v>7.0000000000000007E-2</v>
      </c>
      <c r="H6" s="40">
        <f>F6/$F$5</f>
        <v>1</v>
      </c>
      <c r="I6" s="40">
        <f>G6/$G$5</f>
        <v>2.3333333333333335</v>
      </c>
      <c r="J6" s="40" t="str">
        <f>IF(AND(G6&gt;G5,F6=F5),"Ok","Error!")</f>
        <v>Ok</v>
      </c>
      <c r="K6" s="49" t="s">
        <v>42</v>
      </c>
      <c r="M6" s="61"/>
      <c r="N6" s="75" t="s">
        <v>66</v>
      </c>
      <c r="O6" s="76">
        <f>Input!G5</f>
        <v>0.03</v>
      </c>
      <c r="P6" s="77" t="s">
        <v>39</v>
      </c>
    </row>
    <row r="7" spans="1:26" ht="18" x14ac:dyDescent="0.25">
      <c r="A7">
        <v>5</v>
      </c>
      <c r="B7" s="28">
        <v>1511.3794</v>
      </c>
      <c r="C7" s="28">
        <v>1.9571499999999999E-2</v>
      </c>
      <c r="D7" s="47">
        <v>4</v>
      </c>
      <c r="E7" s="36" t="s">
        <v>4</v>
      </c>
      <c r="F7" s="41">
        <v>1600</v>
      </c>
      <c r="G7" s="44">
        <v>0.13</v>
      </c>
      <c r="H7" s="40">
        <f>F7/$F$5</f>
        <v>0.70943819279133646</v>
      </c>
      <c r="I7" s="40">
        <f>G7/$G$5</f>
        <v>4.3333333333333339</v>
      </c>
      <c r="J7" s="40" t="str">
        <f>IF(AND(F7&lt;F6,G7&gt;G6,G7&lt;G8),"Ok","Error!")</f>
        <v>Ok</v>
      </c>
      <c r="K7" s="49" t="s">
        <v>43</v>
      </c>
      <c r="M7" s="69"/>
      <c r="N7" s="57" t="s">
        <v>65</v>
      </c>
      <c r="O7" s="78">
        <f>F5</f>
        <v>2255.3056999999999</v>
      </c>
      <c r="P7" s="79" t="s">
        <v>31</v>
      </c>
    </row>
    <row r="8" spans="1:26" x14ac:dyDescent="0.2">
      <c r="A8">
        <v>6</v>
      </c>
      <c r="B8" s="28">
        <v>1686.7302999999999</v>
      </c>
      <c r="C8" s="28">
        <v>2.45715E-2</v>
      </c>
      <c r="D8" s="47">
        <v>5</v>
      </c>
      <c r="E8" s="36" t="s">
        <v>5</v>
      </c>
      <c r="F8" s="41">
        <v>1600</v>
      </c>
      <c r="G8" s="44">
        <v>0.495</v>
      </c>
      <c r="H8" s="40">
        <f>F8/$F$5</f>
        <v>0.70943819279133646</v>
      </c>
      <c r="I8" s="40">
        <f>G8/$G$5</f>
        <v>16.5</v>
      </c>
      <c r="J8" s="40" t="str">
        <f>IF(AND(F8&lt;=F7,G8&gt;G7),"Ok","Error")</f>
        <v>Ok</v>
      </c>
      <c r="K8" s="49" t="s">
        <v>43</v>
      </c>
      <c r="M8" s="69"/>
      <c r="N8" s="66" t="s">
        <v>63</v>
      </c>
      <c r="O8" s="78">
        <f>SUM(E34:E39)</f>
        <v>1140</v>
      </c>
      <c r="P8" s="80" t="s">
        <v>59</v>
      </c>
    </row>
    <row r="9" spans="1:26" x14ac:dyDescent="0.2">
      <c r="A9">
        <v>7</v>
      </c>
      <c r="B9" s="28">
        <v>1825.9085</v>
      </c>
      <c r="C9" s="28">
        <v>2.9571500000000001E-2</v>
      </c>
      <c r="D9" s="48">
        <v>6</v>
      </c>
      <c r="E9" s="37" t="s">
        <v>6</v>
      </c>
      <c r="F9" s="42">
        <v>0</v>
      </c>
      <c r="G9" s="133">
        <f>MAX(C3:C502)</f>
        <v>0.49957099999999999</v>
      </c>
      <c r="H9" s="45">
        <f>F9/$F$5</f>
        <v>0</v>
      </c>
      <c r="I9" s="45">
        <f>G9/$G$5</f>
        <v>16.652366666666666</v>
      </c>
      <c r="J9" s="45" t="str">
        <f>IF(AND(F9=0,G9&gt;G8),"Ok","Error!")</f>
        <v>Ok</v>
      </c>
      <c r="K9" s="50" t="s">
        <v>44</v>
      </c>
      <c r="M9" s="69"/>
      <c r="N9" s="57" t="s">
        <v>62</v>
      </c>
      <c r="O9" s="15">
        <f>SUMPRODUCT(E34:E39,F34:F39)</f>
        <v>590.9</v>
      </c>
      <c r="P9" s="81" t="s">
        <v>59</v>
      </c>
    </row>
    <row r="10" spans="1:26" x14ac:dyDescent="0.2">
      <c r="A10">
        <v>8</v>
      </c>
      <c r="B10" s="28">
        <v>1952.0574999999999</v>
      </c>
      <c r="C10" s="28">
        <v>3.4571499999999998E-2</v>
      </c>
      <c r="M10" s="69"/>
      <c r="N10" s="57" t="s">
        <v>64</v>
      </c>
      <c r="O10" s="15">
        <f>O9/SUMPRODUCT(E34:E39,F34:F39,F34:F39)</f>
        <v>1.4059038922291036</v>
      </c>
      <c r="P10" s="81"/>
    </row>
    <row r="11" spans="1:26" ht="18" x14ac:dyDescent="0.25">
      <c r="A11">
        <v>9</v>
      </c>
      <c r="B11" s="28">
        <v>2074.8980000000001</v>
      </c>
      <c r="C11" s="28">
        <v>3.9571500000000003E-2</v>
      </c>
      <c r="M11" s="69"/>
      <c r="N11" s="57" t="s">
        <v>92</v>
      </c>
      <c r="O11" s="82">
        <f>Delta_y/Gamma</f>
        <v>2.1338585209003214E-2</v>
      </c>
      <c r="P11" s="83" t="s">
        <v>39</v>
      </c>
    </row>
    <row r="12" spans="1:26" ht="18" x14ac:dyDescent="0.25">
      <c r="A12">
        <v>10</v>
      </c>
      <c r="B12" s="28">
        <v>2143.8533000000002</v>
      </c>
      <c r="C12" s="28">
        <v>4.45715E-2</v>
      </c>
      <c r="K12" s="58" t="s">
        <v>50</v>
      </c>
      <c r="M12" s="69"/>
      <c r="N12" s="74" t="s">
        <v>67</v>
      </c>
      <c r="O12" s="78">
        <f>O7/Gamma</f>
        <v>1604.167761726688</v>
      </c>
      <c r="P12" s="83" t="s">
        <v>31</v>
      </c>
    </row>
    <row r="13" spans="1:26" x14ac:dyDescent="0.2">
      <c r="A13">
        <v>11</v>
      </c>
      <c r="B13" s="28">
        <v>2194.2759000000001</v>
      </c>
      <c r="C13" s="28">
        <v>4.9571499999999998E-2</v>
      </c>
      <c r="K13" t="s">
        <v>51</v>
      </c>
      <c r="M13" s="69"/>
      <c r="N13" s="74" t="s">
        <v>68</v>
      </c>
      <c r="O13" s="10">
        <f>2*PI()*SQRT(m_star*O11/O12)</f>
        <v>0.55705077392267599</v>
      </c>
      <c r="P13" s="83" t="s">
        <v>0</v>
      </c>
    </row>
    <row r="14" spans="1:26" ht="18" x14ac:dyDescent="0.25">
      <c r="A14">
        <v>12</v>
      </c>
      <c r="B14" s="28">
        <v>2229.2667999999999</v>
      </c>
      <c r="C14" s="28">
        <v>5.4571500000000002E-2</v>
      </c>
      <c r="K14" t="s">
        <v>52</v>
      </c>
      <c r="M14" s="70"/>
      <c r="N14" s="88" t="s">
        <v>69</v>
      </c>
      <c r="O14" s="84">
        <f>(4*PI()^2*Delta_y)/(T_star^2)/9.81</f>
        <v>0.38906522971834634</v>
      </c>
      <c r="P14" s="85" t="s">
        <v>12</v>
      </c>
    </row>
    <row r="15" spans="1:26" x14ac:dyDescent="0.2">
      <c r="A15">
        <v>13</v>
      </c>
      <c r="B15" s="28">
        <v>2247.4848999999999</v>
      </c>
      <c r="C15" s="28">
        <v>5.9571499999999999E-2</v>
      </c>
      <c r="K15" t="s">
        <v>53</v>
      </c>
      <c r="M15" s="196" t="s">
        <v>127</v>
      </c>
      <c r="N15" s="196"/>
      <c r="O15" s="196"/>
      <c r="P15" s="196"/>
      <c r="R15" s="196" t="s">
        <v>126</v>
      </c>
      <c r="S15" s="196"/>
      <c r="T15" s="196"/>
      <c r="U15" s="196"/>
      <c r="W15" s="196" t="s">
        <v>128</v>
      </c>
      <c r="X15" s="196"/>
      <c r="Y15" s="196"/>
      <c r="Z15" s="196"/>
    </row>
    <row r="16" spans="1:26" ht="18" x14ac:dyDescent="0.25">
      <c r="A16">
        <v>14</v>
      </c>
      <c r="B16" s="28">
        <v>2255.3056999999999</v>
      </c>
      <c r="C16" s="28">
        <v>6.4571500000000004E-2</v>
      </c>
      <c r="K16" t="s">
        <v>61</v>
      </c>
      <c r="M16" s="61"/>
      <c r="N16" s="146" t="s">
        <v>96</v>
      </c>
      <c r="O16" s="120">
        <f>'Output (Sa(T1))'!U46</f>
        <v>3.3785461589889789</v>
      </c>
      <c r="P16" s="147" t="s">
        <v>12</v>
      </c>
      <c r="R16" s="61"/>
      <c r="S16" s="146" t="s">
        <v>123</v>
      </c>
      <c r="T16" s="120">
        <f>'Output (AvgSa) - IDA'!L45</f>
        <v>1.4227905236184193</v>
      </c>
      <c r="U16" s="147" t="s">
        <v>12</v>
      </c>
      <c r="W16" s="61"/>
      <c r="X16" s="146" t="s">
        <v>123</v>
      </c>
      <c r="Y16" s="189">
        <f>(-1.62*(1-H7)*((I8-I7)/I9)+3.32)*Sa_y*Gamma*'Coefficients (AvgSa) - Cloud'!$B$4</f>
        <v>1.6278845730497113</v>
      </c>
      <c r="Z16" s="147" t="s">
        <v>12</v>
      </c>
    </row>
    <row r="17" spans="1:26" ht="18" x14ac:dyDescent="0.25">
      <c r="A17">
        <v>15</v>
      </c>
      <c r="B17" s="28">
        <v>2254.0648000000001</v>
      </c>
      <c r="C17" s="28">
        <v>6.9571499999999994E-2</v>
      </c>
      <c r="K17" t="s">
        <v>95</v>
      </c>
      <c r="M17" s="70"/>
      <c r="N17" s="148" t="s">
        <v>97</v>
      </c>
      <c r="O17" s="123">
        <f>0.5*(LN('Output (Sa(T1))'!T46)-LN('Output (Sa(T1))'!V46))</f>
        <v>0.62109057903367615</v>
      </c>
      <c r="P17" s="73"/>
      <c r="R17" s="70"/>
      <c r="S17" s="148" t="s">
        <v>97</v>
      </c>
      <c r="T17" s="123">
        <f>0.5*(LN('Output (AvgSa) - IDA'!M46-LN('Output (AvgSa) - IDA'!K46)))</f>
        <v>0.29285172970412532</v>
      </c>
      <c r="U17" s="73"/>
      <c r="W17" s="70"/>
      <c r="X17" s="148" t="s">
        <v>97</v>
      </c>
      <c r="Y17" s="123">
        <v>0.375</v>
      </c>
      <c r="Z17" s="73"/>
    </row>
    <row r="18" spans="1:26" x14ac:dyDescent="0.2">
      <c r="A18">
        <v>16</v>
      </c>
      <c r="B18" s="28">
        <v>2237.4949999999999</v>
      </c>
      <c r="C18" s="28">
        <v>7.4571499999999999E-2</v>
      </c>
      <c r="K18" t="s">
        <v>124</v>
      </c>
      <c r="M18" s="31"/>
    </row>
    <row r="19" spans="1:26" x14ac:dyDescent="0.2">
      <c r="A19">
        <v>17</v>
      </c>
      <c r="B19" s="28">
        <v>2210.6788999999999</v>
      </c>
      <c r="C19" s="28">
        <v>7.9571500000000003E-2</v>
      </c>
      <c r="M19" s="31"/>
    </row>
    <row r="20" spans="1:26" x14ac:dyDescent="0.2">
      <c r="A20">
        <v>18</v>
      </c>
      <c r="B20" s="28">
        <v>2177.6269000000002</v>
      </c>
      <c r="C20" s="28">
        <v>8.4571499999999994E-2</v>
      </c>
    </row>
    <row r="21" spans="1:26" x14ac:dyDescent="0.2">
      <c r="A21">
        <v>19</v>
      </c>
      <c r="B21" s="28">
        <v>2129.0877999999998</v>
      </c>
      <c r="C21" s="28">
        <v>8.9571499999999998E-2</v>
      </c>
    </row>
    <row r="22" spans="1:26" x14ac:dyDescent="0.2">
      <c r="A22">
        <v>20</v>
      </c>
      <c r="B22" s="28">
        <v>2062.9133999999999</v>
      </c>
      <c r="C22" s="28">
        <v>9.4571500000000003E-2</v>
      </c>
    </row>
    <row r="23" spans="1:26" x14ac:dyDescent="0.2">
      <c r="A23">
        <v>21</v>
      </c>
      <c r="B23" s="28">
        <v>1992.3787</v>
      </c>
      <c r="C23" s="28">
        <v>9.9571499999999993E-2</v>
      </c>
      <c r="K23" t="s">
        <v>60</v>
      </c>
      <c r="M23" s="30"/>
    </row>
    <row r="24" spans="1:26" x14ac:dyDescent="0.2">
      <c r="A24">
        <v>22</v>
      </c>
      <c r="B24" s="28">
        <v>1915.4915000000001</v>
      </c>
      <c r="C24" s="28">
        <v>0.104571</v>
      </c>
    </row>
    <row r="25" spans="1:26" x14ac:dyDescent="0.2">
      <c r="A25">
        <v>23</v>
      </c>
      <c r="B25" s="28">
        <v>1827.3833</v>
      </c>
      <c r="C25" s="28">
        <v>0.109571</v>
      </c>
    </row>
    <row r="26" spans="1:26" x14ac:dyDescent="0.2">
      <c r="A26">
        <v>24</v>
      </c>
      <c r="B26" s="28">
        <v>1795.6469999999999</v>
      </c>
      <c r="C26" s="28">
        <v>0.11457100000000001</v>
      </c>
    </row>
    <row r="27" spans="1:26" x14ac:dyDescent="0.2">
      <c r="A27">
        <v>25</v>
      </c>
      <c r="B27" s="28">
        <v>1726.701</v>
      </c>
      <c r="C27" s="28">
        <v>0.119571</v>
      </c>
    </row>
    <row r="28" spans="1:26" x14ac:dyDescent="0.2">
      <c r="A28">
        <v>26</v>
      </c>
      <c r="B28" s="28">
        <v>1654.011</v>
      </c>
      <c r="C28" s="28">
        <v>0.124571</v>
      </c>
    </row>
    <row r="29" spans="1:26" x14ac:dyDescent="0.2">
      <c r="A29">
        <v>27</v>
      </c>
      <c r="B29" s="28">
        <v>1580.5326</v>
      </c>
      <c r="C29" s="28">
        <v>0.12957099999999999</v>
      </c>
    </row>
    <row r="30" spans="1:26" x14ac:dyDescent="0.2">
      <c r="A30">
        <v>28</v>
      </c>
      <c r="B30" s="28">
        <v>1567.3496</v>
      </c>
      <c r="C30" s="28">
        <v>0.134571</v>
      </c>
    </row>
    <row r="31" spans="1:26" ht="21" x14ac:dyDescent="0.25">
      <c r="A31">
        <v>29</v>
      </c>
      <c r="B31" s="28">
        <v>1574.4667999999999</v>
      </c>
      <c r="C31" s="28">
        <v>0.139571</v>
      </c>
      <c r="D31" s="33" t="s">
        <v>46</v>
      </c>
      <c r="M31" s="4"/>
      <c r="N31" s="5"/>
      <c r="O31" s="5"/>
      <c r="P31" s="4"/>
    </row>
    <row r="32" spans="1:26" x14ac:dyDescent="0.2">
      <c r="A32">
        <v>30</v>
      </c>
      <c r="B32" s="28">
        <v>1574.7983999999999</v>
      </c>
      <c r="C32" s="28">
        <v>0.14457100000000001</v>
      </c>
      <c r="D32" s="52" t="s">
        <v>47</v>
      </c>
      <c r="E32" s="53" t="s">
        <v>48</v>
      </c>
      <c r="F32" s="53" t="s">
        <v>49</v>
      </c>
      <c r="G32" s="18"/>
      <c r="H32" s="18"/>
      <c r="I32" s="18"/>
      <c r="J32" s="18"/>
      <c r="K32" s="18"/>
      <c r="L32" s="18"/>
      <c r="M32" s="4"/>
      <c r="N32" s="5"/>
      <c r="O32" s="5"/>
      <c r="P32" s="4"/>
    </row>
    <row r="33" spans="1:29" x14ac:dyDescent="0.2">
      <c r="A33">
        <v>31</v>
      </c>
      <c r="B33" s="28">
        <v>1575.2052000000001</v>
      </c>
      <c r="C33" s="28">
        <v>0.14957100000000001</v>
      </c>
      <c r="D33" s="54">
        <v>0</v>
      </c>
      <c r="E33" s="18" t="s">
        <v>7</v>
      </c>
      <c r="F33" s="19">
        <f>L33^2</f>
        <v>0</v>
      </c>
      <c r="G33" s="18"/>
      <c r="H33" s="18"/>
      <c r="I33" s="26"/>
      <c r="J33" s="19"/>
      <c r="K33" s="31"/>
      <c r="L33" s="19"/>
      <c r="M33" s="4"/>
      <c r="N33" s="6"/>
      <c r="O33" s="6"/>
      <c r="P33" s="4"/>
    </row>
    <row r="34" spans="1:29" x14ac:dyDescent="0.2">
      <c r="A34">
        <v>32</v>
      </c>
      <c r="B34" s="28">
        <v>1575.4637</v>
      </c>
      <c r="C34" s="28">
        <v>0.15457099999999999</v>
      </c>
      <c r="D34" s="24">
        <v>1</v>
      </c>
      <c r="E34" s="23">
        <v>190</v>
      </c>
      <c r="F34" s="23">
        <v>0.11</v>
      </c>
      <c r="G34" s="18"/>
      <c r="H34" s="18"/>
      <c r="I34" s="26"/>
      <c r="J34" s="19"/>
      <c r="K34" s="19"/>
      <c r="L34" s="19"/>
      <c r="M34" s="4"/>
      <c r="N34" s="6"/>
      <c r="O34" s="6"/>
      <c r="P34" s="4"/>
    </row>
    <row r="35" spans="1:29" x14ac:dyDescent="0.2">
      <c r="A35">
        <v>33</v>
      </c>
      <c r="B35" s="28">
        <v>1574.6890000000001</v>
      </c>
      <c r="C35" s="28">
        <v>0.15957099999999999</v>
      </c>
      <c r="D35" s="24">
        <v>2</v>
      </c>
      <c r="E35" s="24">
        <v>190</v>
      </c>
      <c r="F35" s="23">
        <v>0.2</v>
      </c>
      <c r="G35" s="18"/>
      <c r="H35" s="18"/>
      <c r="I35" s="26"/>
      <c r="J35" s="19"/>
      <c r="K35" s="19"/>
      <c r="L35" s="19"/>
      <c r="M35" s="4"/>
      <c r="N35" s="7"/>
      <c r="O35" s="7"/>
      <c r="P35" s="4"/>
    </row>
    <row r="36" spans="1:29" x14ac:dyDescent="0.2">
      <c r="A36">
        <v>34</v>
      </c>
      <c r="B36" s="28">
        <v>1573.0376000000001</v>
      </c>
      <c r="C36" s="28">
        <v>0.164571</v>
      </c>
      <c r="D36" s="24">
        <v>3</v>
      </c>
      <c r="E36" s="24">
        <v>190</v>
      </c>
      <c r="F36" s="23">
        <v>0.4</v>
      </c>
      <c r="G36" s="18"/>
      <c r="I36" s="26"/>
      <c r="J36" s="19"/>
      <c r="K36" s="19"/>
      <c r="L36" s="19"/>
      <c r="M36" s="4"/>
      <c r="N36" s="9"/>
      <c r="O36" s="10"/>
      <c r="P36" s="4"/>
    </row>
    <row r="37" spans="1:29" x14ac:dyDescent="0.2">
      <c r="A37">
        <v>35</v>
      </c>
      <c r="B37" s="28">
        <v>1570.1796999999999</v>
      </c>
      <c r="C37" s="28">
        <v>0.169571</v>
      </c>
      <c r="D37" s="23">
        <v>4</v>
      </c>
      <c r="E37" s="24">
        <v>190</v>
      </c>
      <c r="F37" s="188">
        <v>0.6</v>
      </c>
      <c r="G37" s="18"/>
      <c r="I37" s="26"/>
      <c r="J37" s="19"/>
      <c r="K37" s="19"/>
      <c r="L37" s="19"/>
      <c r="M37" s="4"/>
      <c r="N37" s="9"/>
      <c r="O37" s="10"/>
      <c r="P37" s="4"/>
    </row>
    <row r="38" spans="1:29" x14ac:dyDescent="0.2">
      <c r="A38">
        <v>36</v>
      </c>
      <c r="B38" s="28">
        <v>1565.6931</v>
      </c>
      <c r="C38" s="28">
        <v>0.174571</v>
      </c>
      <c r="D38" s="23">
        <v>5</v>
      </c>
      <c r="E38" s="24">
        <v>190</v>
      </c>
      <c r="F38" s="188">
        <v>0.8</v>
      </c>
      <c r="G38" s="18"/>
      <c r="I38" s="26"/>
      <c r="J38" s="19"/>
      <c r="K38" s="19"/>
      <c r="L38" s="19"/>
      <c r="M38" s="4"/>
      <c r="N38" s="9"/>
      <c r="O38" s="10"/>
      <c r="P38" s="4"/>
      <c r="S38" s="4"/>
      <c r="T38" s="4"/>
      <c r="U38" s="4"/>
      <c r="V38" s="4"/>
      <c r="W38" s="4"/>
      <c r="X38" s="4"/>
      <c r="Y38" s="4"/>
      <c r="Z38" s="4"/>
      <c r="AA38" s="4"/>
      <c r="AB38" s="4"/>
      <c r="AC38" s="4"/>
    </row>
    <row r="39" spans="1:29" x14ac:dyDescent="0.2">
      <c r="A39">
        <v>37</v>
      </c>
      <c r="B39" s="28">
        <v>1558.8873000000001</v>
      </c>
      <c r="C39" s="28">
        <v>0.17957100000000001</v>
      </c>
      <c r="D39" s="23">
        <v>6</v>
      </c>
      <c r="E39" s="24">
        <v>190</v>
      </c>
      <c r="F39" s="188">
        <v>1</v>
      </c>
      <c r="G39" s="18"/>
      <c r="H39" s="18"/>
      <c r="I39" s="26"/>
      <c r="J39" s="19"/>
      <c r="K39" s="19"/>
      <c r="L39" s="19"/>
      <c r="M39" s="4"/>
      <c r="N39" s="9"/>
      <c r="O39" s="10"/>
      <c r="P39" s="4"/>
      <c r="S39" s="4"/>
      <c r="T39" s="4"/>
      <c r="U39" s="4"/>
      <c r="V39" s="4"/>
      <c r="W39" s="4"/>
      <c r="X39" s="4"/>
      <c r="Y39" s="4"/>
      <c r="Z39" s="4"/>
      <c r="AA39" s="4"/>
      <c r="AB39" s="4"/>
      <c r="AC39" s="4"/>
    </row>
    <row r="40" spans="1:29" x14ac:dyDescent="0.2">
      <c r="A40">
        <v>38</v>
      </c>
      <c r="B40" s="28">
        <v>1551.4646</v>
      </c>
      <c r="C40" s="28">
        <v>0.18457100000000001</v>
      </c>
      <c r="D40" s="59"/>
      <c r="E40" s="54"/>
      <c r="F40" s="60"/>
      <c r="G40" s="18"/>
      <c r="H40" s="18"/>
      <c r="I40" s="26"/>
      <c r="J40" s="19"/>
      <c r="K40" s="19"/>
      <c r="L40" s="19"/>
      <c r="M40" s="4"/>
      <c r="N40" s="9"/>
      <c r="O40" s="10"/>
      <c r="P40" s="4"/>
    </row>
    <row r="41" spans="1:29" x14ac:dyDescent="0.2">
      <c r="A41">
        <v>39</v>
      </c>
      <c r="B41" s="28">
        <v>1544.0416</v>
      </c>
      <c r="C41" s="28">
        <v>0.18957099999999999</v>
      </c>
      <c r="D41" s="59"/>
      <c r="E41" s="54"/>
      <c r="F41" s="60"/>
      <c r="G41" s="18"/>
      <c r="H41" s="18"/>
      <c r="I41" s="26"/>
      <c r="J41" s="19"/>
      <c r="K41" s="19"/>
      <c r="L41" s="19"/>
      <c r="M41" s="4"/>
      <c r="N41" s="9"/>
      <c r="O41" s="10"/>
      <c r="P41" s="4"/>
    </row>
    <row r="42" spans="1:29" x14ac:dyDescent="0.2">
      <c r="A42">
        <v>40</v>
      </c>
      <c r="B42" s="28">
        <v>1536.6197</v>
      </c>
      <c r="C42" s="28">
        <v>0.19457099999999999</v>
      </c>
      <c r="D42" s="59"/>
      <c r="E42" s="54"/>
      <c r="F42" s="60"/>
      <c r="G42" s="18"/>
      <c r="H42" s="18"/>
      <c r="I42" s="26"/>
      <c r="J42" s="19"/>
      <c r="K42" s="19"/>
      <c r="L42" s="19"/>
      <c r="M42" s="4"/>
      <c r="N42" s="9"/>
      <c r="O42" s="10"/>
      <c r="P42" s="4"/>
    </row>
    <row r="43" spans="1:29" x14ac:dyDescent="0.2">
      <c r="A43">
        <v>41</v>
      </c>
      <c r="B43" s="28">
        <v>1529.0234</v>
      </c>
      <c r="C43" s="28">
        <v>0.199571</v>
      </c>
      <c r="D43" s="59"/>
      <c r="E43" s="54"/>
      <c r="F43" s="60"/>
      <c r="G43" s="18"/>
      <c r="H43" s="18"/>
      <c r="I43" s="26"/>
      <c r="J43" s="19"/>
      <c r="K43" s="19"/>
      <c r="L43" s="19"/>
      <c r="M43" s="14"/>
      <c r="N43" s="9"/>
      <c r="O43" s="10"/>
      <c r="P43" s="4"/>
    </row>
    <row r="44" spans="1:29" x14ac:dyDescent="0.2">
      <c r="A44">
        <v>42</v>
      </c>
      <c r="B44" s="28">
        <v>1520.4117000000001</v>
      </c>
      <c r="C44" s="28">
        <v>0.204571</v>
      </c>
      <c r="D44" s="18"/>
      <c r="E44" s="12"/>
      <c r="F44" s="12"/>
      <c r="G44" s="26"/>
      <c r="H44" s="26"/>
      <c r="I44" s="26"/>
      <c r="J44" s="26"/>
      <c r="K44" s="26"/>
      <c r="L44" s="26"/>
      <c r="M44" s="14"/>
      <c r="N44" s="9"/>
      <c r="O44" s="10"/>
      <c r="P44" s="4"/>
    </row>
    <row r="45" spans="1:29" x14ac:dyDescent="0.2">
      <c r="A45">
        <v>43</v>
      </c>
      <c r="B45" s="28">
        <v>1511.1563000000001</v>
      </c>
      <c r="C45" s="28">
        <v>0.20957100000000001</v>
      </c>
      <c r="G45" s="12"/>
      <c r="H45" s="12"/>
      <c r="I45" s="12"/>
      <c r="J45" s="12"/>
      <c r="K45" s="12"/>
      <c r="L45" s="13"/>
      <c r="M45" s="14"/>
      <c r="N45" s="9"/>
      <c r="O45" s="10"/>
      <c r="P45" s="4"/>
    </row>
    <row r="46" spans="1:29" x14ac:dyDescent="0.2">
      <c r="A46">
        <v>44</v>
      </c>
      <c r="B46" s="28">
        <v>1501.6409000000001</v>
      </c>
      <c r="C46" s="28">
        <v>0.21457100000000001</v>
      </c>
      <c r="G46" s="12"/>
      <c r="H46" s="12"/>
      <c r="I46" s="12"/>
      <c r="J46" s="12"/>
      <c r="K46" s="12"/>
      <c r="L46" s="12"/>
      <c r="M46" s="14"/>
      <c r="N46" s="9"/>
      <c r="O46" s="10"/>
      <c r="P46" s="4"/>
    </row>
    <row r="47" spans="1:29" x14ac:dyDescent="0.2">
      <c r="A47">
        <v>45</v>
      </c>
      <c r="B47" s="28">
        <v>1491.2941000000001</v>
      </c>
      <c r="C47" s="28">
        <v>0.21957099999999999</v>
      </c>
      <c r="G47" s="12"/>
      <c r="H47" s="12"/>
      <c r="I47" s="12"/>
      <c r="J47" s="12"/>
      <c r="K47" s="12"/>
      <c r="L47" s="13"/>
      <c r="M47" s="14"/>
      <c r="N47" s="9"/>
      <c r="O47" s="10"/>
      <c r="P47" s="4"/>
    </row>
    <row r="48" spans="1:29" x14ac:dyDescent="0.2">
      <c r="A48">
        <v>46</v>
      </c>
      <c r="B48" s="28">
        <v>1480.7049</v>
      </c>
      <c r="C48" s="28">
        <v>0.22457099999999999</v>
      </c>
      <c r="G48" s="12"/>
      <c r="H48" s="12"/>
      <c r="I48" s="12"/>
      <c r="J48" s="12"/>
      <c r="K48" s="12"/>
      <c r="L48" s="12"/>
      <c r="M48" s="14"/>
      <c r="N48" s="9"/>
      <c r="O48" s="10"/>
      <c r="P48" s="4"/>
    </row>
    <row r="49" spans="1:29" x14ac:dyDescent="0.2">
      <c r="A49">
        <v>47</v>
      </c>
      <c r="B49" s="28">
        <v>1470.1153999999999</v>
      </c>
      <c r="C49" s="28">
        <v>0.229571</v>
      </c>
      <c r="G49" s="12"/>
      <c r="H49" s="12"/>
      <c r="I49" s="12"/>
      <c r="J49" s="12"/>
      <c r="K49" s="12"/>
      <c r="L49" s="13"/>
      <c r="M49" s="14"/>
      <c r="N49" s="9"/>
      <c r="O49" s="10"/>
      <c r="P49" s="4"/>
    </row>
    <row r="50" spans="1:29" x14ac:dyDescent="0.2">
      <c r="A50">
        <v>48</v>
      </c>
      <c r="B50" s="28">
        <v>1459.5264</v>
      </c>
      <c r="C50" s="28">
        <v>0.234571</v>
      </c>
      <c r="D50" s="18"/>
      <c r="E50" s="12"/>
      <c r="F50" s="12"/>
      <c r="G50" s="15"/>
      <c r="H50" s="12"/>
      <c r="I50" s="12"/>
      <c r="J50" s="12"/>
      <c r="K50" s="13"/>
      <c r="L50" s="12"/>
      <c r="M50" s="14"/>
      <c r="N50" s="9"/>
      <c r="O50" s="10"/>
      <c r="P50" s="4"/>
    </row>
    <row r="51" spans="1:29" x14ac:dyDescent="0.2">
      <c r="A51">
        <v>49</v>
      </c>
      <c r="B51" s="28">
        <v>1448.9372000000001</v>
      </c>
      <c r="C51" s="28">
        <v>0.23957100000000001</v>
      </c>
      <c r="D51" s="18"/>
      <c r="E51" s="12"/>
      <c r="F51" s="12"/>
      <c r="G51" s="12"/>
      <c r="H51" s="12"/>
      <c r="I51" s="12"/>
      <c r="J51" s="12"/>
      <c r="K51" s="12"/>
      <c r="L51" s="12"/>
    </row>
    <row r="52" spans="1:29" x14ac:dyDescent="0.2">
      <c r="A52">
        <v>50</v>
      </c>
      <c r="B52" s="28">
        <v>1438.3481999999999</v>
      </c>
      <c r="C52" s="28">
        <v>0.24457100000000001</v>
      </c>
      <c r="F52" s="4"/>
      <c r="G52" s="4"/>
      <c r="H52" s="4"/>
    </row>
    <row r="53" spans="1:29" x14ac:dyDescent="0.2">
      <c r="A53">
        <v>51</v>
      </c>
      <c r="B53" s="28">
        <v>1427.759</v>
      </c>
      <c r="C53" s="28">
        <v>0.24957099999999999</v>
      </c>
    </row>
    <row r="54" spans="1:29" x14ac:dyDescent="0.2">
      <c r="A54">
        <v>52</v>
      </c>
      <c r="B54" s="28">
        <v>1417.1697999999999</v>
      </c>
      <c r="C54" s="28">
        <v>0.25457099999999999</v>
      </c>
    </row>
    <row r="55" spans="1:29" x14ac:dyDescent="0.2">
      <c r="A55">
        <v>53</v>
      </c>
      <c r="B55" s="28">
        <v>1406.5808999999999</v>
      </c>
      <c r="C55" s="28">
        <v>0.259571</v>
      </c>
    </row>
    <row r="56" spans="1:29" x14ac:dyDescent="0.2">
      <c r="A56">
        <v>54</v>
      </c>
      <c r="B56" s="27">
        <v>1395.9918</v>
      </c>
      <c r="C56" s="28">
        <v>0.264571</v>
      </c>
    </row>
    <row r="57" spans="1:29" x14ac:dyDescent="0.2">
      <c r="A57">
        <v>55</v>
      </c>
      <c r="B57" s="27">
        <v>1385.4027000000001</v>
      </c>
      <c r="C57" s="28">
        <v>0.26957100000000001</v>
      </c>
    </row>
    <row r="58" spans="1:29" x14ac:dyDescent="0.2">
      <c r="A58">
        <v>56</v>
      </c>
      <c r="B58" s="27">
        <v>1374.8136</v>
      </c>
      <c r="C58" s="28">
        <v>0.27457100000000001</v>
      </c>
    </row>
    <row r="59" spans="1:29" x14ac:dyDescent="0.2">
      <c r="A59">
        <v>57</v>
      </c>
      <c r="B59" s="27">
        <v>1364.0717999999999</v>
      </c>
      <c r="C59" s="28">
        <v>0.27957100000000001</v>
      </c>
    </row>
    <row r="60" spans="1:29" x14ac:dyDescent="0.2">
      <c r="A60">
        <v>58</v>
      </c>
      <c r="B60" s="27">
        <v>1353.0402999999999</v>
      </c>
      <c r="C60" s="28">
        <v>0.28457100000000002</v>
      </c>
      <c r="Q60" s="18"/>
      <c r="R60" s="12"/>
      <c r="S60" s="12"/>
      <c r="T60" s="12"/>
      <c r="U60" s="12"/>
      <c r="V60" s="12"/>
      <c r="W60" s="12"/>
      <c r="X60" s="12"/>
      <c r="Y60" s="12"/>
      <c r="Z60" s="14"/>
      <c r="AA60" s="9"/>
      <c r="AB60" s="10"/>
      <c r="AC60" s="4"/>
    </row>
    <row r="61" spans="1:29" x14ac:dyDescent="0.2">
      <c r="A61">
        <v>59</v>
      </c>
      <c r="B61" s="27">
        <v>1342.0102999999999</v>
      </c>
      <c r="C61" s="28">
        <v>0.28957100000000002</v>
      </c>
      <c r="Q61" s="18"/>
      <c r="R61" s="201"/>
      <c r="S61" s="201"/>
      <c r="T61" s="201"/>
      <c r="U61" s="16"/>
      <c r="V61" s="12"/>
      <c r="W61" s="12"/>
      <c r="X61" s="12"/>
      <c r="Y61" s="12"/>
      <c r="Z61" s="14"/>
      <c r="AA61" s="9"/>
      <c r="AB61" s="7"/>
      <c r="AC61" s="4"/>
    </row>
    <row r="62" spans="1:29" x14ac:dyDescent="0.2">
      <c r="A62">
        <v>60</v>
      </c>
      <c r="B62" s="27">
        <v>1330.9808</v>
      </c>
      <c r="C62" s="28">
        <v>0.29457100000000003</v>
      </c>
      <c r="Q62" s="18"/>
      <c r="R62" s="201"/>
      <c r="S62" s="201"/>
      <c r="T62" s="201"/>
      <c r="U62" s="17"/>
      <c r="V62" s="12"/>
      <c r="W62" s="12"/>
      <c r="X62" s="12"/>
      <c r="Y62" s="12"/>
      <c r="Z62" s="14"/>
      <c r="AA62" s="9"/>
      <c r="AB62" s="7"/>
      <c r="AC62" s="11"/>
    </row>
    <row r="63" spans="1:29" x14ac:dyDescent="0.2">
      <c r="A63">
        <v>61</v>
      </c>
      <c r="B63" s="27">
        <v>1319.8034</v>
      </c>
      <c r="C63" s="28">
        <v>0.29957099999999998</v>
      </c>
    </row>
    <row r="64" spans="1:29" x14ac:dyDescent="0.2">
      <c r="A64">
        <v>62</v>
      </c>
      <c r="B64" s="27">
        <v>1308.3293000000001</v>
      </c>
      <c r="C64" s="28">
        <v>0.30457099999999998</v>
      </c>
    </row>
    <row r="65" spans="1:3" x14ac:dyDescent="0.2">
      <c r="A65">
        <v>63</v>
      </c>
      <c r="B65" s="27">
        <v>1296.8554999999999</v>
      </c>
      <c r="C65" s="28">
        <v>0.30957099999999999</v>
      </c>
    </row>
    <row r="66" spans="1:3" x14ac:dyDescent="0.2">
      <c r="A66">
        <v>64</v>
      </c>
      <c r="B66" s="27">
        <v>1285.3813</v>
      </c>
      <c r="C66" s="28">
        <v>0.31457099999999999</v>
      </c>
    </row>
    <row r="67" spans="1:3" x14ac:dyDescent="0.2">
      <c r="A67">
        <v>65</v>
      </c>
      <c r="B67" s="27">
        <v>1273.9074000000001</v>
      </c>
      <c r="C67" s="28">
        <v>0.31957099999999999</v>
      </c>
    </row>
    <row r="68" spans="1:3" x14ac:dyDescent="0.2">
      <c r="A68">
        <v>66</v>
      </c>
      <c r="B68" s="27">
        <v>1262.4331999999999</v>
      </c>
      <c r="C68" s="28">
        <v>0.324571</v>
      </c>
    </row>
    <row r="69" spans="1:3" x14ac:dyDescent="0.2">
      <c r="A69">
        <v>67</v>
      </c>
      <c r="B69" s="27">
        <v>1250.9591</v>
      </c>
      <c r="C69" s="28">
        <v>0.329571</v>
      </c>
    </row>
    <row r="70" spans="1:3" x14ac:dyDescent="0.2">
      <c r="A70">
        <v>68</v>
      </c>
      <c r="B70" s="27">
        <v>1239.4848999999999</v>
      </c>
      <c r="C70" s="28">
        <v>0.33457100000000001</v>
      </c>
    </row>
    <row r="71" spans="1:3" x14ac:dyDescent="0.2">
      <c r="A71">
        <v>69</v>
      </c>
      <c r="B71" s="27">
        <v>1228.0105000000001</v>
      </c>
      <c r="C71" s="28">
        <v>0.33957100000000001</v>
      </c>
    </row>
    <row r="72" spans="1:3" x14ac:dyDescent="0.2">
      <c r="A72">
        <v>70</v>
      </c>
      <c r="B72" s="27">
        <v>1216.5363</v>
      </c>
      <c r="C72" s="28">
        <v>0.34457100000000002</v>
      </c>
    </row>
    <row r="73" spans="1:3" x14ac:dyDescent="0.2">
      <c r="A73">
        <v>71</v>
      </c>
      <c r="B73" s="27">
        <v>1205.0618999999999</v>
      </c>
      <c r="C73" s="28">
        <v>0.34957100000000002</v>
      </c>
    </row>
    <row r="74" spans="1:3" x14ac:dyDescent="0.2">
      <c r="A74">
        <v>72</v>
      </c>
      <c r="B74" s="27">
        <v>1193.5875000000001</v>
      </c>
      <c r="C74" s="28">
        <v>0.35457100000000003</v>
      </c>
    </row>
    <row r="75" spans="1:3" x14ac:dyDescent="0.2">
      <c r="A75">
        <v>73</v>
      </c>
      <c r="B75" s="27">
        <v>1182.1131</v>
      </c>
      <c r="C75" s="28">
        <v>0.35957099999999997</v>
      </c>
    </row>
    <row r="76" spans="1:3" x14ac:dyDescent="0.2">
      <c r="A76">
        <v>74</v>
      </c>
      <c r="B76" s="27">
        <v>1170.6380999999999</v>
      </c>
      <c r="C76" s="28">
        <v>0.36457099999999998</v>
      </c>
    </row>
    <row r="77" spans="1:3" x14ac:dyDescent="0.2">
      <c r="A77">
        <v>75</v>
      </c>
      <c r="B77" s="27">
        <v>1159.1638</v>
      </c>
      <c r="C77" s="28">
        <v>0.36957099999999998</v>
      </c>
    </row>
    <row r="78" spans="1:3" x14ac:dyDescent="0.2">
      <c r="A78">
        <v>76</v>
      </c>
      <c r="B78" s="27">
        <v>1147.6890000000001</v>
      </c>
      <c r="C78" s="28">
        <v>0.37457099999999999</v>
      </c>
    </row>
    <row r="79" spans="1:3" x14ac:dyDescent="0.2">
      <c r="A79">
        <v>77</v>
      </c>
      <c r="B79" s="27">
        <v>1136.2147</v>
      </c>
      <c r="C79" s="28">
        <v>0.37957099999999999</v>
      </c>
    </row>
    <row r="80" spans="1:3" x14ac:dyDescent="0.2">
      <c r="A80">
        <v>78</v>
      </c>
      <c r="B80" s="27">
        <v>1124.7399</v>
      </c>
      <c r="C80" s="28">
        <v>0.384571</v>
      </c>
    </row>
    <row r="81" spans="1:3" x14ac:dyDescent="0.2">
      <c r="A81">
        <v>79</v>
      </c>
      <c r="B81" s="27">
        <v>1113.2650000000001</v>
      </c>
      <c r="C81" s="28">
        <v>0.389571</v>
      </c>
    </row>
    <row r="82" spans="1:3" x14ac:dyDescent="0.2">
      <c r="A82">
        <v>80</v>
      </c>
      <c r="B82" s="27">
        <v>1101.7900999999999</v>
      </c>
      <c r="C82" s="28">
        <v>0.39457100000000001</v>
      </c>
    </row>
    <row r="83" spans="1:3" x14ac:dyDescent="0.2">
      <c r="A83">
        <v>81</v>
      </c>
      <c r="B83" s="27">
        <v>1090.3154999999999</v>
      </c>
      <c r="C83" s="28">
        <v>0.39957100000000001</v>
      </c>
    </row>
    <row r="84" spans="1:3" x14ac:dyDescent="0.2">
      <c r="A84">
        <v>82</v>
      </c>
      <c r="B84" s="27">
        <v>1078.8332</v>
      </c>
      <c r="C84" s="28">
        <v>0.40457100000000001</v>
      </c>
    </row>
    <row r="85" spans="1:3" x14ac:dyDescent="0.2">
      <c r="A85">
        <v>83</v>
      </c>
      <c r="B85" s="27">
        <v>1067.3504</v>
      </c>
      <c r="C85" s="28">
        <v>0.40957100000000002</v>
      </c>
    </row>
    <row r="86" spans="1:3" x14ac:dyDescent="0.2">
      <c r="A86">
        <v>84</v>
      </c>
      <c r="B86" s="27">
        <v>1055.8678</v>
      </c>
      <c r="C86" s="28">
        <v>0.41457100000000002</v>
      </c>
    </row>
    <row r="87" spans="1:3" x14ac:dyDescent="0.2">
      <c r="A87">
        <v>85</v>
      </c>
      <c r="B87" s="27">
        <v>1044.3852999999999</v>
      </c>
      <c r="C87" s="28">
        <v>0.41957100000000003</v>
      </c>
    </row>
    <row r="88" spans="1:3" x14ac:dyDescent="0.2">
      <c r="A88">
        <v>86</v>
      </c>
      <c r="B88" s="27">
        <v>1032.9022</v>
      </c>
      <c r="C88" s="28">
        <v>0.42457099999999998</v>
      </c>
    </row>
    <row r="89" spans="1:3" x14ac:dyDescent="0.2">
      <c r="A89">
        <v>87</v>
      </c>
      <c r="B89" s="27">
        <v>1021.4194</v>
      </c>
      <c r="C89" s="28">
        <v>0.42957099999999998</v>
      </c>
    </row>
    <row r="90" spans="1:3" x14ac:dyDescent="0.2">
      <c r="A90">
        <v>88</v>
      </c>
      <c r="B90" s="27">
        <v>1009.9364</v>
      </c>
      <c r="C90" s="28">
        <v>0.43457099999999999</v>
      </c>
    </row>
    <row r="91" spans="1:3" x14ac:dyDescent="0.2">
      <c r="A91">
        <v>89</v>
      </c>
      <c r="B91" s="27">
        <v>998.45360000000005</v>
      </c>
      <c r="C91" s="28">
        <v>0.43957099999999999</v>
      </c>
    </row>
    <row r="92" spans="1:3" x14ac:dyDescent="0.2">
      <c r="A92">
        <v>90</v>
      </c>
      <c r="B92" s="27">
        <v>986.97069999999997</v>
      </c>
      <c r="C92" s="28">
        <v>0.44457099999999999</v>
      </c>
    </row>
    <row r="93" spans="1:3" x14ac:dyDescent="0.2">
      <c r="A93">
        <v>91</v>
      </c>
      <c r="B93" s="27">
        <v>975.48749999999995</v>
      </c>
      <c r="C93" s="28">
        <v>0.449571</v>
      </c>
    </row>
    <row r="94" spans="1:3" x14ac:dyDescent="0.2">
      <c r="A94">
        <v>92</v>
      </c>
      <c r="B94" s="27">
        <v>964.00409999999999</v>
      </c>
      <c r="C94" s="28">
        <v>0.454571</v>
      </c>
    </row>
    <row r="95" spans="1:3" x14ac:dyDescent="0.2">
      <c r="A95">
        <v>93</v>
      </c>
      <c r="B95" s="27">
        <v>952.52099999999996</v>
      </c>
      <c r="C95" s="28">
        <v>0.45957100000000001</v>
      </c>
    </row>
    <row r="96" spans="1:3" x14ac:dyDescent="0.2">
      <c r="A96">
        <v>94</v>
      </c>
      <c r="B96" s="27">
        <v>941.03790000000004</v>
      </c>
      <c r="C96" s="28">
        <v>0.46457100000000001</v>
      </c>
    </row>
    <row r="97" spans="1:3" x14ac:dyDescent="0.2">
      <c r="A97">
        <v>95</v>
      </c>
      <c r="B97" s="27">
        <v>929.55439999999999</v>
      </c>
      <c r="C97" s="28">
        <v>0.46957100000000002</v>
      </c>
    </row>
    <row r="98" spans="1:3" x14ac:dyDescent="0.2">
      <c r="A98">
        <v>96</v>
      </c>
      <c r="B98" s="27">
        <v>918.07100000000003</v>
      </c>
      <c r="C98" s="28">
        <v>0.47457100000000002</v>
      </c>
    </row>
    <row r="99" spans="1:3" x14ac:dyDescent="0.2">
      <c r="A99">
        <v>97</v>
      </c>
      <c r="B99" s="27">
        <v>906.58770000000004</v>
      </c>
      <c r="C99" s="28">
        <v>0.47957100000000003</v>
      </c>
    </row>
    <row r="100" spans="1:3" x14ac:dyDescent="0.2">
      <c r="A100">
        <v>98</v>
      </c>
      <c r="B100" s="27">
        <v>895.10429999999997</v>
      </c>
      <c r="C100" s="28">
        <v>0.48457099999999997</v>
      </c>
    </row>
    <row r="101" spans="1:3" x14ac:dyDescent="0.2">
      <c r="A101">
        <v>99</v>
      </c>
      <c r="B101" s="27">
        <v>883.62080000000003</v>
      </c>
      <c r="C101" s="28">
        <v>0.48957099999999998</v>
      </c>
    </row>
    <row r="102" spans="1:3" x14ac:dyDescent="0.2">
      <c r="A102">
        <v>100</v>
      </c>
      <c r="B102" s="27">
        <v>872.13710000000003</v>
      </c>
      <c r="C102" s="28">
        <v>0.49457099999999998</v>
      </c>
    </row>
    <row r="103" spans="1:3" x14ac:dyDescent="0.2">
      <c r="A103">
        <v>101</v>
      </c>
      <c r="B103" s="27">
        <v>0</v>
      </c>
      <c r="C103" s="28">
        <v>0.49957099999999999</v>
      </c>
    </row>
    <row r="104" spans="1:3" x14ac:dyDescent="0.2">
      <c r="A104">
        <v>102</v>
      </c>
      <c r="B104" s="27"/>
      <c r="C104" s="28"/>
    </row>
    <row r="105" spans="1:3" x14ac:dyDescent="0.2">
      <c r="A105">
        <v>103</v>
      </c>
      <c r="B105" s="27"/>
      <c r="C105" s="28"/>
    </row>
    <row r="106" spans="1:3" x14ac:dyDescent="0.2">
      <c r="A106">
        <v>104</v>
      </c>
      <c r="B106" s="27"/>
      <c r="C106" s="28"/>
    </row>
    <row r="107" spans="1:3" x14ac:dyDescent="0.2">
      <c r="A107">
        <v>105</v>
      </c>
      <c r="B107" s="27"/>
      <c r="C107" s="28"/>
    </row>
    <row r="108" spans="1:3" x14ac:dyDescent="0.2">
      <c r="A108">
        <v>106</v>
      </c>
      <c r="B108" s="27"/>
      <c r="C108" s="28"/>
    </row>
    <row r="109" spans="1:3" x14ac:dyDescent="0.2">
      <c r="A109">
        <v>107</v>
      </c>
      <c r="B109" s="27"/>
      <c r="C109" s="28"/>
    </row>
    <row r="110" spans="1:3" x14ac:dyDescent="0.2">
      <c r="A110">
        <v>108</v>
      </c>
      <c r="B110" s="27"/>
      <c r="C110" s="28"/>
    </row>
    <row r="111" spans="1:3" x14ac:dyDescent="0.2">
      <c r="A111">
        <v>109</v>
      </c>
      <c r="B111" s="27"/>
      <c r="C111" s="28"/>
    </row>
    <row r="112" spans="1:3" x14ac:dyDescent="0.2">
      <c r="A112">
        <v>110</v>
      </c>
      <c r="B112" s="27"/>
      <c r="C112" s="28"/>
    </row>
    <row r="113" spans="1:3" x14ac:dyDescent="0.2">
      <c r="A113">
        <v>111</v>
      </c>
      <c r="B113" s="27"/>
      <c r="C113" s="28"/>
    </row>
    <row r="114" spans="1:3" x14ac:dyDescent="0.2">
      <c r="A114">
        <v>112</v>
      </c>
      <c r="B114" s="27"/>
      <c r="C114" s="28"/>
    </row>
    <row r="115" spans="1:3" x14ac:dyDescent="0.2">
      <c r="A115">
        <v>113</v>
      </c>
      <c r="B115" s="27"/>
      <c r="C115" s="28"/>
    </row>
    <row r="116" spans="1:3" x14ac:dyDescent="0.2">
      <c r="A116">
        <v>114</v>
      </c>
      <c r="B116" s="27"/>
      <c r="C116" s="28"/>
    </row>
    <row r="117" spans="1:3" x14ac:dyDescent="0.2">
      <c r="A117">
        <v>115</v>
      </c>
      <c r="B117" s="27"/>
      <c r="C117" s="28"/>
    </row>
    <row r="118" spans="1:3" x14ac:dyDescent="0.2">
      <c r="A118">
        <v>116</v>
      </c>
      <c r="B118" s="27"/>
      <c r="C118" s="28"/>
    </row>
    <row r="119" spans="1:3" x14ac:dyDescent="0.2">
      <c r="A119">
        <v>117</v>
      </c>
      <c r="B119" s="27"/>
      <c r="C119" s="28"/>
    </row>
    <row r="120" spans="1:3" x14ac:dyDescent="0.2">
      <c r="A120">
        <v>118</v>
      </c>
      <c r="B120" s="27"/>
      <c r="C120" s="28"/>
    </row>
    <row r="121" spans="1:3" x14ac:dyDescent="0.2">
      <c r="A121">
        <v>119</v>
      </c>
      <c r="B121" s="27"/>
      <c r="C121" s="28"/>
    </row>
    <row r="122" spans="1:3" x14ac:dyDescent="0.2">
      <c r="A122">
        <v>120</v>
      </c>
      <c r="B122" s="27"/>
      <c r="C122" s="28"/>
    </row>
    <row r="123" spans="1:3" x14ac:dyDescent="0.2">
      <c r="A123">
        <v>121</v>
      </c>
      <c r="B123" s="27"/>
      <c r="C123" s="28"/>
    </row>
    <row r="124" spans="1:3" x14ac:dyDescent="0.2">
      <c r="A124">
        <v>122</v>
      </c>
      <c r="B124" s="27"/>
      <c r="C124" s="28"/>
    </row>
    <row r="125" spans="1:3" x14ac:dyDescent="0.2">
      <c r="A125">
        <v>123</v>
      </c>
      <c r="B125" s="27"/>
      <c r="C125" s="28"/>
    </row>
    <row r="126" spans="1:3" x14ac:dyDescent="0.2">
      <c r="A126">
        <v>124</v>
      </c>
      <c r="B126" s="27"/>
      <c r="C126" s="28"/>
    </row>
    <row r="127" spans="1:3" x14ac:dyDescent="0.2">
      <c r="A127">
        <v>125</v>
      </c>
      <c r="B127" s="27"/>
      <c r="C127" s="28"/>
    </row>
    <row r="128" spans="1:3" x14ac:dyDescent="0.2">
      <c r="A128">
        <v>126</v>
      </c>
      <c r="B128" s="27"/>
      <c r="C128" s="28"/>
    </row>
    <row r="129" spans="1:3" x14ac:dyDescent="0.2">
      <c r="A129">
        <v>127</v>
      </c>
      <c r="B129" s="27"/>
      <c r="C129" s="28"/>
    </row>
    <row r="130" spans="1:3" x14ac:dyDescent="0.2">
      <c r="A130">
        <v>128</v>
      </c>
      <c r="B130" s="27"/>
      <c r="C130" s="28"/>
    </row>
    <row r="131" spans="1:3" x14ac:dyDescent="0.2">
      <c r="A131">
        <v>129</v>
      </c>
      <c r="B131" s="27"/>
      <c r="C131" s="28"/>
    </row>
    <row r="132" spans="1:3" x14ac:dyDescent="0.2">
      <c r="A132">
        <v>130</v>
      </c>
      <c r="B132" s="27"/>
      <c r="C132" s="28"/>
    </row>
    <row r="133" spans="1:3" x14ac:dyDescent="0.2">
      <c r="A133">
        <v>131</v>
      </c>
      <c r="B133" s="27"/>
      <c r="C133" s="28"/>
    </row>
    <row r="134" spans="1:3" x14ac:dyDescent="0.2">
      <c r="A134">
        <v>132</v>
      </c>
      <c r="B134" s="27"/>
      <c r="C134" s="28"/>
    </row>
    <row r="135" spans="1:3" x14ac:dyDescent="0.2">
      <c r="A135">
        <v>133</v>
      </c>
      <c r="B135" s="27"/>
      <c r="C135" s="28"/>
    </row>
    <row r="136" spans="1:3" x14ac:dyDescent="0.2">
      <c r="A136">
        <v>134</v>
      </c>
      <c r="B136" s="27"/>
      <c r="C136" s="28"/>
    </row>
    <row r="137" spans="1:3" x14ac:dyDescent="0.2">
      <c r="A137">
        <v>135</v>
      </c>
      <c r="B137" s="27"/>
      <c r="C137" s="28"/>
    </row>
    <row r="138" spans="1:3" x14ac:dyDescent="0.2">
      <c r="A138">
        <v>136</v>
      </c>
      <c r="B138" s="27"/>
      <c r="C138" s="28"/>
    </row>
    <row r="139" spans="1:3" x14ac:dyDescent="0.2">
      <c r="A139">
        <v>137</v>
      </c>
      <c r="B139" s="27"/>
      <c r="C139" s="28"/>
    </row>
    <row r="140" spans="1:3" x14ac:dyDescent="0.2">
      <c r="A140">
        <v>138</v>
      </c>
      <c r="B140" s="27"/>
      <c r="C140" s="28"/>
    </row>
    <row r="141" spans="1:3" x14ac:dyDescent="0.2">
      <c r="A141">
        <v>139</v>
      </c>
      <c r="B141" s="27"/>
      <c r="C141" s="28"/>
    </row>
    <row r="142" spans="1:3" x14ac:dyDescent="0.2">
      <c r="A142">
        <v>140</v>
      </c>
      <c r="B142" s="27"/>
      <c r="C142" s="28"/>
    </row>
    <row r="143" spans="1:3" x14ac:dyDescent="0.2">
      <c r="A143">
        <v>141</v>
      </c>
      <c r="B143" s="27"/>
      <c r="C143" s="28"/>
    </row>
    <row r="144" spans="1:3" x14ac:dyDescent="0.2">
      <c r="A144">
        <v>142</v>
      </c>
      <c r="B144" s="27"/>
      <c r="C144" s="28"/>
    </row>
    <row r="145" spans="1:3" x14ac:dyDescent="0.2">
      <c r="A145">
        <v>143</v>
      </c>
      <c r="B145" s="27"/>
      <c r="C145" s="28"/>
    </row>
    <row r="146" spans="1:3" x14ac:dyDescent="0.2">
      <c r="A146">
        <v>144</v>
      </c>
      <c r="B146" s="27"/>
      <c r="C146" s="28"/>
    </row>
    <row r="147" spans="1:3" x14ac:dyDescent="0.2">
      <c r="A147">
        <v>145</v>
      </c>
      <c r="B147" s="27"/>
      <c r="C147" s="28"/>
    </row>
    <row r="148" spans="1:3" x14ac:dyDescent="0.2">
      <c r="A148">
        <v>146</v>
      </c>
      <c r="B148" s="27"/>
      <c r="C148" s="28"/>
    </row>
    <row r="149" spans="1:3" x14ac:dyDescent="0.2">
      <c r="A149">
        <v>147</v>
      </c>
      <c r="B149" s="27"/>
      <c r="C149" s="28"/>
    </row>
    <row r="150" spans="1:3" x14ac:dyDescent="0.2">
      <c r="A150">
        <v>148</v>
      </c>
      <c r="B150" s="27"/>
      <c r="C150" s="28"/>
    </row>
    <row r="151" spans="1:3" x14ac:dyDescent="0.2">
      <c r="A151">
        <v>149</v>
      </c>
      <c r="B151" s="27"/>
      <c r="C151" s="28"/>
    </row>
    <row r="152" spans="1:3" x14ac:dyDescent="0.2">
      <c r="A152">
        <v>150</v>
      </c>
      <c r="B152" s="27"/>
      <c r="C152" s="28"/>
    </row>
    <row r="153" spans="1:3" x14ac:dyDescent="0.2">
      <c r="A153">
        <v>151</v>
      </c>
      <c r="B153" s="27"/>
      <c r="C153" s="28"/>
    </row>
    <row r="154" spans="1:3" x14ac:dyDescent="0.2">
      <c r="A154">
        <v>152</v>
      </c>
      <c r="B154" s="27"/>
      <c r="C154" s="28"/>
    </row>
    <row r="155" spans="1:3" x14ac:dyDescent="0.2">
      <c r="A155">
        <v>153</v>
      </c>
      <c r="B155" s="27"/>
      <c r="C155" s="28"/>
    </row>
    <row r="156" spans="1:3" x14ac:dyDescent="0.2">
      <c r="A156">
        <v>154</v>
      </c>
      <c r="B156" s="27"/>
      <c r="C156" s="28"/>
    </row>
    <row r="157" spans="1:3" x14ac:dyDescent="0.2">
      <c r="A157">
        <v>155</v>
      </c>
      <c r="B157" s="27"/>
      <c r="C157" s="28"/>
    </row>
    <row r="158" spans="1:3" x14ac:dyDescent="0.2">
      <c r="A158">
        <v>156</v>
      </c>
      <c r="B158" s="27"/>
      <c r="C158" s="28"/>
    </row>
    <row r="159" spans="1:3" x14ac:dyDescent="0.2">
      <c r="A159">
        <v>157</v>
      </c>
      <c r="B159" s="27"/>
      <c r="C159" s="28"/>
    </row>
    <row r="160" spans="1:3" x14ac:dyDescent="0.2">
      <c r="A160">
        <v>158</v>
      </c>
      <c r="B160" s="27"/>
      <c r="C160" s="28"/>
    </row>
    <row r="161" spans="1:3" x14ac:dyDescent="0.2">
      <c r="A161">
        <v>159</v>
      </c>
      <c r="B161" s="27"/>
      <c r="C161" s="28"/>
    </row>
    <row r="162" spans="1:3" x14ac:dyDescent="0.2">
      <c r="A162">
        <v>160</v>
      </c>
      <c r="B162" s="27"/>
      <c r="C162" s="28"/>
    </row>
    <row r="163" spans="1:3" x14ac:dyDescent="0.2">
      <c r="A163">
        <v>161</v>
      </c>
      <c r="B163" s="27"/>
      <c r="C163" s="28"/>
    </row>
    <row r="164" spans="1:3" x14ac:dyDescent="0.2">
      <c r="A164">
        <v>162</v>
      </c>
      <c r="B164" s="27"/>
      <c r="C164" s="28"/>
    </row>
    <row r="165" spans="1:3" x14ac:dyDescent="0.2">
      <c r="A165">
        <v>163</v>
      </c>
      <c r="B165" s="27"/>
      <c r="C165" s="28"/>
    </row>
    <row r="166" spans="1:3" x14ac:dyDescent="0.2">
      <c r="A166">
        <v>164</v>
      </c>
      <c r="B166" s="27"/>
      <c r="C166" s="28"/>
    </row>
    <row r="167" spans="1:3" x14ac:dyDescent="0.2">
      <c r="A167">
        <v>165</v>
      </c>
      <c r="B167" s="27"/>
      <c r="C167" s="28"/>
    </row>
    <row r="168" spans="1:3" x14ac:dyDescent="0.2">
      <c r="A168">
        <v>166</v>
      </c>
      <c r="B168" s="27"/>
      <c r="C168" s="28"/>
    </row>
    <row r="169" spans="1:3" x14ac:dyDescent="0.2">
      <c r="A169">
        <v>167</v>
      </c>
      <c r="B169" s="27"/>
      <c r="C169" s="28"/>
    </row>
    <row r="170" spans="1:3" x14ac:dyDescent="0.2">
      <c r="A170">
        <v>168</v>
      </c>
      <c r="B170" s="27"/>
      <c r="C170" s="28"/>
    </row>
    <row r="171" spans="1:3" x14ac:dyDescent="0.2">
      <c r="A171">
        <v>169</v>
      </c>
      <c r="B171" s="27"/>
      <c r="C171" s="28"/>
    </row>
    <row r="172" spans="1:3" x14ac:dyDescent="0.2">
      <c r="A172">
        <v>170</v>
      </c>
      <c r="B172" s="27"/>
      <c r="C172" s="28"/>
    </row>
    <row r="173" spans="1:3" x14ac:dyDescent="0.2">
      <c r="A173">
        <v>171</v>
      </c>
      <c r="B173" s="27"/>
      <c r="C173" s="28"/>
    </row>
    <row r="174" spans="1:3" x14ac:dyDescent="0.2">
      <c r="A174">
        <v>172</v>
      </c>
      <c r="B174" s="27"/>
      <c r="C174" s="28"/>
    </row>
    <row r="175" spans="1:3" x14ac:dyDescent="0.2">
      <c r="A175">
        <v>173</v>
      </c>
      <c r="B175" s="27"/>
      <c r="C175" s="28"/>
    </row>
    <row r="176" spans="1:3" x14ac:dyDescent="0.2">
      <c r="A176">
        <v>174</v>
      </c>
      <c r="B176" s="27"/>
      <c r="C176" s="28"/>
    </row>
    <row r="177" spans="1:3" x14ac:dyDescent="0.2">
      <c r="A177">
        <v>175</v>
      </c>
      <c r="B177" s="27"/>
      <c r="C177" s="28"/>
    </row>
    <row r="178" spans="1:3" x14ac:dyDescent="0.2">
      <c r="A178">
        <v>176</v>
      </c>
      <c r="B178" s="27"/>
      <c r="C178" s="28"/>
    </row>
    <row r="179" spans="1:3" x14ac:dyDescent="0.2">
      <c r="A179">
        <v>177</v>
      </c>
      <c r="B179" s="27"/>
      <c r="C179" s="28"/>
    </row>
    <row r="180" spans="1:3" x14ac:dyDescent="0.2">
      <c r="A180">
        <v>178</v>
      </c>
      <c r="B180" s="27"/>
      <c r="C180" s="28"/>
    </row>
    <row r="181" spans="1:3" x14ac:dyDescent="0.2">
      <c r="A181">
        <v>179</v>
      </c>
      <c r="B181" s="27"/>
      <c r="C181" s="28"/>
    </row>
    <row r="182" spans="1:3" x14ac:dyDescent="0.2">
      <c r="A182">
        <v>180</v>
      </c>
      <c r="B182" s="27"/>
      <c r="C182" s="28"/>
    </row>
    <row r="183" spans="1:3" x14ac:dyDescent="0.2">
      <c r="A183">
        <v>181</v>
      </c>
      <c r="B183" s="27"/>
      <c r="C183" s="28"/>
    </row>
    <row r="184" spans="1:3" x14ac:dyDescent="0.2">
      <c r="A184">
        <v>182</v>
      </c>
      <c r="B184" s="27"/>
      <c r="C184" s="28"/>
    </row>
    <row r="185" spans="1:3" x14ac:dyDescent="0.2">
      <c r="A185">
        <v>183</v>
      </c>
      <c r="B185" s="27"/>
      <c r="C185" s="28"/>
    </row>
    <row r="186" spans="1:3" x14ac:dyDescent="0.2">
      <c r="A186">
        <v>184</v>
      </c>
      <c r="B186" s="27"/>
      <c r="C186" s="28"/>
    </row>
    <row r="187" spans="1:3" x14ac:dyDescent="0.2">
      <c r="A187">
        <v>185</v>
      </c>
      <c r="B187" s="27"/>
      <c r="C187" s="28"/>
    </row>
    <row r="188" spans="1:3" x14ac:dyDescent="0.2">
      <c r="A188">
        <v>186</v>
      </c>
      <c r="B188" s="27"/>
      <c r="C188" s="28"/>
    </row>
    <row r="189" spans="1:3" x14ac:dyDescent="0.2">
      <c r="A189">
        <v>187</v>
      </c>
      <c r="B189" s="27"/>
      <c r="C189" s="28"/>
    </row>
    <row r="190" spans="1:3" x14ac:dyDescent="0.2">
      <c r="A190">
        <v>188</v>
      </c>
      <c r="B190" s="27"/>
      <c r="C190" s="28"/>
    </row>
    <row r="191" spans="1:3" x14ac:dyDescent="0.2">
      <c r="A191">
        <v>189</v>
      </c>
      <c r="B191" s="27"/>
      <c r="C191" s="28"/>
    </row>
    <row r="192" spans="1:3" x14ac:dyDescent="0.2">
      <c r="A192">
        <v>190</v>
      </c>
      <c r="B192" s="27"/>
      <c r="C192" s="28"/>
    </row>
    <row r="193" spans="1:3" x14ac:dyDescent="0.2">
      <c r="A193">
        <v>191</v>
      </c>
      <c r="B193" s="27"/>
      <c r="C193" s="28"/>
    </row>
    <row r="194" spans="1:3" x14ac:dyDescent="0.2">
      <c r="A194">
        <v>192</v>
      </c>
      <c r="B194" s="27"/>
      <c r="C194" s="28"/>
    </row>
    <row r="195" spans="1:3" x14ac:dyDescent="0.2">
      <c r="A195">
        <v>193</v>
      </c>
      <c r="B195" s="27"/>
      <c r="C195" s="28"/>
    </row>
    <row r="196" spans="1:3" x14ac:dyDescent="0.2">
      <c r="A196">
        <v>194</v>
      </c>
      <c r="B196" s="27"/>
      <c r="C196" s="28"/>
    </row>
    <row r="197" spans="1:3" x14ac:dyDescent="0.2">
      <c r="A197">
        <v>195</v>
      </c>
      <c r="B197" s="27"/>
      <c r="C197" s="28"/>
    </row>
    <row r="198" spans="1:3" x14ac:dyDescent="0.2">
      <c r="A198">
        <v>196</v>
      </c>
      <c r="B198" s="27"/>
      <c r="C198" s="28"/>
    </row>
    <row r="199" spans="1:3" x14ac:dyDescent="0.2">
      <c r="A199">
        <v>197</v>
      </c>
      <c r="B199" s="27"/>
      <c r="C199" s="28"/>
    </row>
    <row r="200" spans="1:3" x14ac:dyDescent="0.2">
      <c r="A200">
        <v>198</v>
      </c>
      <c r="B200" s="27"/>
      <c r="C200" s="28"/>
    </row>
    <row r="201" spans="1:3" x14ac:dyDescent="0.2">
      <c r="A201">
        <v>199</v>
      </c>
      <c r="B201" s="27"/>
      <c r="C201" s="28"/>
    </row>
    <row r="202" spans="1:3" x14ac:dyDescent="0.2">
      <c r="A202">
        <v>200</v>
      </c>
      <c r="B202" s="27"/>
      <c r="C202" s="28"/>
    </row>
    <row r="203" spans="1:3" x14ac:dyDescent="0.2">
      <c r="A203">
        <v>201</v>
      </c>
      <c r="B203" s="27"/>
      <c r="C203" s="28"/>
    </row>
    <row r="204" spans="1:3" x14ac:dyDescent="0.2">
      <c r="A204">
        <v>202</v>
      </c>
      <c r="B204" s="27"/>
      <c r="C204" s="28"/>
    </row>
    <row r="205" spans="1:3" x14ac:dyDescent="0.2">
      <c r="A205">
        <v>203</v>
      </c>
      <c r="B205" s="27"/>
      <c r="C205" s="28"/>
    </row>
    <row r="206" spans="1:3" x14ac:dyDescent="0.2">
      <c r="A206">
        <v>204</v>
      </c>
      <c r="B206" s="27"/>
      <c r="C206" s="28"/>
    </row>
    <row r="207" spans="1:3" x14ac:dyDescent="0.2">
      <c r="A207">
        <v>205</v>
      </c>
      <c r="B207" s="27"/>
      <c r="C207" s="28"/>
    </row>
    <row r="208" spans="1:3" x14ac:dyDescent="0.2">
      <c r="A208">
        <v>206</v>
      </c>
      <c r="B208" s="27"/>
      <c r="C208" s="28"/>
    </row>
    <row r="209" spans="1:3" x14ac:dyDescent="0.2">
      <c r="A209">
        <v>207</v>
      </c>
      <c r="B209" s="27"/>
      <c r="C209" s="28"/>
    </row>
    <row r="210" spans="1:3" x14ac:dyDescent="0.2">
      <c r="A210">
        <v>208</v>
      </c>
      <c r="B210" s="27"/>
      <c r="C210" s="28"/>
    </row>
    <row r="211" spans="1:3" x14ac:dyDescent="0.2">
      <c r="A211">
        <v>209</v>
      </c>
      <c r="B211" s="27"/>
      <c r="C211" s="28"/>
    </row>
    <row r="212" spans="1:3" x14ac:dyDescent="0.2">
      <c r="A212">
        <v>210</v>
      </c>
      <c r="B212" s="27"/>
      <c r="C212" s="28"/>
    </row>
    <row r="213" spans="1:3" x14ac:dyDescent="0.2">
      <c r="A213">
        <v>211</v>
      </c>
      <c r="B213" s="27"/>
      <c r="C213" s="28"/>
    </row>
    <row r="214" spans="1:3" x14ac:dyDescent="0.2">
      <c r="A214">
        <v>212</v>
      </c>
      <c r="B214" s="27"/>
      <c r="C214" s="28"/>
    </row>
    <row r="215" spans="1:3" x14ac:dyDescent="0.2">
      <c r="A215">
        <v>213</v>
      </c>
      <c r="B215" s="27"/>
      <c r="C215" s="28"/>
    </row>
    <row r="216" spans="1:3" x14ac:dyDescent="0.2">
      <c r="A216">
        <v>214</v>
      </c>
      <c r="B216" s="27"/>
      <c r="C216" s="28"/>
    </row>
    <row r="217" spans="1:3" x14ac:dyDescent="0.2">
      <c r="A217">
        <v>215</v>
      </c>
      <c r="B217" s="27"/>
      <c r="C217" s="28"/>
    </row>
    <row r="218" spans="1:3" x14ac:dyDescent="0.2">
      <c r="A218">
        <v>216</v>
      </c>
      <c r="B218" s="27"/>
      <c r="C218" s="28"/>
    </row>
    <row r="219" spans="1:3" x14ac:dyDescent="0.2">
      <c r="A219">
        <v>217</v>
      </c>
      <c r="B219" s="27"/>
      <c r="C219" s="28"/>
    </row>
    <row r="220" spans="1:3" x14ac:dyDescent="0.2">
      <c r="A220">
        <v>218</v>
      </c>
      <c r="B220" s="27"/>
      <c r="C220" s="28"/>
    </row>
    <row r="221" spans="1:3" x14ac:dyDescent="0.2">
      <c r="A221">
        <v>219</v>
      </c>
      <c r="B221" s="27"/>
      <c r="C221" s="28"/>
    </row>
    <row r="222" spans="1:3" x14ac:dyDescent="0.2">
      <c r="A222">
        <v>220</v>
      </c>
      <c r="B222" s="27"/>
      <c r="C222" s="28"/>
    </row>
    <row r="223" spans="1:3" x14ac:dyDescent="0.2">
      <c r="A223">
        <v>221</v>
      </c>
      <c r="B223" s="27"/>
      <c r="C223" s="28"/>
    </row>
    <row r="224" spans="1:3" x14ac:dyDescent="0.2">
      <c r="A224">
        <v>222</v>
      </c>
      <c r="B224" s="27"/>
      <c r="C224" s="28"/>
    </row>
    <row r="225" spans="1:3" x14ac:dyDescent="0.2">
      <c r="A225">
        <v>223</v>
      </c>
      <c r="B225" s="27"/>
      <c r="C225" s="28"/>
    </row>
    <row r="226" spans="1:3" x14ac:dyDescent="0.2">
      <c r="A226">
        <v>224</v>
      </c>
      <c r="B226" s="27"/>
      <c r="C226" s="28"/>
    </row>
    <row r="227" spans="1:3" x14ac:dyDescent="0.2">
      <c r="A227">
        <v>225</v>
      </c>
      <c r="B227" s="27"/>
      <c r="C227" s="28"/>
    </row>
    <row r="228" spans="1:3" x14ac:dyDescent="0.2">
      <c r="A228">
        <v>226</v>
      </c>
      <c r="B228" s="27"/>
      <c r="C228" s="28"/>
    </row>
    <row r="229" spans="1:3" x14ac:dyDescent="0.2">
      <c r="A229">
        <v>227</v>
      </c>
      <c r="B229" s="27"/>
      <c r="C229" s="28"/>
    </row>
    <row r="230" spans="1:3" x14ac:dyDescent="0.2">
      <c r="A230">
        <v>228</v>
      </c>
      <c r="B230" s="27"/>
      <c r="C230" s="28"/>
    </row>
    <row r="231" spans="1:3" x14ac:dyDescent="0.2">
      <c r="A231">
        <v>229</v>
      </c>
      <c r="B231" s="27"/>
      <c r="C231" s="28"/>
    </row>
    <row r="232" spans="1:3" x14ac:dyDescent="0.2">
      <c r="A232">
        <v>230</v>
      </c>
      <c r="B232" s="27"/>
      <c r="C232" s="28"/>
    </row>
    <row r="233" spans="1:3" x14ac:dyDescent="0.2">
      <c r="A233">
        <v>231</v>
      </c>
      <c r="B233" s="27"/>
      <c r="C233" s="28"/>
    </row>
    <row r="234" spans="1:3" x14ac:dyDescent="0.2">
      <c r="A234">
        <v>232</v>
      </c>
      <c r="B234" s="27"/>
      <c r="C234" s="28"/>
    </row>
    <row r="235" spans="1:3" x14ac:dyDescent="0.2">
      <c r="A235">
        <v>233</v>
      </c>
      <c r="B235" s="27"/>
      <c r="C235" s="28"/>
    </row>
    <row r="236" spans="1:3" x14ac:dyDescent="0.2">
      <c r="A236">
        <v>234</v>
      </c>
      <c r="B236" s="27"/>
      <c r="C236" s="28"/>
    </row>
    <row r="237" spans="1:3" x14ac:dyDescent="0.2">
      <c r="A237">
        <v>235</v>
      </c>
      <c r="B237" s="27"/>
      <c r="C237" s="28"/>
    </row>
    <row r="238" spans="1:3" x14ac:dyDescent="0.2">
      <c r="A238">
        <v>236</v>
      </c>
      <c r="B238" s="27"/>
      <c r="C238" s="28"/>
    </row>
    <row r="239" spans="1:3" x14ac:dyDescent="0.2">
      <c r="A239">
        <v>237</v>
      </c>
      <c r="B239" s="27"/>
      <c r="C239" s="28"/>
    </row>
    <row r="240" spans="1:3" x14ac:dyDescent="0.2">
      <c r="A240">
        <v>238</v>
      </c>
      <c r="B240" s="27"/>
      <c r="C240" s="28"/>
    </row>
    <row r="241" spans="1:3" x14ac:dyDescent="0.2">
      <c r="A241">
        <v>239</v>
      </c>
      <c r="B241" s="27"/>
      <c r="C241" s="28"/>
    </row>
    <row r="242" spans="1:3" x14ac:dyDescent="0.2">
      <c r="A242">
        <v>240</v>
      </c>
      <c r="B242" s="27"/>
      <c r="C242" s="28"/>
    </row>
    <row r="243" spans="1:3" x14ac:dyDescent="0.2">
      <c r="A243">
        <v>241</v>
      </c>
      <c r="B243" s="27"/>
      <c r="C243" s="28"/>
    </row>
    <row r="244" spans="1:3" x14ac:dyDescent="0.2">
      <c r="A244">
        <v>242</v>
      </c>
      <c r="B244" s="27"/>
      <c r="C244" s="28"/>
    </row>
    <row r="245" spans="1:3" x14ac:dyDescent="0.2">
      <c r="A245">
        <v>243</v>
      </c>
      <c r="B245" s="27"/>
      <c r="C245" s="28"/>
    </row>
    <row r="246" spans="1:3" x14ac:dyDescent="0.2">
      <c r="A246">
        <v>244</v>
      </c>
      <c r="B246" s="27"/>
      <c r="C246" s="28"/>
    </row>
    <row r="247" spans="1:3" x14ac:dyDescent="0.2">
      <c r="A247">
        <v>245</v>
      </c>
      <c r="B247" s="27"/>
      <c r="C247" s="28"/>
    </row>
    <row r="248" spans="1:3" x14ac:dyDescent="0.2">
      <c r="A248">
        <v>246</v>
      </c>
      <c r="B248" s="27"/>
      <c r="C248" s="28"/>
    </row>
    <row r="249" spans="1:3" x14ac:dyDescent="0.2">
      <c r="A249">
        <v>247</v>
      </c>
      <c r="B249" s="27"/>
      <c r="C249" s="28"/>
    </row>
    <row r="250" spans="1:3" x14ac:dyDescent="0.2">
      <c r="A250">
        <v>248</v>
      </c>
      <c r="B250" s="27"/>
      <c r="C250" s="28"/>
    </row>
    <row r="251" spans="1:3" x14ac:dyDescent="0.2">
      <c r="A251">
        <v>249</v>
      </c>
      <c r="B251" s="27"/>
      <c r="C251" s="28"/>
    </row>
    <row r="252" spans="1:3" x14ac:dyDescent="0.2">
      <c r="A252">
        <v>250</v>
      </c>
      <c r="B252" s="27"/>
      <c r="C252" s="28"/>
    </row>
    <row r="253" spans="1:3" x14ac:dyDescent="0.2">
      <c r="A253">
        <v>251</v>
      </c>
      <c r="B253" s="27"/>
      <c r="C253" s="28"/>
    </row>
    <row r="254" spans="1:3" x14ac:dyDescent="0.2">
      <c r="A254">
        <v>252</v>
      </c>
      <c r="B254" s="27"/>
      <c r="C254" s="28"/>
    </row>
    <row r="255" spans="1:3" x14ac:dyDescent="0.2">
      <c r="A255">
        <v>253</v>
      </c>
      <c r="B255" s="27"/>
      <c r="C255" s="28"/>
    </row>
    <row r="256" spans="1:3" x14ac:dyDescent="0.2">
      <c r="A256">
        <v>254</v>
      </c>
      <c r="B256" s="27"/>
      <c r="C256" s="28"/>
    </row>
    <row r="257" spans="1:3" x14ac:dyDescent="0.2">
      <c r="A257">
        <v>255</v>
      </c>
      <c r="B257" s="27"/>
      <c r="C257" s="28"/>
    </row>
    <row r="258" spans="1:3" x14ac:dyDescent="0.2">
      <c r="A258">
        <v>256</v>
      </c>
      <c r="B258" s="27"/>
      <c r="C258" s="28"/>
    </row>
    <row r="259" spans="1:3" x14ac:dyDescent="0.2">
      <c r="A259">
        <v>257</v>
      </c>
      <c r="B259" s="27"/>
      <c r="C259" s="28"/>
    </row>
    <row r="260" spans="1:3" x14ac:dyDescent="0.2">
      <c r="A260">
        <v>258</v>
      </c>
      <c r="B260" s="27"/>
      <c r="C260" s="28"/>
    </row>
    <row r="261" spans="1:3" x14ac:dyDescent="0.2">
      <c r="A261">
        <v>259</v>
      </c>
      <c r="B261" s="27"/>
      <c r="C261" s="28"/>
    </row>
    <row r="262" spans="1:3" x14ac:dyDescent="0.2">
      <c r="A262">
        <v>260</v>
      </c>
      <c r="B262" s="27"/>
      <c r="C262" s="28"/>
    </row>
    <row r="263" spans="1:3" x14ac:dyDescent="0.2">
      <c r="A263">
        <v>261</v>
      </c>
      <c r="B263" s="27"/>
      <c r="C263" s="28"/>
    </row>
    <row r="264" spans="1:3" x14ac:dyDescent="0.2">
      <c r="A264">
        <v>262</v>
      </c>
      <c r="B264" s="27"/>
      <c r="C264" s="28"/>
    </row>
    <row r="265" spans="1:3" x14ac:dyDescent="0.2">
      <c r="A265">
        <v>263</v>
      </c>
      <c r="B265" s="27"/>
      <c r="C265" s="28"/>
    </row>
    <row r="266" spans="1:3" x14ac:dyDescent="0.2">
      <c r="A266">
        <v>264</v>
      </c>
      <c r="B266" s="27"/>
      <c r="C266" s="28"/>
    </row>
    <row r="267" spans="1:3" x14ac:dyDescent="0.2">
      <c r="A267">
        <v>265</v>
      </c>
      <c r="B267" s="27"/>
      <c r="C267" s="28"/>
    </row>
    <row r="268" spans="1:3" x14ac:dyDescent="0.2">
      <c r="A268">
        <v>266</v>
      </c>
      <c r="B268" s="27"/>
      <c r="C268" s="28"/>
    </row>
    <row r="269" spans="1:3" x14ac:dyDescent="0.2">
      <c r="A269">
        <v>267</v>
      </c>
      <c r="B269" s="27"/>
      <c r="C269" s="28"/>
    </row>
    <row r="270" spans="1:3" x14ac:dyDescent="0.2">
      <c r="A270">
        <v>268</v>
      </c>
      <c r="B270" s="27"/>
      <c r="C270" s="28"/>
    </row>
    <row r="271" spans="1:3" x14ac:dyDescent="0.2">
      <c r="A271">
        <v>269</v>
      </c>
      <c r="B271" s="27"/>
      <c r="C271" s="28"/>
    </row>
    <row r="272" spans="1:3" x14ac:dyDescent="0.2">
      <c r="A272">
        <v>270</v>
      </c>
      <c r="B272" s="27"/>
      <c r="C272" s="28"/>
    </row>
    <row r="273" spans="1:3" x14ac:dyDescent="0.2">
      <c r="A273">
        <v>271</v>
      </c>
      <c r="B273" s="27"/>
      <c r="C273" s="28"/>
    </row>
    <row r="274" spans="1:3" x14ac:dyDescent="0.2">
      <c r="A274">
        <v>272</v>
      </c>
      <c r="B274" s="27"/>
      <c r="C274" s="28"/>
    </row>
    <row r="275" spans="1:3" x14ac:dyDescent="0.2">
      <c r="A275">
        <v>273</v>
      </c>
      <c r="B275" s="27"/>
      <c r="C275" s="28"/>
    </row>
    <row r="276" spans="1:3" x14ac:dyDescent="0.2">
      <c r="A276">
        <v>274</v>
      </c>
      <c r="B276" s="27"/>
      <c r="C276" s="28"/>
    </row>
    <row r="277" spans="1:3" x14ac:dyDescent="0.2">
      <c r="A277">
        <v>275</v>
      </c>
      <c r="B277" s="27"/>
      <c r="C277" s="28"/>
    </row>
    <row r="278" spans="1:3" x14ac:dyDescent="0.2">
      <c r="A278">
        <v>276</v>
      </c>
      <c r="B278" s="27"/>
      <c r="C278" s="28"/>
    </row>
    <row r="279" spans="1:3" x14ac:dyDescent="0.2">
      <c r="A279">
        <v>277</v>
      </c>
      <c r="B279" s="27"/>
      <c r="C279" s="28"/>
    </row>
    <row r="280" spans="1:3" x14ac:dyDescent="0.2">
      <c r="A280">
        <v>278</v>
      </c>
      <c r="B280" s="27"/>
      <c r="C280" s="28"/>
    </row>
    <row r="281" spans="1:3" x14ac:dyDescent="0.2">
      <c r="A281">
        <v>279</v>
      </c>
      <c r="B281" s="27"/>
      <c r="C281" s="28"/>
    </row>
    <row r="282" spans="1:3" x14ac:dyDescent="0.2">
      <c r="A282">
        <v>280</v>
      </c>
      <c r="B282" s="27"/>
      <c r="C282" s="28"/>
    </row>
    <row r="283" spans="1:3" x14ac:dyDescent="0.2">
      <c r="A283">
        <v>281</v>
      </c>
      <c r="B283" s="27"/>
      <c r="C283" s="28"/>
    </row>
    <row r="284" spans="1:3" x14ac:dyDescent="0.2">
      <c r="A284">
        <v>282</v>
      </c>
      <c r="B284" s="27"/>
      <c r="C284" s="28"/>
    </row>
    <row r="285" spans="1:3" x14ac:dyDescent="0.2">
      <c r="A285">
        <v>283</v>
      </c>
      <c r="B285" s="27"/>
      <c r="C285" s="28"/>
    </row>
    <row r="286" spans="1:3" x14ac:dyDescent="0.2">
      <c r="A286">
        <v>284</v>
      </c>
      <c r="B286" s="27"/>
      <c r="C286" s="28"/>
    </row>
    <row r="287" spans="1:3" x14ac:dyDescent="0.2">
      <c r="A287">
        <v>285</v>
      </c>
      <c r="B287" s="27"/>
      <c r="C287" s="28"/>
    </row>
    <row r="288" spans="1:3" x14ac:dyDescent="0.2">
      <c r="A288">
        <v>286</v>
      </c>
      <c r="B288" s="27"/>
      <c r="C288" s="28"/>
    </row>
    <row r="289" spans="1:3" x14ac:dyDescent="0.2">
      <c r="A289">
        <v>287</v>
      </c>
      <c r="B289" s="27"/>
      <c r="C289" s="28"/>
    </row>
    <row r="290" spans="1:3" x14ac:dyDescent="0.2">
      <c r="A290">
        <v>288</v>
      </c>
      <c r="B290" s="27"/>
      <c r="C290" s="28"/>
    </row>
    <row r="291" spans="1:3" x14ac:dyDescent="0.2">
      <c r="A291">
        <v>289</v>
      </c>
      <c r="B291" s="27"/>
      <c r="C291" s="28"/>
    </row>
    <row r="292" spans="1:3" x14ac:dyDescent="0.2">
      <c r="A292">
        <v>290</v>
      </c>
      <c r="B292" s="27"/>
      <c r="C292" s="28"/>
    </row>
    <row r="293" spans="1:3" x14ac:dyDescent="0.2">
      <c r="A293">
        <v>291</v>
      </c>
      <c r="B293" s="27"/>
      <c r="C293" s="28"/>
    </row>
    <row r="294" spans="1:3" x14ac:dyDescent="0.2">
      <c r="A294">
        <v>292</v>
      </c>
      <c r="B294" s="27"/>
      <c r="C294" s="28"/>
    </row>
    <row r="295" spans="1:3" x14ac:dyDescent="0.2">
      <c r="A295">
        <v>293</v>
      </c>
      <c r="B295" s="27"/>
      <c r="C295" s="28"/>
    </row>
    <row r="296" spans="1:3" x14ac:dyDescent="0.2">
      <c r="A296">
        <v>294</v>
      </c>
      <c r="B296" s="27"/>
      <c r="C296" s="28"/>
    </row>
    <row r="297" spans="1:3" x14ac:dyDescent="0.2">
      <c r="A297">
        <v>295</v>
      </c>
      <c r="B297" s="27"/>
      <c r="C297" s="28"/>
    </row>
    <row r="298" spans="1:3" x14ac:dyDescent="0.2">
      <c r="A298">
        <v>296</v>
      </c>
      <c r="B298" s="27"/>
      <c r="C298" s="28"/>
    </row>
    <row r="299" spans="1:3" x14ac:dyDescent="0.2">
      <c r="A299">
        <v>297</v>
      </c>
      <c r="B299" s="27"/>
      <c r="C299" s="28"/>
    </row>
    <row r="300" spans="1:3" x14ac:dyDescent="0.2">
      <c r="A300">
        <v>298</v>
      </c>
      <c r="B300" s="27"/>
      <c r="C300" s="28"/>
    </row>
    <row r="301" spans="1:3" x14ac:dyDescent="0.2">
      <c r="A301">
        <v>299</v>
      </c>
      <c r="B301" s="27"/>
      <c r="C301" s="28"/>
    </row>
    <row r="302" spans="1:3" x14ac:dyDescent="0.2">
      <c r="A302">
        <v>300</v>
      </c>
      <c r="B302" s="27"/>
      <c r="C302" s="28"/>
    </row>
    <row r="303" spans="1:3" x14ac:dyDescent="0.2">
      <c r="A303">
        <v>301</v>
      </c>
      <c r="B303" s="27"/>
      <c r="C303" s="28"/>
    </row>
    <row r="304" spans="1:3" x14ac:dyDescent="0.2">
      <c r="A304">
        <v>302</v>
      </c>
      <c r="B304" s="27"/>
      <c r="C304" s="28"/>
    </row>
    <row r="305" spans="1:3" x14ac:dyDescent="0.2">
      <c r="A305">
        <v>303</v>
      </c>
      <c r="B305" s="27"/>
      <c r="C305" s="28"/>
    </row>
    <row r="306" spans="1:3" x14ac:dyDescent="0.2">
      <c r="A306">
        <v>304</v>
      </c>
      <c r="B306" s="27"/>
      <c r="C306" s="28"/>
    </row>
    <row r="307" spans="1:3" x14ac:dyDescent="0.2">
      <c r="A307">
        <v>305</v>
      </c>
      <c r="B307" s="27"/>
      <c r="C307" s="28"/>
    </row>
    <row r="308" spans="1:3" x14ac:dyDescent="0.2">
      <c r="A308">
        <v>306</v>
      </c>
      <c r="B308" s="27"/>
      <c r="C308" s="28"/>
    </row>
    <row r="309" spans="1:3" x14ac:dyDescent="0.2">
      <c r="A309">
        <v>307</v>
      </c>
      <c r="B309" s="27"/>
      <c r="C309" s="28"/>
    </row>
    <row r="310" spans="1:3" x14ac:dyDescent="0.2">
      <c r="A310">
        <v>308</v>
      </c>
      <c r="B310" s="27"/>
      <c r="C310" s="28"/>
    </row>
    <row r="311" spans="1:3" x14ac:dyDescent="0.2">
      <c r="A311">
        <v>309</v>
      </c>
      <c r="B311" s="27"/>
      <c r="C311" s="28"/>
    </row>
    <row r="312" spans="1:3" x14ac:dyDescent="0.2">
      <c r="A312">
        <v>310</v>
      </c>
      <c r="B312" s="27"/>
      <c r="C312" s="28"/>
    </row>
    <row r="313" spans="1:3" x14ac:dyDescent="0.2">
      <c r="A313">
        <v>311</v>
      </c>
      <c r="B313" s="27"/>
      <c r="C313" s="28"/>
    </row>
    <row r="314" spans="1:3" x14ac:dyDescent="0.2">
      <c r="A314">
        <v>312</v>
      </c>
      <c r="B314" s="27"/>
      <c r="C314" s="28"/>
    </row>
    <row r="315" spans="1:3" x14ac:dyDescent="0.2">
      <c r="A315">
        <v>313</v>
      </c>
      <c r="B315" s="27"/>
      <c r="C315" s="28"/>
    </row>
    <row r="316" spans="1:3" x14ac:dyDescent="0.2">
      <c r="A316">
        <v>314</v>
      </c>
      <c r="B316" s="27"/>
      <c r="C316" s="28"/>
    </row>
    <row r="317" spans="1:3" x14ac:dyDescent="0.2">
      <c r="A317">
        <v>315</v>
      </c>
      <c r="B317" s="27"/>
      <c r="C317" s="28"/>
    </row>
    <row r="318" spans="1:3" x14ac:dyDescent="0.2">
      <c r="A318">
        <v>316</v>
      </c>
      <c r="B318" s="27"/>
      <c r="C318" s="28"/>
    </row>
    <row r="319" spans="1:3" x14ac:dyDescent="0.2">
      <c r="A319">
        <v>317</v>
      </c>
      <c r="B319" s="27"/>
      <c r="C319" s="28"/>
    </row>
    <row r="320" spans="1:3" x14ac:dyDescent="0.2">
      <c r="A320">
        <v>318</v>
      </c>
      <c r="B320" s="27"/>
      <c r="C320" s="28"/>
    </row>
    <row r="321" spans="1:3" x14ac:dyDescent="0.2">
      <c r="A321">
        <v>319</v>
      </c>
      <c r="B321" s="27"/>
      <c r="C321" s="28"/>
    </row>
    <row r="322" spans="1:3" x14ac:dyDescent="0.2">
      <c r="A322">
        <v>320</v>
      </c>
      <c r="B322" s="27"/>
      <c r="C322" s="28"/>
    </row>
    <row r="323" spans="1:3" x14ac:dyDescent="0.2">
      <c r="A323">
        <v>321</v>
      </c>
      <c r="B323" s="27"/>
      <c r="C323" s="28"/>
    </row>
    <row r="324" spans="1:3" x14ac:dyDescent="0.2">
      <c r="A324">
        <v>322</v>
      </c>
      <c r="B324" s="27"/>
      <c r="C324" s="28"/>
    </row>
    <row r="325" spans="1:3" x14ac:dyDescent="0.2">
      <c r="A325">
        <v>323</v>
      </c>
      <c r="B325" s="27"/>
      <c r="C325" s="28"/>
    </row>
    <row r="326" spans="1:3" x14ac:dyDescent="0.2">
      <c r="A326">
        <v>324</v>
      </c>
      <c r="B326" s="27"/>
      <c r="C326" s="28"/>
    </row>
    <row r="327" spans="1:3" x14ac:dyDescent="0.2">
      <c r="A327">
        <v>325</v>
      </c>
      <c r="B327" s="27"/>
      <c r="C327" s="28"/>
    </row>
    <row r="328" spans="1:3" x14ac:dyDescent="0.2">
      <c r="A328">
        <v>326</v>
      </c>
      <c r="B328" s="27"/>
      <c r="C328" s="28"/>
    </row>
    <row r="329" spans="1:3" x14ac:dyDescent="0.2">
      <c r="A329">
        <v>327</v>
      </c>
      <c r="B329" s="27"/>
      <c r="C329" s="28"/>
    </row>
    <row r="330" spans="1:3" x14ac:dyDescent="0.2">
      <c r="A330">
        <v>328</v>
      </c>
      <c r="B330" s="27"/>
      <c r="C330" s="28"/>
    </row>
    <row r="331" spans="1:3" x14ac:dyDescent="0.2">
      <c r="A331">
        <v>329</v>
      </c>
      <c r="B331" s="27"/>
      <c r="C331" s="28"/>
    </row>
    <row r="332" spans="1:3" x14ac:dyDescent="0.2">
      <c r="A332">
        <v>330</v>
      </c>
      <c r="B332" s="27"/>
      <c r="C332" s="28"/>
    </row>
    <row r="333" spans="1:3" x14ac:dyDescent="0.2">
      <c r="A333">
        <v>331</v>
      </c>
      <c r="B333" s="27"/>
      <c r="C333" s="28"/>
    </row>
    <row r="334" spans="1:3" x14ac:dyDescent="0.2">
      <c r="A334">
        <v>332</v>
      </c>
      <c r="B334" s="27"/>
      <c r="C334" s="28"/>
    </row>
    <row r="335" spans="1:3" x14ac:dyDescent="0.2">
      <c r="A335">
        <v>333</v>
      </c>
      <c r="B335" s="27"/>
      <c r="C335" s="28"/>
    </row>
    <row r="336" spans="1:3" x14ac:dyDescent="0.2">
      <c r="A336">
        <v>334</v>
      </c>
      <c r="B336" s="27"/>
      <c r="C336" s="28"/>
    </row>
    <row r="337" spans="1:3" x14ac:dyDescent="0.2">
      <c r="A337">
        <v>335</v>
      </c>
      <c r="B337" s="27"/>
      <c r="C337" s="28"/>
    </row>
    <row r="338" spans="1:3" x14ac:dyDescent="0.2">
      <c r="A338">
        <v>336</v>
      </c>
      <c r="B338" s="27"/>
      <c r="C338" s="28"/>
    </row>
    <row r="339" spans="1:3" x14ac:dyDescent="0.2">
      <c r="A339">
        <v>337</v>
      </c>
      <c r="B339" s="27"/>
      <c r="C339" s="28"/>
    </row>
    <row r="340" spans="1:3" x14ac:dyDescent="0.2">
      <c r="A340">
        <v>338</v>
      </c>
      <c r="B340" s="27"/>
      <c r="C340" s="28"/>
    </row>
    <row r="341" spans="1:3" x14ac:dyDescent="0.2">
      <c r="A341">
        <v>339</v>
      </c>
      <c r="B341" s="27"/>
      <c r="C341" s="28"/>
    </row>
    <row r="342" spans="1:3" x14ac:dyDescent="0.2">
      <c r="A342">
        <v>340</v>
      </c>
      <c r="B342" s="27"/>
      <c r="C342" s="28"/>
    </row>
    <row r="343" spans="1:3" x14ac:dyDescent="0.2">
      <c r="A343">
        <v>341</v>
      </c>
      <c r="B343" s="27"/>
      <c r="C343" s="28"/>
    </row>
    <row r="344" spans="1:3" x14ac:dyDescent="0.2">
      <c r="A344">
        <v>342</v>
      </c>
      <c r="B344" s="27"/>
      <c r="C344" s="28"/>
    </row>
    <row r="345" spans="1:3" x14ac:dyDescent="0.2">
      <c r="A345">
        <v>343</v>
      </c>
      <c r="B345" s="27"/>
      <c r="C345" s="28"/>
    </row>
    <row r="346" spans="1:3" x14ac:dyDescent="0.2">
      <c r="A346">
        <v>344</v>
      </c>
      <c r="B346" s="27"/>
      <c r="C346" s="28"/>
    </row>
    <row r="347" spans="1:3" x14ac:dyDescent="0.2">
      <c r="A347">
        <v>345</v>
      </c>
      <c r="B347" s="27"/>
      <c r="C347" s="28"/>
    </row>
    <row r="348" spans="1:3" x14ac:dyDescent="0.2">
      <c r="A348">
        <v>346</v>
      </c>
      <c r="B348" s="27"/>
      <c r="C348" s="28"/>
    </row>
    <row r="349" spans="1:3" x14ac:dyDescent="0.2">
      <c r="A349">
        <v>347</v>
      </c>
      <c r="B349" s="27"/>
      <c r="C349" s="28"/>
    </row>
    <row r="350" spans="1:3" x14ac:dyDescent="0.2">
      <c r="A350">
        <v>348</v>
      </c>
      <c r="B350" s="27"/>
      <c r="C350" s="28"/>
    </row>
    <row r="351" spans="1:3" x14ac:dyDescent="0.2">
      <c r="A351">
        <v>349</v>
      </c>
      <c r="B351" s="27"/>
      <c r="C351" s="28"/>
    </row>
    <row r="352" spans="1:3" x14ac:dyDescent="0.2">
      <c r="A352">
        <v>350</v>
      </c>
      <c r="B352" s="27"/>
      <c r="C352" s="28"/>
    </row>
    <row r="353" spans="1:3" x14ac:dyDescent="0.2">
      <c r="A353">
        <v>351</v>
      </c>
      <c r="B353" s="27"/>
      <c r="C353" s="28"/>
    </row>
    <row r="354" spans="1:3" x14ac:dyDescent="0.2">
      <c r="A354">
        <v>352</v>
      </c>
      <c r="B354" s="27"/>
      <c r="C354" s="28"/>
    </row>
    <row r="355" spans="1:3" x14ac:dyDescent="0.2">
      <c r="A355">
        <v>353</v>
      </c>
      <c r="B355" s="27"/>
      <c r="C355" s="28"/>
    </row>
    <row r="356" spans="1:3" x14ac:dyDescent="0.2">
      <c r="A356">
        <v>354</v>
      </c>
      <c r="B356" s="27"/>
      <c r="C356" s="28"/>
    </row>
    <row r="357" spans="1:3" x14ac:dyDescent="0.2">
      <c r="A357">
        <v>355</v>
      </c>
      <c r="B357" s="27"/>
      <c r="C357" s="28"/>
    </row>
    <row r="358" spans="1:3" x14ac:dyDescent="0.2">
      <c r="A358">
        <v>356</v>
      </c>
      <c r="B358" s="27"/>
      <c r="C358" s="28"/>
    </row>
    <row r="359" spans="1:3" x14ac:dyDescent="0.2">
      <c r="A359">
        <v>357</v>
      </c>
      <c r="B359" s="27"/>
      <c r="C359" s="28"/>
    </row>
    <row r="360" spans="1:3" x14ac:dyDescent="0.2">
      <c r="A360">
        <v>358</v>
      </c>
      <c r="B360" s="27"/>
      <c r="C360" s="28"/>
    </row>
    <row r="361" spans="1:3" x14ac:dyDescent="0.2">
      <c r="A361">
        <v>359</v>
      </c>
      <c r="B361" s="27"/>
      <c r="C361" s="28"/>
    </row>
    <row r="362" spans="1:3" x14ac:dyDescent="0.2">
      <c r="A362">
        <v>360</v>
      </c>
      <c r="B362" s="27"/>
      <c r="C362" s="28"/>
    </row>
    <row r="363" spans="1:3" x14ac:dyDescent="0.2">
      <c r="A363">
        <v>361</v>
      </c>
      <c r="B363" s="27"/>
      <c r="C363" s="28"/>
    </row>
    <row r="364" spans="1:3" x14ac:dyDescent="0.2">
      <c r="A364">
        <v>362</v>
      </c>
      <c r="B364" s="27"/>
      <c r="C364" s="28"/>
    </row>
    <row r="365" spans="1:3" x14ac:dyDescent="0.2">
      <c r="A365">
        <v>363</v>
      </c>
      <c r="B365" s="27"/>
      <c r="C365" s="28"/>
    </row>
    <row r="366" spans="1:3" x14ac:dyDescent="0.2">
      <c r="A366">
        <v>364</v>
      </c>
      <c r="B366" s="27"/>
      <c r="C366" s="28"/>
    </row>
    <row r="367" spans="1:3" x14ac:dyDescent="0.2">
      <c r="A367">
        <v>365</v>
      </c>
      <c r="B367" s="27"/>
      <c r="C367" s="28"/>
    </row>
    <row r="368" spans="1:3" x14ac:dyDescent="0.2">
      <c r="A368">
        <v>366</v>
      </c>
      <c r="B368" s="27"/>
      <c r="C368" s="28"/>
    </row>
    <row r="369" spans="1:3" x14ac:dyDescent="0.2">
      <c r="A369">
        <v>367</v>
      </c>
      <c r="B369" s="27"/>
      <c r="C369" s="28"/>
    </row>
    <row r="370" spans="1:3" x14ac:dyDescent="0.2">
      <c r="A370">
        <v>368</v>
      </c>
      <c r="B370" s="27"/>
      <c r="C370" s="28"/>
    </row>
    <row r="371" spans="1:3" x14ac:dyDescent="0.2">
      <c r="A371">
        <v>369</v>
      </c>
      <c r="B371" s="27"/>
      <c r="C371" s="28"/>
    </row>
    <row r="372" spans="1:3" x14ac:dyDescent="0.2">
      <c r="A372">
        <v>370</v>
      </c>
      <c r="B372" s="27"/>
      <c r="C372" s="28"/>
    </row>
    <row r="373" spans="1:3" x14ac:dyDescent="0.2">
      <c r="A373">
        <v>371</v>
      </c>
      <c r="B373" s="27"/>
      <c r="C373" s="28"/>
    </row>
    <row r="374" spans="1:3" x14ac:dyDescent="0.2">
      <c r="A374">
        <v>372</v>
      </c>
      <c r="B374" s="27"/>
      <c r="C374" s="28"/>
    </row>
    <row r="375" spans="1:3" x14ac:dyDescent="0.2">
      <c r="A375">
        <v>373</v>
      </c>
      <c r="B375" s="27"/>
      <c r="C375" s="28"/>
    </row>
    <row r="376" spans="1:3" x14ac:dyDescent="0.2">
      <c r="A376">
        <v>374</v>
      </c>
      <c r="B376" s="27"/>
      <c r="C376" s="28"/>
    </row>
    <row r="377" spans="1:3" x14ac:dyDescent="0.2">
      <c r="A377">
        <v>375</v>
      </c>
      <c r="B377" s="27"/>
      <c r="C377" s="28"/>
    </row>
    <row r="378" spans="1:3" x14ac:dyDescent="0.2">
      <c r="A378">
        <v>376</v>
      </c>
      <c r="B378" s="27"/>
      <c r="C378" s="28"/>
    </row>
    <row r="379" spans="1:3" x14ac:dyDescent="0.2">
      <c r="A379">
        <v>377</v>
      </c>
      <c r="B379" s="27"/>
      <c r="C379" s="28"/>
    </row>
    <row r="380" spans="1:3" x14ac:dyDescent="0.2">
      <c r="A380">
        <v>378</v>
      </c>
      <c r="B380" s="27"/>
      <c r="C380" s="28"/>
    </row>
    <row r="381" spans="1:3" x14ac:dyDescent="0.2">
      <c r="A381">
        <v>379</v>
      </c>
      <c r="B381" s="27"/>
      <c r="C381" s="28"/>
    </row>
    <row r="382" spans="1:3" x14ac:dyDescent="0.2">
      <c r="A382">
        <v>380</v>
      </c>
      <c r="B382" s="27"/>
      <c r="C382" s="28"/>
    </row>
    <row r="383" spans="1:3" x14ac:dyDescent="0.2">
      <c r="A383">
        <v>381</v>
      </c>
      <c r="B383" s="27"/>
      <c r="C383" s="28"/>
    </row>
    <row r="384" spans="1:3" x14ac:dyDescent="0.2">
      <c r="A384">
        <v>382</v>
      </c>
      <c r="B384" s="27"/>
      <c r="C384" s="28"/>
    </row>
    <row r="385" spans="1:3" x14ac:dyDescent="0.2">
      <c r="A385">
        <v>383</v>
      </c>
      <c r="B385" s="27"/>
      <c r="C385" s="28"/>
    </row>
    <row r="386" spans="1:3" x14ac:dyDescent="0.2">
      <c r="A386">
        <v>384</v>
      </c>
      <c r="B386" s="27"/>
      <c r="C386" s="28"/>
    </row>
    <row r="387" spans="1:3" x14ac:dyDescent="0.2">
      <c r="A387">
        <v>385</v>
      </c>
      <c r="B387" s="27"/>
      <c r="C387" s="28"/>
    </row>
    <row r="388" spans="1:3" x14ac:dyDescent="0.2">
      <c r="A388">
        <v>386</v>
      </c>
      <c r="B388" s="27"/>
      <c r="C388" s="28"/>
    </row>
    <row r="389" spans="1:3" x14ac:dyDescent="0.2">
      <c r="A389">
        <v>387</v>
      </c>
      <c r="B389" s="27"/>
      <c r="C389" s="28"/>
    </row>
    <row r="390" spans="1:3" x14ac:dyDescent="0.2">
      <c r="A390">
        <v>388</v>
      </c>
      <c r="B390" s="27"/>
      <c r="C390" s="28"/>
    </row>
    <row r="391" spans="1:3" x14ac:dyDescent="0.2">
      <c r="A391">
        <v>389</v>
      </c>
      <c r="B391" s="27"/>
      <c r="C391" s="28"/>
    </row>
    <row r="392" spans="1:3" x14ac:dyDescent="0.2">
      <c r="A392">
        <v>390</v>
      </c>
      <c r="B392" s="27"/>
      <c r="C392" s="28"/>
    </row>
    <row r="393" spans="1:3" x14ac:dyDescent="0.2">
      <c r="A393">
        <v>391</v>
      </c>
      <c r="B393" s="27"/>
      <c r="C393" s="28"/>
    </row>
    <row r="394" spans="1:3" x14ac:dyDescent="0.2">
      <c r="A394">
        <v>392</v>
      </c>
      <c r="B394" s="27"/>
      <c r="C394" s="28"/>
    </row>
    <row r="395" spans="1:3" x14ac:dyDescent="0.2">
      <c r="A395">
        <v>393</v>
      </c>
      <c r="B395" s="27"/>
      <c r="C395" s="28"/>
    </row>
    <row r="396" spans="1:3" x14ac:dyDescent="0.2">
      <c r="A396">
        <v>394</v>
      </c>
      <c r="B396" s="27"/>
      <c r="C396" s="28"/>
    </row>
    <row r="397" spans="1:3" x14ac:dyDescent="0.2">
      <c r="A397">
        <v>395</v>
      </c>
      <c r="B397" s="27"/>
      <c r="C397" s="28"/>
    </row>
    <row r="398" spans="1:3" x14ac:dyDescent="0.2">
      <c r="A398">
        <v>396</v>
      </c>
      <c r="B398" s="27"/>
      <c r="C398" s="28"/>
    </row>
    <row r="399" spans="1:3" x14ac:dyDescent="0.2">
      <c r="A399">
        <v>397</v>
      </c>
      <c r="B399" s="27"/>
      <c r="C399" s="28"/>
    </row>
    <row r="400" spans="1:3" x14ac:dyDescent="0.2">
      <c r="A400">
        <v>398</v>
      </c>
      <c r="B400" s="27"/>
      <c r="C400" s="28"/>
    </row>
    <row r="401" spans="1:3" x14ac:dyDescent="0.2">
      <c r="A401">
        <v>399</v>
      </c>
      <c r="B401" s="27"/>
      <c r="C401" s="28"/>
    </row>
    <row r="402" spans="1:3" x14ac:dyDescent="0.2">
      <c r="A402">
        <v>400</v>
      </c>
      <c r="B402" s="27"/>
      <c r="C402" s="28"/>
    </row>
    <row r="403" spans="1:3" x14ac:dyDescent="0.2">
      <c r="A403">
        <v>401</v>
      </c>
      <c r="B403" s="27"/>
      <c r="C403" s="28"/>
    </row>
    <row r="404" spans="1:3" x14ac:dyDescent="0.2">
      <c r="A404">
        <v>402</v>
      </c>
      <c r="B404" s="27"/>
      <c r="C404" s="28"/>
    </row>
    <row r="405" spans="1:3" x14ac:dyDescent="0.2">
      <c r="A405">
        <v>403</v>
      </c>
      <c r="B405" s="27"/>
      <c r="C405" s="28"/>
    </row>
    <row r="406" spans="1:3" x14ac:dyDescent="0.2">
      <c r="A406">
        <v>404</v>
      </c>
      <c r="B406" s="27"/>
      <c r="C406" s="28"/>
    </row>
    <row r="407" spans="1:3" x14ac:dyDescent="0.2">
      <c r="A407">
        <v>405</v>
      </c>
      <c r="B407" s="27"/>
      <c r="C407" s="28"/>
    </row>
    <row r="408" spans="1:3" x14ac:dyDescent="0.2">
      <c r="A408">
        <v>406</v>
      </c>
      <c r="B408" s="27"/>
      <c r="C408" s="28"/>
    </row>
    <row r="409" spans="1:3" x14ac:dyDescent="0.2">
      <c r="A409">
        <v>407</v>
      </c>
      <c r="B409" s="27"/>
      <c r="C409" s="28"/>
    </row>
    <row r="410" spans="1:3" x14ac:dyDescent="0.2">
      <c r="A410">
        <v>408</v>
      </c>
      <c r="B410" s="27"/>
      <c r="C410" s="28"/>
    </row>
    <row r="411" spans="1:3" x14ac:dyDescent="0.2">
      <c r="A411">
        <v>409</v>
      </c>
      <c r="B411" s="27"/>
      <c r="C411" s="28"/>
    </row>
    <row r="412" spans="1:3" x14ac:dyDescent="0.2">
      <c r="A412">
        <v>410</v>
      </c>
      <c r="B412" s="27"/>
      <c r="C412" s="28"/>
    </row>
    <row r="413" spans="1:3" x14ac:dyDescent="0.2">
      <c r="A413">
        <v>411</v>
      </c>
      <c r="B413" s="27"/>
      <c r="C413" s="28"/>
    </row>
    <row r="414" spans="1:3" x14ac:dyDescent="0.2">
      <c r="A414">
        <v>412</v>
      </c>
      <c r="B414" s="27"/>
      <c r="C414" s="28"/>
    </row>
    <row r="415" spans="1:3" x14ac:dyDescent="0.2">
      <c r="A415">
        <v>413</v>
      </c>
      <c r="B415" s="27"/>
      <c r="C415" s="28"/>
    </row>
    <row r="416" spans="1:3" x14ac:dyDescent="0.2">
      <c r="A416">
        <v>414</v>
      </c>
      <c r="B416" s="27"/>
      <c r="C416" s="28"/>
    </row>
    <row r="417" spans="1:3" x14ac:dyDescent="0.2">
      <c r="A417">
        <v>415</v>
      </c>
      <c r="B417" s="27"/>
      <c r="C417" s="28"/>
    </row>
    <row r="418" spans="1:3" x14ac:dyDescent="0.2">
      <c r="A418">
        <v>416</v>
      </c>
      <c r="B418" s="27"/>
      <c r="C418" s="28"/>
    </row>
    <row r="419" spans="1:3" x14ac:dyDescent="0.2">
      <c r="A419">
        <v>417</v>
      </c>
      <c r="B419" s="27"/>
      <c r="C419" s="28"/>
    </row>
    <row r="420" spans="1:3" x14ac:dyDescent="0.2">
      <c r="A420">
        <v>418</v>
      </c>
      <c r="B420" s="27"/>
      <c r="C420" s="28"/>
    </row>
    <row r="421" spans="1:3" x14ac:dyDescent="0.2">
      <c r="A421">
        <v>419</v>
      </c>
      <c r="B421" s="27"/>
      <c r="C421" s="28"/>
    </row>
    <row r="422" spans="1:3" x14ac:dyDescent="0.2">
      <c r="A422">
        <v>420</v>
      </c>
      <c r="B422" s="27"/>
      <c r="C422" s="28"/>
    </row>
    <row r="423" spans="1:3" x14ac:dyDescent="0.2">
      <c r="A423">
        <v>421</v>
      </c>
      <c r="B423" s="27"/>
      <c r="C423" s="28"/>
    </row>
    <row r="424" spans="1:3" x14ac:dyDescent="0.2">
      <c r="A424">
        <v>422</v>
      </c>
      <c r="B424" s="27"/>
      <c r="C424" s="28"/>
    </row>
    <row r="425" spans="1:3" x14ac:dyDescent="0.2">
      <c r="A425">
        <v>423</v>
      </c>
      <c r="B425" s="27"/>
      <c r="C425" s="28"/>
    </row>
    <row r="426" spans="1:3" x14ac:dyDescent="0.2">
      <c r="A426">
        <v>424</v>
      </c>
      <c r="B426" s="27"/>
      <c r="C426" s="28"/>
    </row>
    <row r="427" spans="1:3" x14ac:dyDescent="0.2">
      <c r="A427">
        <v>425</v>
      </c>
      <c r="B427" s="27"/>
      <c r="C427" s="28"/>
    </row>
    <row r="428" spans="1:3" x14ac:dyDescent="0.2">
      <c r="A428">
        <v>426</v>
      </c>
      <c r="B428" s="27"/>
      <c r="C428" s="28"/>
    </row>
    <row r="429" spans="1:3" x14ac:dyDescent="0.2">
      <c r="A429">
        <v>427</v>
      </c>
      <c r="B429" s="27"/>
      <c r="C429" s="28"/>
    </row>
    <row r="430" spans="1:3" x14ac:dyDescent="0.2">
      <c r="A430">
        <v>428</v>
      </c>
      <c r="B430" s="27"/>
      <c r="C430" s="28"/>
    </row>
    <row r="431" spans="1:3" x14ac:dyDescent="0.2">
      <c r="A431">
        <v>429</v>
      </c>
      <c r="B431" s="27"/>
      <c r="C431" s="28"/>
    </row>
    <row r="432" spans="1:3" x14ac:dyDescent="0.2">
      <c r="A432">
        <v>430</v>
      </c>
      <c r="B432" s="27"/>
      <c r="C432" s="28"/>
    </row>
    <row r="433" spans="1:3" x14ac:dyDescent="0.2">
      <c r="A433">
        <v>431</v>
      </c>
      <c r="B433" s="27"/>
      <c r="C433" s="28"/>
    </row>
    <row r="434" spans="1:3" x14ac:dyDescent="0.2">
      <c r="A434">
        <v>432</v>
      </c>
      <c r="B434" s="27"/>
      <c r="C434" s="28"/>
    </row>
    <row r="435" spans="1:3" x14ac:dyDescent="0.2">
      <c r="A435">
        <v>433</v>
      </c>
      <c r="B435" s="27"/>
      <c r="C435" s="28"/>
    </row>
    <row r="436" spans="1:3" x14ac:dyDescent="0.2">
      <c r="A436">
        <v>434</v>
      </c>
      <c r="B436" s="27"/>
      <c r="C436" s="28"/>
    </row>
    <row r="437" spans="1:3" x14ac:dyDescent="0.2">
      <c r="A437">
        <v>435</v>
      </c>
      <c r="B437" s="27"/>
      <c r="C437" s="28"/>
    </row>
    <row r="438" spans="1:3" x14ac:dyDescent="0.2">
      <c r="A438">
        <v>436</v>
      </c>
      <c r="B438" s="27"/>
      <c r="C438" s="28"/>
    </row>
    <row r="439" spans="1:3" x14ac:dyDescent="0.2">
      <c r="A439">
        <v>437</v>
      </c>
      <c r="B439" s="27"/>
      <c r="C439" s="28"/>
    </row>
    <row r="440" spans="1:3" x14ac:dyDescent="0.2">
      <c r="A440">
        <v>438</v>
      </c>
      <c r="B440" s="27"/>
      <c r="C440" s="28"/>
    </row>
    <row r="441" spans="1:3" x14ac:dyDescent="0.2">
      <c r="A441">
        <v>439</v>
      </c>
      <c r="B441" s="27"/>
      <c r="C441" s="28"/>
    </row>
    <row r="442" spans="1:3" x14ac:dyDescent="0.2">
      <c r="A442">
        <v>440</v>
      </c>
      <c r="B442" s="27"/>
      <c r="C442" s="28"/>
    </row>
    <row r="443" spans="1:3" x14ac:dyDescent="0.2">
      <c r="A443">
        <v>441</v>
      </c>
      <c r="B443" s="27"/>
      <c r="C443" s="28"/>
    </row>
    <row r="444" spans="1:3" x14ac:dyDescent="0.2">
      <c r="A444">
        <v>442</v>
      </c>
      <c r="B444" s="27"/>
      <c r="C444" s="28"/>
    </row>
    <row r="445" spans="1:3" x14ac:dyDescent="0.2">
      <c r="A445">
        <v>443</v>
      </c>
      <c r="B445" s="27"/>
      <c r="C445" s="28"/>
    </row>
    <row r="446" spans="1:3" x14ac:dyDescent="0.2">
      <c r="A446">
        <v>444</v>
      </c>
      <c r="B446" s="27"/>
      <c r="C446" s="28"/>
    </row>
    <row r="447" spans="1:3" x14ac:dyDescent="0.2">
      <c r="A447">
        <v>445</v>
      </c>
      <c r="B447" s="27"/>
      <c r="C447" s="28"/>
    </row>
    <row r="448" spans="1:3" x14ac:dyDescent="0.2">
      <c r="A448">
        <v>446</v>
      </c>
      <c r="B448" s="27"/>
      <c r="C448" s="28"/>
    </row>
    <row r="449" spans="1:3" x14ac:dyDescent="0.2">
      <c r="A449">
        <v>447</v>
      </c>
      <c r="B449" s="27"/>
      <c r="C449" s="28"/>
    </row>
    <row r="450" spans="1:3" x14ac:dyDescent="0.2">
      <c r="A450">
        <v>448</v>
      </c>
      <c r="B450" s="27"/>
      <c r="C450" s="28"/>
    </row>
    <row r="451" spans="1:3" x14ac:dyDescent="0.2">
      <c r="A451">
        <v>449</v>
      </c>
      <c r="B451" s="27"/>
      <c r="C451" s="28"/>
    </row>
    <row r="452" spans="1:3" x14ac:dyDescent="0.2">
      <c r="A452">
        <v>450</v>
      </c>
      <c r="B452" s="27"/>
      <c r="C452" s="28"/>
    </row>
    <row r="453" spans="1:3" x14ac:dyDescent="0.2">
      <c r="A453">
        <v>451</v>
      </c>
      <c r="B453" s="27"/>
      <c r="C453" s="28"/>
    </row>
    <row r="454" spans="1:3" x14ac:dyDescent="0.2">
      <c r="A454">
        <v>452</v>
      </c>
      <c r="B454" s="27"/>
      <c r="C454" s="28"/>
    </row>
    <row r="455" spans="1:3" x14ac:dyDescent="0.2">
      <c r="A455">
        <v>453</v>
      </c>
      <c r="B455" s="27"/>
      <c r="C455" s="28"/>
    </row>
    <row r="456" spans="1:3" x14ac:dyDescent="0.2">
      <c r="A456">
        <v>454</v>
      </c>
      <c r="B456" s="27"/>
      <c r="C456" s="28"/>
    </row>
    <row r="457" spans="1:3" x14ac:dyDescent="0.2">
      <c r="A457">
        <v>455</v>
      </c>
      <c r="B457" s="27"/>
      <c r="C457" s="28"/>
    </row>
    <row r="458" spans="1:3" x14ac:dyDescent="0.2">
      <c r="A458">
        <v>456</v>
      </c>
      <c r="B458" s="1"/>
      <c r="C458" s="1"/>
    </row>
    <row r="459" spans="1:3" x14ac:dyDescent="0.2">
      <c r="A459">
        <v>457</v>
      </c>
      <c r="B459" s="1"/>
      <c r="C459" s="1"/>
    </row>
    <row r="460" spans="1:3" x14ac:dyDescent="0.2">
      <c r="A460">
        <v>458</v>
      </c>
      <c r="B460" s="1"/>
      <c r="C460" s="1"/>
    </row>
    <row r="461" spans="1:3" x14ac:dyDescent="0.2">
      <c r="A461">
        <v>459</v>
      </c>
      <c r="B461" s="1"/>
      <c r="C461" s="1"/>
    </row>
    <row r="462" spans="1:3" x14ac:dyDescent="0.2">
      <c r="A462">
        <v>460</v>
      </c>
      <c r="B462" s="1"/>
      <c r="C462" s="1"/>
    </row>
    <row r="463" spans="1:3" x14ac:dyDescent="0.2">
      <c r="A463">
        <v>461</v>
      </c>
      <c r="B463" s="1"/>
      <c r="C463" s="1"/>
    </row>
    <row r="464" spans="1:3" x14ac:dyDescent="0.2">
      <c r="A464">
        <v>462</v>
      </c>
      <c r="B464" s="1"/>
      <c r="C464" s="1"/>
    </row>
    <row r="465" spans="1:3" x14ac:dyDescent="0.2">
      <c r="A465">
        <v>463</v>
      </c>
      <c r="B465" s="1"/>
      <c r="C465" s="1"/>
    </row>
    <row r="466" spans="1:3" x14ac:dyDescent="0.2">
      <c r="A466">
        <v>464</v>
      </c>
      <c r="B466" s="1"/>
      <c r="C466" s="1"/>
    </row>
    <row r="467" spans="1:3" x14ac:dyDescent="0.2">
      <c r="A467">
        <v>465</v>
      </c>
      <c r="B467" s="1"/>
      <c r="C467" s="1"/>
    </row>
    <row r="468" spans="1:3" x14ac:dyDescent="0.2">
      <c r="A468">
        <v>466</v>
      </c>
      <c r="B468" s="1"/>
      <c r="C468" s="1"/>
    </row>
    <row r="469" spans="1:3" x14ac:dyDescent="0.2">
      <c r="A469">
        <v>467</v>
      </c>
      <c r="B469" s="1"/>
      <c r="C469" s="1"/>
    </row>
    <row r="470" spans="1:3" x14ac:dyDescent="0.2">
      <c r="A470">
        <v>468</v>
      </c>
      <c r="B470" s="1"/>
      <c r="C470" s="1"/>
    </row>
    <row r="471" spans="1:3" x14ac:dyDescent="0.2">
      <c r="A471">
        <v>469</v>
      </c>
      <c r="B471" s="1"/>
      <c r="C471" s="1"/>
    </row>
    <row r="472" spans="1:3" x14ac:dyDescent="0.2">
      <c r="A472">
        <v>470</v>
      </c>
      <c r="B472" s="1"/>
      <c r="C472" s="1"/>
    </row>
    <row r="473" spans="1:3" x14ac:dyDescent="0.2">
      <c r="A473">
        <v>471</v>
      </c>
      <c r="B473" s="1"/>
      <c r="C473" s="1"/>
    </row>
    <row r="474" spans="1:3" x14ac:dyDescent="0.2">
      <c r="A474">
        <v>472</v>
      </c>
      <c r="B474" s="1"/>
      <c r="C474" s="1"/>
    </row>
    <row r="475" spans="1:3" x14ac:dyDescent="0.2">
      <c r="A475">
        <v>473</v>
      </c>
      <c r="B475" s="1"/>
      <c r="C475" s="1"/>
    </row>
    <row r="476" spans="1:3" x14ac:dyDescent="0.2">
      <c r="A476">
        <v>474</v>
      </c>
      <c r="B476" s="1"/>
      <c r="C476" s="1"/>
    </row>
    <row r="477" spans="1:3" x14ac:dyDescent="0.2">
      <c r="A477">
        <v>475</v>
      </c>
      <c r="B477" s="1"/>
      <c r="C477" s="1"/>
    </row>
    <row r="478" spans="1:3" x14ac:dyDescent="0.2">
      <c r="A478">
        <v>476</v>
      </c>
      <c r="B478" s="1"/>
      <c r="C478" s="1"/>
    </row>
    <row r="479" spans="1:3" x14ac:dyDescent="0.2">
      <c r="A479">
        <v>477</v>
      </c>
      <c r="B479" s="1"/>
      <c r="C479" s="1"/>
    </row>
    <row r="480" spans="1:3" x14ac:dyDescent="0.2">
      <c r="A480">
        <v>478</v>
      </c>
      <c r="B480" s="1"/>
      <c r="C480" s="1"/>
    </row>
    <row r="481" spans="1:3" x14ac:dyDescent="0.2">
      <c r="A481">
        <v>479</v>
      </c>
      <c r="B481" s="1"/>
      <c r="C481" s="1"/>
    </row>
    <row r="482" spans="1:3" x14ac:dyDescent="0.2">
      <c r="A482">
        <v>480</v>
      </c>
      <c r="B482" s="1"/>
      <c r="C482" s="1"/>
    </row>
    <row r="483" spans="1:3" x14ac:dyDescent="0.2">
      <c r="A483">
        <v>481</v>
      </c>
      <c r="B483" s="1"/>
      <c r="C483" s="1"/>
    </row>
    <row r="484" spans="1:3" x14ac:dyDescent="0.2">
      <c r="A484">
        <v>482</v>
      </c>
      <c r="B484" s="1"/>
      <c r="C484" s="1"/>
    </row>
    <row r="485" spans="1:3" x14ac:dyDescent="0.2">
      <c r="A485">
        <v>483</v>
      </c>
      <c r="B485" s="1"/>
      <c r="C485" s="1"/>
    </row>
    <row r="486" spans="1:3" x14ac:dyDescent="0.2">
      <c r="A486">
        <v>484</v>
      </c>
      <c r="B486" s="1"/>
      <c r="C486" s="1"/>
    </row>
    <row r="487" spans="1:3" x14ac:dyDescent="0.2">
      <c r="A487">
        <v>485</v>
      </c>
      <c r="B487" s="1"/>
      <c r="C487" s="1"/>
    </row>
    <row r="488" spans="1:3" x14ac:dyDescent="0.2">
      <c r="A488">
        <v>486</v>
      </c>
      <c r="B488" s="1"/>
      <c r="C488" s="1"/>
    </row>
    <row r="489" spans="1:3" x14ac:dyDescent="0.2">
      <c r="A489">
        <v>487</v>
      </c>
      <c r="B489" s="1"/>
      <c r="C489" s="1"/>
    </row>
    <row r="490" spans="1:3" x14ac:dyDescent="0.2">
      <c r="A490">
        <v>488</v>
      </c>
      <c r="B490" s="1"/>
      <c r="C490" s="1"/>
    </row>
    <row r="491" spans="1:3" x14ac:dyDescent="0.2">
      <c r="A491">
        <v>489</v>
      </c>
      <c r="B491" s="1"/>
      <c r="C491" s="1"/>
    </row>
    <row r="492" spans="1:3" x14ac:dyDescent="0.2">
      <c r="A492">
        <v>490</v>
      </c>
      <c r="B492" s="1"/>
      <c r="C492" s="1"/>
    </row>
    <row r="493" spans="1:3" x14ac:dyDescent="0.2">
      <c r="A493">
        <v>491</v>
      </c>
      <c r="B493" s="1"/>
      <c r="C493" s="1"/>
    </row>
    <row r="494" spans="1:3" x14ac:dyDescent="0.2">
      <c r="A494">
        <v>492</v>
      </c>
      <c r="B494" s="1"/>
      <c r="C494" s="1"/>
    </row>
    <row r="495" spans="1:3" x14ac:dyDescent="0.2">
      <c r="A495">
        <v>493</v>
      </c>
      <c r="B495" s="1"/>
      <c r="C495" s="1"/>
    </row>
    <row r="496" spans="1:3" x14ac:dyDescent="0.2">
      <c r="A496">
        <v>494</v>
      </c>
      <c r="B496" s="1"/>
      <c r="C496" s="1"/>
    </row>
    <row r="497" spans="1:3" x14ac:dyDescent="0.2">
      <c r="A497">
        <v>495</v>
      </c>
      <c r="B497" s="1"/>
      <c r="C497" s="1"/>
    </row>
    <row r="498" spans="1:3" x14ac:dyDescent="0.2">
      <c r="A498">
        <v>496</v>
      </c>
      <c r="B498" s="1"/>
      <c r="C498" s="1"/>
    </row>
    <row r="499" spans="1:3" x14ac:dyDescent="0.2">
      <c r="A499">
        <v>497</v>
      </c>
      <c r="B499" s="1"/>
      <c r="C499" s="1"/>
    </row>
    <row r="500" spans="1:3" x14ac:dyDescent="0.2">
      <c r="A500">
        <v>498</v>
      </c>
      <c r="B500" s="1"/>
      <c r="C500" s="1"/>
    </row>
    <row r="501" spans="1:3" x14ac:dyDescent="0.2">
      <c r="A501">
        <v>499</v>
      </c>
      <c r="B501" s="1"/>
      <c r="C501" s="1"/>
    </row>
    <row r="502" spans="1:3" x14ac:dyDescent="0.2">
      <c r="A502">
        <v>500</v>
      </c>
      <c r="B502" s="1"/>
      <c r="C502" s="1"/>
    </row>
  </sheetData>
  <mergeCells count="9">
    <mergeCell ref="R61:T61"/>
    <mergeCell ref="R62:T62"/>
    <mergeCell ref="R15:U15"/>
    <mergeCell ref="M15:P15"/>
    <mergeCell ref="W15:Z15"/>
    <mergeCell ref="Q5:U5"/>
    <mergeCell ref="B1:C1"/>
    <mergeCell ref="F2:G2"/>
    <mergeCell ref="H2:I2"/>
  </mergeCells>
  <conditionalFormatting sqref="O5">
    <cfRule type="cellIs" dxfId="3" priority="3" operator="greaterThan">
      <formula>0.1</formula>
    </cfRule>
    <cfRule type="cellIs" dxfId="2" priority="4" operator="lessThan">
      <formula>0.1</formula>
    </cfRule>
  </conditionalFormatting>
  <conditionalFormatting sqref="J5:J9">
    <cfRule type="containsText" dxfId="1" priority="1" operator="containsText" text="Error!">
      <formula>NOT(ISERROR(SEARCH("Error!",J5)))</formula>
    </cfRule>
    <cfRule type="containsText" dxfId="0" priority="2" operator="containsText" text="Ok">
      <formula>NOT(ISERROR(SEARCH("Ok",J5)))</formula>
    </cfRule>
  </conditionalFormatting>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AC7B-96C7-3949-8229-A7438192046C}">
  <dimension ref="A1:N50"/>
  <sheetViews>
    <sheetView zoomScale="107" zoomScaleNormal="139" workbookViewId="0">
      <selection activeCell="H22" sqref="H22"/>
    </sheetView>
  </sheetViews>
  <sheetFormatPr baseColWidth="10" defaultRowHeight="16" x14ac:dyDescent="0.2"/>
  <cols>
    <col min="1" max="1" width="12.1640625" customWidth="1"/>
    <col min="2" max="2" width="12.6640625" bestFit="1" customWidth="1"/>
    <col min="4" max="4" width="17.5" customWidth="1"/>
    <col min="5" max="5" width="19.5" customWidth="1"/>
    <col min="6" max="6" width="19.83203125" customWidth="1"/>
    <col min="7" max="7" width="12.6640625" customWidth="1"/>
    <col min="8" max="8" width="14.83203125" customWidth="1"/>
    <col min="9" max="9" width="13.1640625" customWidth="1"/>
    <col min="11" max="11" width="20" customWidth="1"/>
    <col min="12" max="12" width="18.1640625" customWidth="1"/>
  </cols>
  <sheetData>
    <row r="1" spans="1:14" x14ac:dyDescent="0.2">
      <c r="A1" t="s">
        <v>130</v>
      </c>
      <c r="B1">
        <v>0.27</v>
      </c>
    </row>
    <row r="2" spans="1:14" x14ac:dyDescent="0.2">
      <c r="A2" t="s">
        <v>136</v>
      </c>
      <c r="B2">
        <f>0.704*(T_star/((Input!F5/Gamma)/(m_star*9.81)))^0.1595-0.239</f>
        <v>0.54810600249272623</v>
      </c>
    </row>
    <row r="3" spans="1:14" x14ac:dyDescent="0.2">
      <c r="A3" t="s">
        <v>137</v>
      </c>
      <c r="B3">
        <f>1.813*((Input!F7/(m_star*9.81))*((Input!G8-Input!G7)/Input!G5))^0.0473-1.98</f>
        <v>-6.0081733309629737E-2</v>
      </c>
    </row>
    <row r="4" spans="1:14" x14ac:dyDescent="0.2">
      <c r="A4" t="s">
        <v>133</v>
      </c>
      <c r="B4">
        <f>1/C7</f>
        <v>1</v>
      </c>
      <c r="G4" s="202" t="s">
        <v>132</v>
      </c>
      <c r="H4" s="202"/>
      <c r="I4" s="202"/>
    </row>
    <row r="5" spans="1:14" x14ac:dyDescent="0.2">
      <c r="B5" s="176" t="s">
        <v>27</v>
      </c>
      <c r="C5" s="7" t="s">
        <v>125</v>
      </c>
      <c r="D5" s="7" t="s">
        <v>134</v>
      </c>
      <c r="E5" s="7" t="s">
        <v>138</v>
      </c>
      <c r="F5" s="7" t="s">
        <v>135</v>
      </c>
      <c r="G5" s="192">
        <v>0.16</v>
      </c>
      <c r="H5" s="150">
        <v>0.5</v>
      </c>
      <c r="I5" s="192">
        <v>0.84</v>
      </c>
      <c r="J5" s="191" t="s">
        <v>129</v>
      </c>
      <c r="K5" s="7"/>
      <c r="L5" s="7"/>
      <c r="N5" s="7"/>
    </row>
    <row r="6" spans="1:14" x14ac:dyDescent="0.2">
      <c r="B6" s="178">
        <v>0</v>
      </c>
      <c r="C6" s="10">
        <v>0</v>
      </c>
      <c r="D6" s="25">
        <f>C6-$B$1*C6</f>
        <v>0</v>
      </c>
      <c r="E6" s="25">
        <f>C6</f>
        <v>0</v>
      </c>
      <c r="F6" s="25">
        <f>C6+$B$1*C6</f>
        <v>0</v>
      </c>
      <c r="G6" s="25">
        <f t="shared" ref="G6:G47" si="0">(C6-C6*$B$1)*Sa_y*Gamma</f>
        <v>0</v>
      </c>
      <c r="H6" s="189">
        <f t="shared" ref="H6:H47" si="1">C6*Sa_y*Gamma</f>
        <v>0</v>
      </c>
      <c r="I6" s="25">
        <f t="shared" ref="I6:I47" si="2">(C6+C6*$B$1)*Sa_y*Gamma</f>
        <v>0</v>
      </c>
      <c r="J6" s="190">
        <f>B6*D_ystar*Input!$O$10</f>
        <v>0</v>
      </c>
      <c r="K6" s="25"/>
      <c r="L6" s="25"/>
    </row>
    <row r="7" spans="1:14" x14ac:dyDescent="0.2">
      <c r="B7" s="178">
        <v>1</v>
      </c>
      <c r="C7" s="10">
        <v>1</v>
      </c>
      <c r="D7" s="25">
        <f t="shared" ref="D7:D47" si="3">C7-$B$1*C7</f>
        <v>0.73</v>
      </c>
      <c r="E7" s="25">
        <f t="shared" ref="E7:E47" si="4">C7</f>
        <v>1</v>
      </c>
      <c r="F7" s="25">
        <f t="shared" ref="F7:F47" si="5">C7+$B$1*C7</f>
        <v>1.27</v>
      </c>
      <c r="G7" s="25">
        <f t="shared" si="0"/>
        <v>0.3993014741781844</v>
      </c>
      <c r="H7" s="189">
        <f t="shared" si="1"/>
        <v>0.54698832079203341</v>
      </c>
      <c r="I7" s="25">
        <f t="shared" si="2"/>
        <v>0.69467516740588242</v>
      </c>
      <c r="J7" s="190">
        <f>B7*D_ystar*Input!$O$10</f>
        <v>0.03</v>
      </c>
      <c r="K7" s="25"/>
      <c r="L7" s="25"/>
    </row>
    <row r="8" spans="1:14" x14ac:dyDescent="0.2">
      <c r="B8" s="178">
        <f t="shared" ref="B8:B46" si="6">B7+($B$47-$B$7)/40</f>
        <v>1.3913091666666666</v>
      </c>
      <c r="C8" s="10">
        <f t="shared" ref="C8:C47" si="7">EXP(LN(B8)*$B$2+$B$3)</f>
        <v>1.128543220850438</v>
      </c>
      <c r="D8" s="25">
        <f t="shared" si="3"/>
        <v>0.82383655122081967</v>
      </c>
      <c r="E8" s="25">
        <f t="shared" si="4"/>
        <v>1.128543220850438</v>
      </c>
      <c r="F8" s="25">
        <f t="shared" si="5"/>
        <v>1.4332498904800564</v>
      </c>
      <c r="G8" s="25">
        <f t="shared" si="0"/>
        <v>0.45062897175937616</v>
      </c>
      <c r="H8" s="189">
        <f t="shared" si="1"/>
        <v>0.61729996131421405</v>
      </c>
      <c r="I8" s="25">
        <f t="shared" si="2"/>
        <v>0.78397095086905177</v>
      </c>
      <c r="J8" s="190">
        <f>B8*D_ystar*Input!$O$10</f>
        <v>4.1739274999999999E-2</v>
      </c>
      <c r="K8" s="25"/>
      <c r="L8" s="25"/>
    </row>
    <row r="9" spans="1:14" x14ac:dyDescent="0.2">
      <c r="B9" s="178">
        <f t="shared" si="6"/>
        <v>1.7826183333333332</v>
      </c>
      <c r="C9" s="10">
        <f t="shared" si="7"/>
        <v>1.2927466875178202</v>
      </c>
      <c r="D9" s="25">
        <f t="shared" si="3"/>
        <v>0.94370508188800872</v>
      </c>
      <c r="E9" s="25">
        <f t="shared" si="4"/>
        <v>1.2927466875178202</v>
      </c>
      <c r="F9" s="25">
        <f t="shared" si="5"/>
        <v>1.6417882931476315</v>
      </c>
      <c r="G9" s="25">
        <f t="shared" si="0"/>
        <v>0.51619565806483025</v>
      </c>
      <c r="H9" s="189">
        <f t="shared" si="1"/>
        <v>0.70711733981483604</v>
      </c>
      <c r="I9" s="25">
        <f t="shared" si="2"/>
        <v>0.89803902156484172</v>
      </c>
      <c r="J9" s="190">
        <f>B9*D_ystar*Input!$O$10</f>
        <v>5.3478549999999993E-2</v>
      </c>
      <c r="K9" s="25"/>
      <c r="L9" s="25"/>
    </row>
    <row r="10" spans="1:14" x14ac:dyDescent="0.2">
      <c r="B10" s="178">
        <f t="shared" si="6"/>
        <v>2.1739275</v>
      </c>
      <c r="C10" s="10">
        <f t="shared" si="7"/>
        <v>1.4412949815593223</v>
      </c>
      <c r="D10" s="25">
        <f t="shared" si="3"/>
        <v>1.0521453365383053</v>
      </c>
      <c r="E10" s="25">
        <f t="shared" si="4"/>
        <v>1.4412949815593223</v>
      </c>
      <c r="F10" s="25">
        <f t="shared" si="5"/>
        <v>1.8304446265803394</v>
      </c>
      <c r="G10" s="25">
        <f t="shared" si="0"/>
        <v>0.57551121086225654</v>
      </c>
      <c r="H10" s="189">
        <f t="shared" si="1"/>
        <v>0.78837152172911862</v>
      </c>
      <c r="I10" s="25">
        <f t="shared" si="2"/>
        <v>1.0012318325959804</v>
      </c>
      <c r="J10" s="190">
        <f>B10*D_ystar*Input!$O$10</f>
        <v>6.5217824999999993E-2</v>
      </c>
      <c r="K10" s="25"/>
      <c r="L10" s="25"/>
    </row>
    <row r="11" spans="1:14" x14ac:dyDescent="0.2">
      <c r="B11" s="178">
        <f t="shared" si="6"/>
        <v>2.5652366666666668</v>
      </c>
      <c r="C11" s="10">
        <f t="shared" si="7"/>
        <v>1.5781636638914898</v>
      </c>
      <c r="D11" s="25">
        <f t="shared" si="3"/>
        <v>1.1520594746407875</v>
      </c>
      <c r="E11" s="25">
        <f t="shared" si="4"/>
        <v>1.5781636638914898</v>
      </c>
      <c r="F11" s="25">
        <f t="shared" si="5"/>
        <v>2.004267853142192</v>
      </c>
      <c r="G11" s="25">
        <f t="shared" si="0"/>
        <v>0.63016307748631661</v>
      </c>
      <c r="H11" s="189">
        <f t="shared" si="1"/>
        <v>0.86323709244700908</v>
      </c>
      <c r="I11" s="25">
        <f t="shared" si="2"/>
        <v>1.0963111074077014</v>
      </c>
      <c r="J11" s="190">
        <f>B11*D_ystar*Input!$O$10</f>
        <v>7.6957100000000001E-2</v>
      </c>
      <c r="K11" s="25"/>
      <c r="L11" s="25"/>
    </row>
    <row r="12" spans="1:14" x14ac:dyDescent="0.2">
      <c r="B12" s="178">
        <f t="shared" si="6"/>
        <v>2.9565458333333337</v>
      </c>
      <c r="C12" s="10">
        <f t="shared" si="7"/>
        <v>1.7058730521146681</v>
      </c>
      <c r="D12" s="25">
        <f t="shared" si="3"/>
        <v>1.2452873280437076</v>
      </c>
      <c r="E12" s="25">
        <f t="shared" si="4"/>
        <v>1.7058730521146681</v>
      </c>
      <c r="F12" s="25">
        <f t="shared" si="5"/>
        <v>2.1664587761856287</v>
      </c>
      <c r="G12" s="25">
        <f t="shared" si="0"/>
        <v>0.68115762447022565</v>
      </c>
      <c r="H12" s="189">
        <f t="shared" si="1"/>
        <v>0.93309263626058325</v>
      </c>
      <c r="I12" s="25">
        <f t="shared" si="2"/>
        <v>1.1850276480509407</v>
      </c>
      <c r="J12" s="190">
        <f>B12*D_ystar*Input!$O$10</f>
        <v>8.8696375000000008E-2</v>
      </c>
      <c r="K12" s="25"/>
      <c r="L12" s="25"/>
    </row>
    <row r="13" spans="1:14" x14ac:dyDescent="0.2">
      <c r="B13" s="178">
        <f t="shared" si="6"/>
        <v>3.3478550000000005</v>
      </c>
      <c r="C13" s="10">
        <f t="shared" si="7"/>
        <v>1.8261421468255947</v>
      </c>
      <c r="D13" s="25">
        <f t="shared" si="3"/>
        <v>1.3330837671826841</v>
      </c>
      <c r="E13" s="25">
        <f t="shared" si="4"/>
        <v>1.8261421468255947</v>
      </c>
      <c r="F13" s="25">
        <f t="shared" si="5"/>
        <v>2.3192005264685052</v>
      </c>
      <c r="G13" s="25">
        <f t="shared" si="0"/>
        <v>0.72918125128637434</v>
      </c>
      <c r="H13" s="189">
        <f t="shared" si="1"/>
        <v>0.99887842641969105</v>
      </c>
      <c r="I13" s="25">
        <f t="shared" si="2"/>
        <v>1.2685756015530076</v>
      </c>
      <c r="J13" s="190">
        <f>B13*D_ystar*Input!$O$10</f>
        <v>0.10043565</v>
      </c>
      <c r="K13" s="25"/>
      <c r="L13" s="25"/>
    </row>
    <row r="14" spans="1:14" x14ac:dyDescent="0.2">
      <c r="B14" s="178">
        <f t="shared" si="6"/>
        <v>3.7391641666666673</v>
      </c>
      <c r="C14" s="10">
        <f t="shared" si="7"/>
        <v>1.9402066752565368</v>
      </c>
      <c r="D14" s="25">
        <f t="shared" si="3"/>
        <v>1.4163508729372718</v>
      </c>
      <c r="E14" s="25">
        <f t="shared" si="4"/>
        <v>1.9402066752565368</v>
      </c>
      <c r="F14" s="25">
        <f t="shared" si="5"/>
        <v>2.4640624775758018</v>
      </c>
      <c r="G14" s="25">
        <f t="shared" si="0"/>
        <v>0.77472738564028898</v>
      </c>
      <c r="H14" s="189">
        <f t="shared" si="1"/>
        <v>1.0612703912880672</v>
      </c>
      <c r="I14" s="25">
        <f t="shared" si="2"/>
        <v>1.3478133969358455</v>
      </c>
      <c r="J14" s="190">
        <f>B14*D_ystar*Input!$O$10</f>
        <v>0.11217492500000002</v>
      </c>
      <c r="K14" s="25"/>
      <c r="L14" s="25"/>
    </row>
    <row r="15" spans="1:14" x14ac:dyDescent="0.2">
      <c r="B15" s="178">
        <f t="shared" si="6"/>
        <v>4.1304733333333337</v>
      </c>
      <c r="C15" s="10">
        <f t="shared" si="7"/>
        <v>2.0489909258861894</v>
      </c>
      <c r="D15" s="25">
        <f t="shared" si="3"/>
        <v>1.4957633758969182</v>
      </c>
      <c r="E15" s="25">
        <f t="shared" si="4"/>
        <v>2.0489909258861894</v>
      </c>
      <c r="F15" s="25">
        <f t="shared" si="5"/>
        <v>2.6022184758754605</v>
      </c>
      <c r="G15" s="25">
        <f t="shared" si="0"/>
        <v>0.81816509728407838</v>
      </c>
      <c r="H15" s="189">
        <f t="shared" si="1"/>
        <v>1.1207741058686005</v>
      </c>
      <c r="I15" s="25">
        <f t="shared" si="2"/>
        <v>1.4233831144531226</v>
      </c>
      <c r="J15" s="190">
        <f>B15*D_ystar*Input!$O$10</f>
        <v>0.1239142</v>
      </c>
      <c r="K15" s="25"/>
      <c r="L15" s="25"/>
    </row>
    <row r="16" spans="1:14" x14ac:dyDescent="0.2">
      <c r="B16" s="178">
        <f t="shared" si="6"/>
        <v>4.5217825000000005</v>
      </c>
      <c r="C16" s="10">
        <f t="shared" si="7"/>
        <v>2.1532080642763729</v>
      </c>
      <c r="D16" s="25">
        <f t="shared" si="3"/>
        <v>1.5718418869217521</v>
      </c>
      <c r="E16" s="25">
        <f t="shared" si="4"/>
        <v>2.1532080642763729</v>
      </c>
      <c r="F16" s="25">
        <f t="shared" si="5"/>
        <v>2.7345742416309937</v>
      </c>
      <c r="G16" s="25">
        <f t="shared" si="0"/>
        <v>0.85977915427791052</v>
      </c>
      <c r="H16" s="189">
        <f t="shared" si="1"/>
        <v>1.177779663394398</v>
      </c>
      <c r="I16" s="25">
        <f t="shared" si="2"/>
        <v>1.4957801725108855</v>
      </c>
      <c r="J16" s="190">
        <f>B16*D_ystar*Input!$O$10</f>
        <v>0.13565347500000002</v>
      </c>
      <c r="K16" s="25"/>
      <c r="L16" s="25"/>
    </row>
    <row r="17" spans="2:12" x14ac:dyDescent="0.2">
      <c r="B17" s="178">
        <f t="shared" si="6"/>
        <v>4.9130916666666673</v>
      </c>
      <c r="C17" s="10">
        <f t="shared" si="7"/>
        <v>2.2534222972718223</v>
      </c>
      <c r="D17" s="25">
        <f t="shared" si="3"/>
        <v>1.6449982770084302</v>
      </c>
      <c r="E17" s="25">
        <f t="shared" si="4"/>
        <v>2.2534222972718223</v>
      </c>
      <c r="F17" s="25">
        <f t="shared" si="5"/>
        <v>2.8618463175352145</v>
      </c>
      <c r="G17" s="25">
        <f t="shared" si="0"/>
        <v>0.89979484524662945</v>
      </c>
      <c r="H17" s="189">
        <f t="shared" si="1"/>
        <v>1.2325956784200405</v>
      </c>
      <c r="I17" s="25">
        <f t="shared" si="2"/>
        <v>1.5653965115934516</v>
      </c>
      <c r="J17" s="190">
        <f>B17*D_ystar*Input!$O$10</f>
        <v>0.14739275000000002</v>
      </c>
      <c r="K17" s="25"/>
      <c r="L17" s="25"/>
    </row>
    <row r="18" spans="2:12" x14ac:dyDescent="0.2">
      <c r="B18" s="178">
        <f t="shared" si="6"/>
        <v>5.3044008333333341</v>
      </c>
      <c r="C18" s="10">
        <f t="shared" si="7"/>
        <v>2.3500892688207369</v>
      </c>
      <c r="D18" s="25">
        <f t="shared" si="3"/>
        <v>1.7155651662391378</v>
      </c>
      <c r="E18" s="25">
        <f t="shared" si="4"/>
        <v>2.3500892688207369</v>
      </c>
      <c r="F18" s="25">
        <f t="shared" si="5"/>
        <v>2.984613371402336</v>
      </c>
      <c r="G18" s="25">
        <f t="shared" si="0"/>
        <v>0.93839410949045166</v>
      </c>
      <c r="H18" s="189">
        <f t="shared" si="1"/>
        <v>1.2854713828636324</v>
      </c>
      <c r="I18" s="25">
        <f t="shared" si="2"/>
        <v>1.6325486562368134</v>
      </c>
      <c r="J18" s="190">
        <f>B18*D_ystar*Input!$O$10</f>
        <v>0.15913202500000001</v>
      </c>
      <c r="K18" s="25"/>
      <c r="L18" s="25"/>
    </row>
    <row r="19" spans="2:12" x14ac:dyDescent="0.2">
      <c r="B19" s="178">
        <f t="shared" si="6"/>
        <v>5.6957100000000009</v>
      </c>
      <c r="C19" s="10">
        <f t="shared" si="7"/>
        <v>2.4435833475580999</v>
      </c>
      <c r="D19" s="25">
        <f t="shared" si="3"/>
        <v>1.783815843717413</v>
      </c>
      <c r="E19" s="25">
        <f t="shared" si="4"/>
        <v>2.4435833475580999</v>
      </c>
      <c r="F19" s="25">
        <f t="shared" si="5"/>
        <v>3.1033508513987869</v>
      </c>
      <c r="G19" s="25">
        <f t="shared" si="0"/>
        <v>0.97572643295721206</v>
      </c>
      <c r="H19" s="189">
        <f t="shared" si="1"/>
        <v>1.336611551996181</v>
      </c>
      <c r="I19" s="25">
        <f t="shared" si="2"/>
        <v>1.6974966710351498</v>
      </c>
      <c r="J19" s="190">
        <f>B19*D_ystar*Input!$O$10</f>
        <v>0.17087130000000003</v>
      </c>
      <c r="K19" s="25"/>
      <c r="L19" s="25"/>
    </row>
    <row r="20" spans="2:12" x14ac:dyDescent="0.2">
      <c r="B20" s="178">
        <f t="shared" si="6"/>
        <v>6.0870191666666678</v>
      </c>
      <c r="C20" s="10">
        <f t="shared" si="7"/>
        <v>2.5342166641324364</v>
      </c>
      <c r="D20" s="25">
        <f t="shared" si="3"/>
        <v>1.8499781648166786</v>
      </c>
      <c r="E20" s="25">
        <f t="shared" si="4"/>
        <v>2.5342166641324364</v>
      </c>
      <c r="F20" s="25">
        <f t="shared" si="5"/>
        <v>3.2184551634481942</v>
      </c>
      <c r="G20" s="25">
        <f t="shared" si="0"/>
        <v>1.0119164498750028</v>
      </c>
      <c r="H20" s="189">
        <f t="shared" si="1"/>
        <v>1.3861869176369899</v>
      </c>
      <c r="I20" s="25">
        <f t="shared" si="2"/>
        <v>1.7604573853989773</v>
      </c>
      <c r="J20" s="190">
        <f>B20*D_ystar*Input!$O$10</f>
        <v>0.18261057500000002</v>
      </c>
      <c r="K20" s="25"/>
      <c r="L20" s="25"/>
    </row>
    <row r="21" spans="2:12" x14ac:dyDescent="0.2">
      <c r="B21" s="178">
        <f t="shared" si="6"/>
        <v>6.4783283333333346</v>
      </c>
      <c r="C21" s="10">
        <f t="shared" si="7"/>
        <v>2.6222527602182089</v>
      </c>
      <c r="D21" s="25">
        <f t="shared" si="3"/>
        <v>1.9142445149592924</v>
      </c>
      <c r="E21" s="25">
        <f t="shared" si="4"/>
        <v>2.6222527602182089</v>
      </c>
      <c r="F21" s="25">
        <f t="shared" si="5"/>
        <v>3.3302610054771256</v>
      </c>
      <c r="G21" s="25">
        <f t="shared" si="0"/>
        <v>1.0470693928229438</v>
      </c>
      <c r="H21" s="189">
        <f t="shared" si="1"/>
        <v>1.4343416340040327</v>
      </c>
      <c r="I21" s="25">
        <f t="shared" si="2"/>
        <v>1.8216138751851219</v>
      </c>
      <c r="J21" s="190">
        <f>B21*D_ystar*Input!$O$10</f>
        <v>0.19434985000000002</v>
      </c>
      <c r="K21" s="25"/>
      <c r="L21" s="25"/>
    </row>
    <row r="22" spans="2:12" x14ac:dyDescent="0.2">
      <c r="B22" s="178">
        <f t="shared" si="6"/>
        <v>6.8696375000000014</v>
      </c>
      <c r="C22" s="10">
        <f t="shared" si="7"/>
        <v>2.7079166060534257</v>
      </c>
      <c r="D22" s="25">
        <f t="shared" si="3"/>
        <v>1.9767791224190008</v>
      </c>
      <c r="E22" s="25">
        <f t="shared" si="4"/>
        <v>2.7079166060534257</v>
      </c>
      <c r="F22" s="25">
        <f t="shared" si="5"/>
        <v>3.4390540896878505</v>
      </c>
      <c r="G22" s="25">
        <f t="shared" si="0"/>
        <v>1.0812750927487187</v>
      </c>
      <c r="H22" s="189">
        <f t="shared" si="1"/>
        <v>1.4811987571900256</v>
      </c>
      <c r="I22" s="25">
        <f t="shared" si="2"/>
        <v>1.8811224216313327</v>
      </c>
      <c r="J22" s="190">
        <f>B22*D_ystar*Input!$O$10</f>
        <v>0.20608912500000004</v>
      </c>
      <c r="K22" s="25"/>
      <c r="L22" s="25"/>
    </row>
    <row r="23" spans="2:12" x14ac:dyDescent="0.2">
      <c r="B23" s="178">
        <f t="shared" si="6"/>
        <v>7.2609466666666682</v>
      </c>
      <c r="C23" s="10">
        <f t="shared" si="7"/>
        <v>2.7914021034568508</v>
      </c>
      <c r="D23" s="25">
        <f t="shared" si="3"/>
        <v>2.0377235355235008</v>
      </c>
      <c r="E23" s="25">
        <f t="shared" si="4"/>
        <v>2.7914021034568508</v>
      </c>
      <c r="F23" s="25">
        <f t="shared" si="5"/>
        <v>3.5450806713902008</v>
      </c>
      <c r="G23" s="25">
        <f t="shared" si="0"/>
        <v>1.1146109749344051</v>
      </c>
      <c r="H23" s="189">
        <f t="shared" si="1"/>
        <v>1.5268643492252127</v>
      </c>
      <c r="I23" s="25">
        <f t="shared" si="2"/>
        <v>1.9391177235160204</v>
      </c>
      <c r="J23" s="190">
        <f>B23*D_ystar*Input!$O$10</f>
        <v>0.21782840000000003</v>
      </c>
      <c r="K23" s="25"/>
      <c r="L23" s="25"/>
    </row>
    <row r="24" spans="2:12" x14ac:dyDescent="0.2">
      <c r="B24" s="178">
        <f t="shared" si="6"/>
        <v>7.652255833333335</v>
      </c>
      <c r="C24" s="10">
        <f t="shared" si="7"/>
        <v>2.8728778062878764</v>
      </c>
      <c r="D24" s="25">
        <f t="shared" si="3"/>
        <v>2.0972007985901495</v>
      </c>
      <c r="E24" s="25">
        <f t="shared" si="4"/>
        <v>2.8728778062878764</v>
      </c>
      <c r="F24" s="25">
        <f t="shared" si="5"/>
        <v>3.6485548139856032</v>
      </c>
      <c r="G24" s="25">
        <f t="shared" si="0"/>
        <v>1.1471443431845374</v>
      </c>
      <c r="H24" s="189">
        <f t="shared" si="1"/>
        <v>1.5714306071021062</v>
      </c>
      <c r="I24" s="25">
        <f t="shared" si="2"/>
        <v>1.9957168710196751</v>
      </c>
      <c r="J24" s="190">
        <f>B24*D_ystar*Input!$O$10</f>
        <v>0.22956767500000005</v>
      </c>
      <c r="K24" s="25"/>
      <c r="L24" s="25"/>
    </row>
    <row r="25" spans="2:12" x14ac:dyDescent="0.2">
      <c r="B25" s="178">
        <f t="shared" si="6"/>
        <v>8.043565000000001</v>
      </c>
      <c r="C25" s="10">
        <f t="shared" si="7"/>
        <v>2.9524913508618811</v>
      </c>
      <c r="D25" s="25">
        <f t="shared" si="3"/>
        <v>2.1553186861291733</v>
      </c>
      <c r="E25" s="25">
        <f t="shared" si="4"/>
        <v>2.9524913508618811</v>
      </c>
      <c r="F25" s="25">
        <f t="shared" si="5"/>
        <v>3.7496640155945888</v>
      </c>
      <c r="G25" s="25">
        <f t="shared" si="0"/>
        <v>1.1789341488974883</v>
      </c>
      <c r="H25" s="189">
        <f t="shared" si="1"/>
        <v>1.6149782861609427</v>
      </c>
      <c r="I25" s="25">
        <f t="shared" si="2"/>
        <v>2.051022423424397</v>
      </c>
      <c r="J25" s="190">
        <f>B25*D_ystar*Input!$O$10</f>
        <v>0.24130695000000002</v>
      </c>
      <c r="K25" s="25"/>
      <c r="L25" s="25"/>
    </row>
    <row r="26" spans="2:12" x14ac:dyDescent="0.2">
      <c r="B26" s="178">
        <f t="shared" si="6"/>
        <v>8.4348741666666669</v>
      </c>
      <c r="C26" s="10">
        <f t="shared" si="7"/>
        <v>3.0303729355167031</v>
      </c>
      <c r="D26" s="25">
        <f t="shared" si="3"/>
        <v>2.2121722429271933</v>
      </c>
      <c r="E26" s="25">
        <f t="shared" si="4"/>
        <v>3.0303729355167031</v>
      </c>
      <c r="F26" s="25">
        <f t="shared" si="5"/>
        <v>3.8485736281062128</v>
      </c>
      <c r="G26" s="25">
        <f t="shared" si="0"/>
        <v>1.2100323804614916</v>
      </c>
      <c r="H26" s="189">
        <f t="shared" si="1"/>
        <v>1.6575786033719067</v>
      </c>
      <c r="I26" s="25">
        <f t="shared" si="2"/>
        <v>2.1051248262823212</v>
      </c>
      <c r="J26" s="190">
        <f>B26*D_ystar*Input!$O$10</f>
        <v>0.25304622500000001</v>
      </c>
      <c r="K26" s="25"/>
      <c r="L26" s="25"/>
    </row>
    <row r="27" spans="2:12" x14ac:dyDescent="0.2">
      <c r="B27" s="178">
        <f t="shared" si="6"/>
        <v>8.8261833333333328</v>
      </c>
      <c r="C27" s="10">
        <f t="shared" si="7"/>
        <v>3.106638087810015</v>
      </c>
      <c r="D27" s="25">
        <f t="shared" si="3"/>
        <v>2.2678458041013112</v>
      </c>
      <c r="E27" s="25">
        <f t="shared" si="4"/>
        <v>3.106638087810015</v>
      </c>
      <c r="F27" s="25">
        <f t="shared" si="5"/>
        <v>3.9454303715187189</v>
      </c>
      <c r="G27" s="25">
        <f t="shared" si="0"/>
        <v>1.240485168200635</v>
      </c>
      <c r="H27" s="189">
        <f t="shared" si="1"/>
        <v>1.6992947509597738</v>
      </c>
      <c r="I27" s="25">
        <f t="shared" si="2"/>
        <v>2.1581043337189123</v>
      </c>
      <c r="J27" s="190">
        <f>B27*D_ystar*Input!$O$10</f>
        <v>0.26478550000000001</v>
      </c>
      <c r="K27" s="25"/>
      <c r="L27" s="25"/>
    </row>
    <row r="28" spans="2:12" x14ac:dyDescent="0.2">
      <c r="B28" s="178">
        <f t="shared" si="6"/>
        <v>9.2174924999999988</v>
      </c>
      <c r="C28" s="10">
        <f t="shared" si="7"/>
        <v>3.1813898901402582</v>
      </c>
      <c r="D28" s="25">
        <f t="shared" si="3"/>
        <v>2.3224146198023883</v>
      </c>
      <c r="E28" s="25">
        <f t="shared" si="4"/>
        <v>3.1813898901402582</v>
      </c>
      <c r="F28" s="25">
        <f t="shared" si="5"/>
        <v>4.0403651604781281</v>
      </c>
      <c r="G28" s="25">
        <f t="shared" si="0"/>
        <v>1.2703336730685773</v>
      </c>
      <c r="H28" s="189">
        <f t="shared" si="1"/>
        <v>1.7401831137925714</v>
      </c>
      <c r="I28" s="25">
        <f t="shared" si="2"/>
        <v>2.210032554516566</v>
      </c>
      <c r="J28" s="190">
        <f>B28*D_ystar*Input!$O$10</f>
        <v>0.27652477499999994</v>
      </c>
      <c r="K28" s="25"/>
      <c r="L28" s="25"/>
    </row>
    <row r="29" spans="2:12" x14ac:dyDescent="0.2">
      <c r="B29" s="178">
        <f t="shared" si="6"/>
        <v>9.6088016666666647</v>
      </c>
      <c r="C29" s="10">
        <f t="shared" si="7"/>
        <v>3.254720788155645</v>
      </c>
      <c r="D29" s="25">
        <f t="shared" si="3"/>
        <v>2.3759461753536208</v>
      </c>
      <c r="E29" s="25">
        <f t="shared" si="4"/>
        <v>3.254720788155645</v>
      </c>
      <c r="F29" s="25">
        <f t="shared" si="5"/>
        <v>4.1334954009576688</v>
      </c>
      <c r="G29" s="25">
        <f t="shared" si="0"/>
        <v>1.2996148087489314</v>
      </c>
      <c r="H29" s="189">
        <f t="shared" si="1"/>
        <v>1.78029425856018</v>
      </c>
      <c r="I29" s="25">
        <f t="shared" si="2"/>
        <v>2.2609737083714281</v>
      </c>
      <c r="J29" s="190">
        <f>B29*D_ystar*Input!$O$10</f>
        <v>0.28826404999999994</v>
      </c>
      <c r="K29" s="25"/>
      <c r="L29" s="25"/>
    </row>
    <row r="30" spans="2:12" x14ac:dyDescent="0.2">
      <c r="B30" s="178">
        <f t="shared" si="6"/>
        <v>10.000110833333331</v>
      </c>
      <c r="C30" s="10">
        <f t="shared" si="7"/>
        <v>3.3267140738782968</v>
      </c>
      <c r="D30" s="25">
        <f t="shared" si="3"/>
        <v>2.4285012739311567</v>
      </c>
      <c r="E30" s="25">
        <f t="shared" si="4"/>
        <v>3.3267140738782968</v>
      </c>
      <c r="F30" s="25">
        <f t="shared" si="5"/>
        <v>4.2249268738254369</v>
      </c>
      <c r="G30" s="25">
        <f t="shared" si="0"/>
        <v>1.3283618338689174</v>
      </c>
      <c r="H30" s="189">
        <f t="shared" si="1"/>
        <v>1.8196737450259144</v>
      </c>
      <c r="I30" s="25">
        <f t="shared" si="2"/>
        <v>2.3109856561829107</v>
      </c>
      <c r="J30" s="190">
        <f>B30*D_ystar*Input!$O$10</f>
        <v>0.30000332499999993</v>
      </c>
      <c r="K30" s="25"/>
      <c r="L30" s="25"/>
    </row>
    <row r="31" spans="2:12" x14ac:dyDescent="0.2">
      <c r="B31" s="178">
        <f t="shared" si="6"/>
        <v>10.391419999999997</v>
      </c>
      <c r="C31" s="10">
        <f t="shared" si="7"/>
        <v>3.3974451124271621</v>
      </c>
      <c r="D31" s="25">
        <f t="shared" si="3"/>
        <v>2.4801349320718282</v>
      </c>
      <c r="E31" s="25">
        <f t="shared" si="4"/>
        <v>3.3974451124271621</v>
      </c>
      <c r="F31" s="25">
        <f t="shared" si="5"/>
        <v>4.3147552927824959</v>
      </c>
      <c r="G31" s="25">
        <f t="shared" si="0"/>
        <v>1.3566048418316332</v>
      </c>
      <c r="H31" s="189">
        <f t="shared" si="1"/>
        <v>1.8583627970296346</v>
      </c>
      <c r="I31" s="25">
        <f t="shared" si="2"/>
        <v>2.360120752227636</v>
      </c>
      <c r="J31" s="190">
        <f>B31*D_ystar*Input!$O$10</f>
        <v>0.31174259999999987</v>
      </c>
      <c r="K31" s="25"/>
      <c r="L31" s="25"/>
    </row>
    <row r="32" spans="2:12" x14ac:dyDescent="0.2">
      <c r="B32" s="178">
        <f t="shared" si="6"/>
        <v>10.782729166666662</v>
      </c>
      <c r="C32" s="10">
        <f t="shared" si="7"/>
        <v>3.4669823646030924</v>
      </c>
      <c r="D32" s="25">
        <f t="shared" si="3"/>
        <v>2.5308971261602573</v>
      </c>
      <c r="E32" s="25">
        <f t="shared" si="4"/>
        <v>3.4669823646030924</v>
      </c>
      <c r="F32" s="25">
        <f t="shared" si="5"/>
        <v>4.403067603045927</v>
      </c>
      <c r="G32" s="25">
        <f t="shared" si="0"/>
        <v>1.3843711691357823</v>
      </c>
      <c r="H32" s="189">
        <f t="shared" si="1"/>
        <v>1.8963988618298391</v>
      </c>
      <c r="I32" s="25">
        <f t="shared" si="2"/>
        <v>2.4084265545238952</v>
      </c>
      <c r="J32" s="190">
        <f>B32*D_ystar*Input!$O$10</f>
        <v>0.32348187499999986</v>
      </c>
      <c r="K32" s="25"/>
      <c r="L32" s="25"/>
    </row>
    <row r="33" spans="1:12" x14ac:dyDescent="0.2">
      <c r="B33" s="178">
        <f t="shared" si="6"/>
        <v>11.174038333333328</v>
      </c>
      <c r="C33" s="10">
        <f t="shared" si="7"/>
        <v>3.5353882454447603</v>
      </c>
      <c r="D33" s="25">
        <f t="shared" si="3"/>
        <v>2.5808334191746747</v>
      </c>
      <c r="E33" s="25">
        <f t="shared" si="4"/>
        <v>3.5353882454447603</v>
      </c>
      <c r="F33" s="25">
        <f t="shared" si="5"/>
        <v>4.4899430717148459</v>
      </c>
      <c r="G33" s="25">
        <f t="shared" si="0"/>
        <v>1.4116857381983174</v>
      </c>
      <c r="H33" s="189">
        <f t="shared" si="1"/>
        <v>1.9338160797237227</v>
      </c>
      <c r="I33" s="25">
        <f t="shared" si="2"/>
        <v>2.455946421249128</v>
      </c>
      <c r="J33" s="190">
        <f>B33*D_ystar*Input!$O$10</f>
        <v>0.33522114999999986</v>
      </c>
      <c r="K33" s="25"/>
      <c r="L33" s="25"/>
    </row>
    <row r="34" spans="1:12" x14ac:dyDescent="0.2">
      <c r="B34" s="178">
        <f t="shared" si="6"/>
        <v>11.565347499999994</v>
      </c>
      <c r="C34" s="10">
        <f t="shared" si="7"/>
        <v>3.6027198498611108</v>
      </c>
      <c r="D34" s="25">
        <f t="shared" si="3"/>
        <v>2.6299854903986111</v>
      </c>
      <c r="E34" s="25">
        <f t="shared" si="4"/>
        <v>3.6027198498611108</v>
      </c>
      <c r="F34" s="25">
        <f t="shared" si="5"/>
        <v>4.5754542093236106</v>
      </c>
      <c r="G34" s="25">
        <f t="shared" si="0"/>
        <v>1.4385713471005488</v>
      </c>
      <c r="H34" s="189">
        <f t="shared" si="1"/>
        <v>1.9706456809596558</v>
      </c>
      <c r="I34" s="25">
        <f t="shared" si="2"/>
        <v>2.5027200148187627</v>
      </c>
      <c r="J34" s="190">
        <f>B34*D_ystar*Input!$O$10</f>
        <v>0.34696042499999985</v>
      </c>
      <c r="K34" s="25"/>
      <c r="L34" s="25"/>
    </row>
    <row r="35" spans="1:12" x14ac:dyDescent="0.2">
      <c r="B35" s="178">
        <f t="shared" si="6"/>
        <v>11.95665666666666</v>
      </c>
      <c r="C35" s="10">
        <f t="shared" si="7"/>
        <v>3.6690295696990454</v>
      </c>
      <c r="D35" s="25">
        <f t="shared" si="3"/>
        <v>2.6783915858803029</v>
      </c>
      <c r="E35" s="25">
        <f t="shared" si="4"/>
        <v>3.6690295696990454</v>
      </c>
      <c r="F35" s="25">
        <f t="shared" si="5"/>
        <v>4.6596675535177878</v>
      </c>
      <c r="G35" s="25">
        <f t="shared" si="0"/>
        <v>1.4650489159841784</v>
      </c>
      <c r="H35" s="189">
        <f t="shared" si="1"/>
        <v>2.0069163232659979</v>
      </c>
      <c r="I35" s="25">
        <f t="shared" si="2"/>
        <v>2.5487837305478172</v>
      </c>
      <c r="J35" s="190">
        <f>B35*D_ystar*Input!$O$10</f>
        <v>0.35869969999999979</v>
      </c>
      <c r="K35" s="25"/>
      <c r="L35" s="25"/>
    </row>
    <row r="36" spans="1:12" x14ac:dyDescent="0.2">
      <c r="B36" s="178">
        <f t="shared" si="6"/>
        <v>12.347965833333326</v>
      </c>
      <c r="C36" s="10">
        <f t="shared" si="7"/>
        <v>3.7343656214935153</v>
      </c>
      <c r="D36" s="25">
        <f t="shared" si="3"/>
        <v>2.7260869036902662</v>
      </c>
      <c r="E36" s="25">
        <f t="shared" si="4"/>
        <v>3.7343656214935153</v>
      </c>
      <c r="F36" s="25">
        <f t="shared" si="5"/>
        <v>4.7426443392967643</v>
      </c>
      <c r="G36" s="25">
        <f t="shared" si="0"/>
        <v>1.4911376977826925</v>
      </c>
      <c r="H36" s="189">
        <f t="shared" si="1"/>
        <v>2.0426543805242363</v>
      </c>
      <c r="I36" s="25">
        <f t="shared" si="2"/>
        <v>2.59417106326578</v>
      </c>
      <c r="J36" s="190">
        <f>B36*D_ystar*Input!$O$10</f>
        <v>0.37043897499999978</v>
      </c>
      <c r="K36" s="25"/>
      <c r="L36" s="25"/>
    </row>
    <row r="37" spans="1:12" x14ac:dyDescent="0.2">
      <c r="B37" s="178">
        <f t="shared" si="6"/>
        <v>12.739274999999992</v>
      </c>
      <c r="C37" s="10">
        <f t="shared" si="7"/>
        <v>3.7987725002357475</v>
      </c>
      <c r="D37" s="25">
        <f t="shared" si="3"/>
        <v>2.7731039251720957</v>
      </c>
      <c r="E37" s="25">
        <f t="shared" si="4"/>
        <v>3.7987725002357475</v>
      </c>
      <c r="F37" s="25">
        <f t="shared" si="5"/>
        <v>4.8244410752993989</v>
      </c>
      <c r="G37" s="25">
        <f t="shared" si="0"/>
        <v>1.5168554594116814</v>
      </c>
      <c r="H37" s="189">
        <f t="shared" si="1"/>
        <v>2.0778841909749062</v>
      </c>
      <c r="I37" s="25">
        <f t="shared" si="2"/>
        <v>2.6389129225381303</v>
      </c>
      <c r="J37" s="190">
        <f>B37*D_ystar*Input!$O$10</f>
        <v>0.38217824999999978</v>
      </c>
      <c r="K37" s="25"/>
      <c r="L37" s="25"/>
    </row>
    <row r="38" spans="1:12" x14ac:dyDescent="0.2">
      <c r="B38" s="178">
        <f t="shared" si="6"/>
        <v>13.130584166666658</v>
      </c>
      <c r="C38" s="10">
        <f t="shared" si="7"/>
        <v>3.8622913714739679</v>
      </c>
      <c r="D38" s="25">
        <f t="shared" si="3"/>
        <v>2.8194727011759966</v>
      </c>
      <c r="E38" s="25">
        <f t="shared" si="4"/>
        <v>3.8622913714739679</v>
      </c>
      <c r="F38" s="25">
        <f t="shared" si="5"/>
        <v>4.9051100417719393</v>
      </c>
      <c r="G38" s="25">
        <f t="shared" si="0"/>
        <v>1.542218638335237</v>
      </c>
      <c r="H38" s="189">
        <f t="shared" si="1"/>
        <v>2.1126282716921057</v>
      </c>
      <c r="I38" s="25">
        <f t="shared" si="2"/>
        <v>2.6830379050489741</v>
      </c>
      <c r="J38" s="190">
        <f>B38*D_ystar*Input!$O$10</f>
        <v>0.39391752499999977</v>
      </c>
      <c r="K38" s="25"/>
      <c r="L38" s="25"/>
    </row>
    <row r="39" spans="1:12" x14ac:dyDescent="0.2">
      <c r="B39" s="178">
        <f t="shared" si="6"/>
        <v>13.521893333333324</v>
      </c>
      <c r="C39" s="10">
        <f t="shared" si="7"/>
        <v>3.9249604117069015</v>
      </c>
      <c r="D39" s="25">
        <f t="shared" si="3"/>
        <v>2.8652211005460382</v>
      </c>
      <c r="E39" s="25">
        <f t="shared" si="4"/>
        <v>3.9249604117069015</v>
      </c>
      <c r="F39" s="25">
        <f t="shared" si="5"/>
        <v>4.9846997228677647</v>
      </c>
      <c r="G39" s="25">
        <f t="shared" si="0"/>
        <v>1.5672424784855794</v>
      </c>
      <c r="H39" s="189">
        <f t="shared" si="1"/>
        <v>2.1469075047747661</v>
      </c>
      <c r="I39" s="25">
        <f t="shared" si="2"/>
        <v>2.7265725310639533</v>
      </c>
      <c r="J39" s="190">
        <f>B39*D_ystar*Input!$O$10</f>
        <v>0.40565679999999971</v>
      </c>
      <c r="K39" s="25"/>
      <c r="L39" s="25"/>
    </row>
    <row r="40" spans="1:12" x14ac:dyDescent="0.2">
      <c r="B40" s="178">
        <f t="shared" si="6"/>
        <v>13.91320249999999</v>
      </c>
      <c r="C40" s="10">
        <f t="shared" si="7"/>
        <v>3.9868151051810723</v>
      </c>
      <c r="D40" s="25">
        <f t="shared" si="3"/>
        <v>2.9103750267821829</v>
      </c>
      <c r="E40" s="25">
        <f t="shared" si="4"/>
        <v>3.9868151051810723</v>
      </c>
      <c r="F40" s="25">
        <f t="shared" si="5"/>
        <v>5.0632551835799617</v>
      </c>
      <c r="G40" s="25">
        <f t="shared" si="0"/>
        <v>1.5919411487746555</v>
      </c>
      <c r="H40" s="189">
        <f t="shared" si="1"/>
        <v>2.1807412996913089</v>
      </c>
      <c r="I40" s="25">
        <f t="shared" si="2"/>
        <v>2.7695414506079623</v>
      </c>
      <c r="J40" s="190">
        <f>B40*D_ystar*Input!$O$10</f>
        <v>0.4173960749999997</v>
      </c>
      <c r="K40" s="25"/>
      <c r="L40" s="25"/>
    </row>
    <row r="41" spans="1:12" x14ac:dyDescent="0.2">
      <c r="B41" s="178">
        <f t="shared" si="6"/>
        <v>14.304511666666656</v>
      </c>
      <c r="C41" s="10">
        <f t="shared" si="7"/>
        <v>4.0478885037392001</v>
      </c>
      <c r="D41" s="25">
        <f t="shared" si="3"/>
        <v>2.9549586077296159</v>
      </c>
      <c r="E41" s="25">
        <f t="shared" si="4"/>
        <v>4.0478885037392001</v>
      </c>
      <c r="F41" s="25">
        <f t="shared" si="5"/>
        <v>5.1408183997487846</v>
      </c>
      <c r="G41" s="25">
        <f t="shared" si="0"/>
        <v>1.6163278468519875</v>
      </c>
      <c r="H41" s="189">
        <f t="shared" si="1"/>
        <v>2.214147735413682</v>
      </c>
      <c r="I41" s="25">
        <f t="shared" si="2"/>
        <v>2.8119676239753764</v>
      </c>
      <c r="J41" s="190">
        <f>B41*D_ystar*Input!$O$10</f>
        <v>0.42913534999999969</v>
      </c>
      <c r="K41" s="25"/>
      <c r="L41" s="25"/>
    </row>
    <row r="42" spans="1:12" x14ac:dyDescent="0.2">
      <c r="B42" s="178">
        <f t="shared" si="6"/>
        <v>14.695820833333322</v>
      </c>
      <c r="C42" s="10">
        <f t="shared" si="7"/>
        <v>4.1082114552000526</v>
      </c>
      <c r="D42" s="25">
        <f t="shared" si="3"/>
        <v>2.9989943622960382</v>
      </c>
      <c r="E42" s="25">
        <f t="shared" si="4"/>
        <v>4.1082114552000526</v>
      </c>
      <c r="F42" s="25">
        <f t="shared" si="5"/>
        <v>5.217428548104067</v>
      </c>
      <c r="G42" s="25">
        <f t="shared" si="0"/>
        <v>1.640414890297085</v>
      </c>
      <c r="H42" s="189">
        <f t="shared" si="1"/>
        <v>2.247143685338473</v>
      </c>
      <c r="I42" s="25">
        <f t="shared" si="2"/>
        <v>2.8538724803798607</v>
      </c>
      <c r="J42" s="190">
        <f>B42*D_ystar*Input!$O$10</f>
        <v>0.44087462499999969</v>
      </c>
      <c r="K42" s="25"/>
      <c r="L42" s="25"/>
    </row>
    <row r="43" spans="1:12" x14ac:dyDescent="0.2">
      <c r="B43" s="178">
        <f t="shared" si="6"/>
        <v>15.087129999999988</v>
      </c>
      <c r="C43" s="10">
        <f t="shared" si="7"/>
        <v>4.1678128048135488</v>
      </c>
      <c r="D43" s="25">
        <f t="shared" si="3"/>
        <v>3.0425033475138905</v>
      </c>
      <c r="E43" s="25">
        <f t="shared" si="4"/>
        <v>4.1678128048135488</v>
      </c>
      <c r="F43" s="25">
        <f t="shared" si="5"/>
        <v>5.293122262113207</v>
      </c>
      <c r="G43" s="25">
        <f t="shared" si="0"/>
        <v>1.6642137970607636</v>
      </c>
      <c r="H43" s="189">
        <f t="shared" si="1"/>
        <v>2.2797449274804977</v>
      </c>
      <c r="I43" s="25">
        <f t="shared" si="2"/>
        <v>2.8952760579002321</v>
      </c>
      <c r="J43" s="190">
        <f>B43*D_ystar*Input!$O$10</f>
        <v>0.45261389999999962</v>
      </c>
      <c r="K43" s="25"/>
      <c r="L43" s="25"/>
    </row>
    <row r="44" spans="1:12" x14ac:dyDescent="0.2">
      <c r="B44" s="178">
        <f t="shared" si="6"/>
        <v>15.478439166666654</v>
      </c>
      <c r="C44" s="10">
        <f t="shared" si="7"/>
        <v>4.2267195735784604</v>
      </c>
      <c r="D44" s="25">
        <f t="shared" si="3"/>
        <v>3.0855052887122758</v>
      </c>
      <c r="E44" s="25">
        <f t="shared" si="4"/>
        <v>4.2267195735784604</v>
      </c>
      <c r="F44" s="25">
        <f t="shared" si="5"/>
        <v>5.367933858444645</v>
      </c>
      <c r="G44" s="25">
        <f t="shared" si="0"/>
        <v>1.6877353566676661</v>
      </c>
      <c r="H44" s="189">
        <f t="shared" si="1"/>
        <v>2.3119662420105018</v>
      </c>
      <c r="I44" s="25">
        <f t="shared" si="2"/>
        <v>2.9361971273533372</v>
      </c>
      <c r="J44" s="190">
        <f>B44*D_ystar*Input!$O$10</f>
        <v>0.46435317499999962</v>
      </c>
      <c r="K44" s="25"/>
      <c r="L44" s="25"/>
    </row>
    <row r="45" spans="1:12" x14ac:dyDescent="0.2">
      <c r="B45" s="178">
        <f t="shared" si="6"/>
        <v>15.86974833333332</v>
      </c>
      <c r="C45" s="10">
        <f t="shared" si="7"/>
        <v>4.2849571165953781</v>
      </c>
      <c r="D45" s="25">
        <f t="shared" si="3"/>
        <v>3.1280186951146263</v>
      </c>
      <c r="E45" s="25">
        <f t="shared" si="4"/>
        <v>4.2849571165953781</v>
      </c>
      <c r="F45" s="25">
        <f t="shared" si="5"/>
        <v>5.44189553807613</v>
      </c>
      <c r="G45" s="25">
        <f t="shared" si="0"/>
        <v>1.7109896934468372</v>
      </c>
      <c r="H45" s="189">
        <f t="shared" si="1"/>
        <v>2.3438214978723795</v>
      </c>
      <c r="I45" s="25">
        <f t="shared" si="2"/>
        <v>2.9766533022979216</v>
      </c>
      <c r="J45" s="190">
        <f>B45*D_ystar*Input!$O$10</f>
        <v>0.47609244999999961</v>
      </c>
      <c r="K45" s="25"/>
      <c r="L45" s="25"/>
    </row>
    <row r="46" spans="1:12" x14ac:dyDescent="0.2">
      <c r="B46" s="178">
        <f t="shared" si="6"/>
        <v>16.261057499999986</v>
      </c>
      <c r="C46" s="10">
        <f t="shared" si="7"/>
        <v>4.3425492641253962</v>
      </c>
      <c r="D46" s="25">
        <f t="shared" si="3"/>
        <v>3.1700609628115393</v>
      </c>
      <c r="E46" s="25">
        <f t="shared" si="4"/>
        <v>4.3425492641253962</v>
      </c>
      <c r="F46" s="25">
        <f t="shared" si="5"/>
        <v>5.5150375654392532</v>
      </c>
      <c r="G46" s="25">
        <f t="shared" si="0"/>
        <v>1.7339863228566605</v>
      </c>
      <c r="H46" s="189">
        <f t="shared" si="1"/>
        <v>2.3753237299406309</v>
      </c>
      <c r="I46" s="25">
        <f t="shared" si="2"/>
        <v>3.0166611370246015</v>
      </c>
      <c r="J46" s="190">
        <f>B46*D_ystar*Input!$O$10</f>
        <v>0.48783172499999961</v>
      </c>
      <c r="K46" s="25"/>
      <c r="L46" s="25"/>
    </row>
    <row r="47" spans="1:12" x14ac:dyDescent="0.2">
      <c r="B47" s="178">
        <f>Input!I9</f>
        <v>16.652366666666666</v>
      </c>
      <c r="C47" s="10">
        <f t="shared" si="7"/>
        <v>4.3995184476123264</v>
      </c>
      <c r="D47" s="25">
        <f t="shared" si="3"/>
        <v>3.2116484667569982</v>
      </c>
      <c r="E47" s="25">
        <f t="shared" si="4"/>
        <v>4.3995184476123264</v>
      </c>
      <c r="F47" s="25">
        <f t="shared" si="5"/>
        <v>5.5873884284676549</v>
      </c>
      <c r="G47" s="25">
        <f t="shared" si="0"/>
        <v>1.7567342018057193</v>
      </c>
      <c r="H47" s="189">
        <f t="shared" si="1"/>
        <v>2.4064852079530401</v>
      </c>
      <c r="I47" s="25">
        <f t="shared" si="2"/>
        <v>3.0562362141003616</v>
      </c>
      <c r="J47" s="190">
        <f>B47*D_ystar*Input!$O$10</f>
        <v>0.49957099999999993</v>
      </c>
      <c r="K47" s="25"/>
      <c r="L47" s="25"/>
    </row>
    <row r="48" spans="1:12" x14ac:dyDescent="0.2">
      <c r="A48" s="4"/>
      <c r="B48" s="10"/>
      <c r="C48" s="10"/>
      <c r="D48" s="10"/>
      <c r="E48" s="194"/>
      <c r="F48" s="194"/>
      <c r="G48" s="194"/>
      <c r="H48" s="10"/>
      <c r="I48" s="194"/>
      <c r="J48" s="195"/>
      <c r="K48" s="194"/>
      <c r="L48" s="194"/>
    </row>
    <row r="50" spans="9:11" x14ac:dyDescent="0.2">
      <c r="I50" s="193"/>
      <c r="K50" s="25"/>
    </row>
  </sheetData>
  <mergeCells count="1">
    <mergeCell ref="G4:I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57"/>
  <sheetViews>
    <sheetView zoomScaleNormal="50" zoomScalePageLayoutView="50" workbookViewId="0">
      <selection activeCell="G25" sqref="G25"/>
    </sheetView>
  </sheetViews>
  <sheetFormatPr baseColWidth="10" defaultRowHeight="16" x14ac:dyDescent="0.2"/>
  <cols>
    <col min="2" max="2" width="16.83203125" customWidth="1"/>
    <col min="5" max="5" width="14.83203125" bestFit="1" customWidth="1"/>
  </cols>
  <sheetData>
    <row r="1" spans="1:15" ht="22" thickBot="1" x14ac:dyDescent="0.3">
      <c r="A1" s="206" t="s">
        <v>81</v>
      </c>
      <c r="B1" s="207"/>
      <c r="C1" s="207"/>
      <c r="D1" s="207"/>
      <c r="E1" s="208"/>
      <c r="F1" s="206" t="s">
        <v>82</v>
      </c>
      <c r="G1" s="207"/>
      <c r="H1" s="207"/>
      <c r="I1" s="207"/>
      <c r="J1" s="208"/>
      <c r="K1" s="206" t="s">
        <v>83</v>
      </c>
      <c r="L1" s="207"/>
      <c r="M1" s="207"/>
      <c r="N1" s="207"/>
      <c r="O1" s="208"/>
    </row>
    <row r="2" spans="1:15" ht="17" thickBot="1" x14ac:dyDescent="0.25">
      <c r="A2" s="203" t="s">
        <v>70</v>
      </c>
      <c r="B2" s="204"/>
      <c r="C2" s="204"/>
      <c r="D2" s="204"/>
      <c r="E2" s="205"/>
      <c r="F2" s="204" t="s">
        <v>70</v>
      </c>
      <c r="G2" s="204"/>
      <c r="H2" s="204"/>
      <c r="I2" s="204"/>
      <c r="J2" s="205"/>
      <c r="K2" s="203" t="s">
        <v>70</v>
      </c>
      <c r="L2" s="204"/>
      <c r="M2" s="204"/>
      <c r="N2" s="204"/>
      <c r="O2" s="205"/>
    </row>
    <row r="3" spans="1:15" x14ac:dyDescent="0.2">
      <c r="A3" s="106"/>
      <c r="B3" s="4"/>
      <c r="C3" s="4"/>
      <c r="D3" s="4"/>
      <c r="E3" s="107"/>
      <c r="K3" s="106"/>
      <c r="L3" s="4"/>
      <c r="M3" s="4"/>
      <c r="N3" s="4"/>
      <c r="O3" s="107"/>
    </row>
    <row r="4" spans="1:15" ht="18" x14ac:dyDescent="0.25">
      <c r="A4" s="108" t="s">
        <v>19</v>
      </c>
      <c r="B4" s="90" t="s">
        <v>71</v>
      </c>
      <c r="C4" s="91" t="s">
        <v>72</v>
      </c>
      <c r="D4" s="92" t="s">
        <v>73</v>
      </c>
      <c r="E4" s="109"/>
      <c r="F4" s="105" t="s">
        <v>19</v>
      </c>
      <c r="G4" s="90" t="s">
        <v>71</v>
      </c>
      <c r="H4" s="91" t="s">
        <v>72</v>
      </c>
      <c r="I4" s="92" t="s">
        <v>73</v>
      </c>
      <c r="J4" s="22"/>
      <c r="K4" s="108" t="s">
        <v>19</v>
      </c>
      <c r="L4" s="90" t="s">
        <v>71</v>
      </c>
      <c r="M4" s="91" t="s">
        <v>72</v>
      </c>
      <c r="N4" s="92" t="s">
        <v>73</v>
      </c>
      <c r="O4" s="109"/>
    </row>
    <row r="5" spans="1:15" x14ac:dyDescent="0.2">
      <c r="A5" s="20">
        <v>1</v>
      </c>
      <c r="B5" s="93">
        <v>0.14599999999999999</v>
      </c>
      <c r="C5" s="94">
        <v>0.53349999999999997</v>
      </c>
      <c r="D5" s="95">
        <v>3.4439999999999998E-2</v>
      </c>
      <c r="E5" s="101">
        <f t="shared" ref="E5:E11" si="0">B5*EXP(-(((T_star-C5)/D5)^2))</f>
        <v>9.1468651607489071E-2</v>
      </c>
      <c r="F5" s="1">
        <v>1</v>
      </c>
      <c r="G5" s="93">
        <v>0.86280000000000001</v>
      </c>
      <c r="H5" s="94">
        <v>0.76239999999999997</v>
      </c>
      <c r="I5" s="95">
        <v>0.1643</v>
      </c>
      <c r="J5" s="9">
        <f t="shared" ref="J5:J11" si="1">G5*EXP(-(((T_star-H5)/I5)^2))</f>
        <v>0.18092364070086506</v>
      </c>
      <c r="K5" s="20">
        <v>1</v>
      </c>
      <c r="L5" s="93">
        <v>1.024</v>
      </c>
      <c r="M5" s="94">
        <v>0.90180000000000005</v>
      </c>
      <c r="N5" s="95">
        <v>0.65549999999999997</v>
      </c>
      <c r="O5" s="101">
        <f t="shared" ref="O5:O11" si="2">L5*EXP(-(((T_star-M5)/N5)^2))</f>
        <v>0.77655389914066675</v>
      </c>
    </row>
    <row r="6" spans="1:15" x14ac:dyDescent="0.2">
      <c r="A6" s="20">
        <v>2</v>
      </c>
      <c r="B6" s="96">
        <v>0.59260000000000002</v>
      </c>
      <c r="C6" s="7">
        <v>0.41610000000000003</v>
      </c>
      <c r="D6" s="97">
        <v>0.31940000000000002</v>
      </c>
      <c r="E6" s="101">
        <f t="shared" si="0"/>
        <v>0.48773643990080123</v>
      </c>
      <c r="F6" s="1">
        <v>2</v>
      </c>
      <c r="G6" s="96">
        <v>0.92349999999999999</v>
      </c>
      <c r="H6" s="7">
        <v>0.50409999999999999</v>
      </c>
      <c r="I6" s="97">
        <v>0.1701</v>
      </c>
      <c r="J6" s="9">
        <f t="shared" si="1"/>
        <v>0.83820950322921006</v>
      </c>
      <c r="K6" s="20">
        <v>2</v>
      </c>
      <c r="L6" s="96">
        <v>0.60340000000000005</v>
      </c>
      <c r="M6" s="7">
        <v>0.1928</v>
      </c>
      <c r="N6" s="97">
        <v>0.1072</v>
      </c>
      <c r="O6" s="101">
        <f t="shared" si="2"/>
        <v>5.8408217262777653E-6</v>
      </c>
    </row>
    <row r="7" spans="1:15" x14ac:dyDescent="0.2">
      <c r="A7" s="20">
        <v>3</v>
      </c>
      <c r="B7" s="96">
        <v>7.3120000000000004E-2</v>
      </c>
      <c r="C7" s="7">
        <v>0.44950000000000001</v>
      </c>
      <c r="D7" s="97">
        <v>1.6670000000000001E-2</v>
      </c>
      <c r="E7" s="101">
        <f t="shared" si="0"/>
        <v>6.1159000084510127E-20</v>
      </c>
      <c r="F7" s="1">
        <v>3</v>
      </c>
      <c r="G7" s="96">
        <v>0.91949999999999998</v>
      </c>
      <c r="H7" s="7">
        <v>0.17849999999999999</v>
      </c>
      <c r="I7" s="97">
        <v>0.1147</v>
      </c>
      <c r="J7" s="9">
        <f t="shared" si="1"/>
        <v>1.7102745523647079E-5</v>
      </c>
      <c r="K7" s="20">
        <v>3</v>
      </c>
      <c r="L7" s="96">
        <v>0.24660000000000001</v>
      </c>
      <c r="M7" s="7">
        <v>0.4758</v>
      </c>
      <c r="N7" s="97">
        <v>0.1232</v>
      </c>
      <c r="O7" s="101">
        <f t="shared" si="2"/>
        <v>0.15962436518684872</v>
      </c>
    </row>
    <row r="8" spans="1:15" x14ac:dyDescent="0.2">
      <c r="A8" s="20">
        <v>4</v>
      </c>
      <c r="B8" s="96">
        <v>0.29649999999999999</v>
      </c>
      <c r="C8" s="7">
        <v>0.2215</v>
      </c>
      <c r="D8" s="97">
        <v>0.1087</v>
      </c>
      <c r="E8" s="101">
        <f t="shared" si="0"/>
        <v>2.1554431779309187E-5</v>
      </c>
      <c r="F8" s="1">
        <v>4</v>
      </c>
      <c r="G8" s="96">
        <v>0.96319999999999995</v>
      </c>
      <c r="H8" s="7">
        <v>1.022</v>
      </c>
      <c r="I8" s="97">
        <v>0.1694</v>
      </c>
      <c r="J8" s="9">
        <f t="shared" si="1"/>
        <v>5.1529213124393151E-4</v>
      </c>
      <c r="K8" s="20">
        <v>4</v>
      </c>
      <c r="L8" s="96">
        <v>6.1409999999999999E-2</v>
      </c>
      <c r="M8" s="7">
        <v>0.69030000000000002</v>
      </c>
      <c r="N8" s="97">
        <v>5.6640000000000003E-2</v>
      </c>
      <c r="O8" s="101">
        <f t="shared" si="2"/>
        <v>2.424439380642785E-4</v>
      </c>
    </row>
    <row r="9" spans="1:15" x14ac:dyDescent="0.2">
      <c r="A9" s="20">
        <v>5</v>
      </c>
      <c r="B9" s="96">
        <v>2.6880000000000001E-2</v>
      </c>
      <c r="C9" s="7">
        <v>0.36990000000000001</v>
      </c>
      <c r="D9" s="97">
        <v>1.5800000000000002E-2</v>
      </c>
      <c r="E9" s="101">
        <f t="shared" si="0"/>
        <v>3.1355420692579246E-63</v>
      </c>
      <c r="F9" s="1">
        <v>5</v>
      </c>
      <c r="G9" s="96">
        <v>0.47449999999999998</v>
      </c>
      <c r="H9" s="7">
        <v>0.32529999999999998</v>
      </c>
      <c r="I9" s="97">
        <v>9.4030000000000002E-2</v>
      </c>
      <c r="J9" s="9">
        <f t="shared" si="1"/>
        <v>1.0917434543457575E-3</v>
      </c>
      <c r="K9" s="20">
        <v>5</v>
      </c>
      <c r="L9" s="96">
        <v>0.25109999999999999</v>
      </c>
      <c r="M9" s="7">
        <v>0.32540000000000002</v>
      </c>
      <c r="N9" s="97">
        <v>7.0669999999999997E-2</v>
      </c>
      <c r="O9" s="101">
        <f t="shared" si="2"/>
        <v>5.413151622193266E-6</v>
      </c>
    </row>
    <row r="10" spans="1:15" x14ac:dyDescent="0.2">
      <c r="A10" s="20">
        <v>6</v>
      </c>
      <c r="B10" s="96">
        <v>1.0629999999999999</v>
      </c>
      <c r="C10" s="7">
        <v>1.0029999999999999</v>
      </c>
      <c r="D10" s="97">
        <v>0.64600000000000002</v>
      </c>
      <c r="E10" s="101">
        <f t="shared" si="0"/>
        <v>0.66004190135336627</v>
      </c>
      <c r="F10" s="1">
        <v>6</v>
      </c>
      <c r="G10" s="96">
        <v>6.54E-2</v>
      </c>
      <c r="H10" s="7">
        <v>0.40639999999999998</v>
      </c>
      <c r="I10" s="97">
        <v>2.0539999999999999E-2</v>
      </c>
      <c r="J10" s="9">
        <f t="shared" si="1"/>
        <v>2.8360188898608918E-25</v>
      </c>
      <c r="K10" s="20">
        <v>6</v>
      </c>
      <c r="L10" s="96">
        <v>1E-4</v>
      </c>
      <c r="M10" s="7">
        <v>0.93899999999999995</v>
      </c>
      <c r="N10" s="97">
        <v>1.32E-3</v>
      </c>
      <c r="O10" s="101">
        <f t="shared" si="2"/>
        <v>0</v>
      </c>
    </row>
    <row r="11" spans="1:15" x14ac:dyDescent="0.2">
      <c r="A11" s="20">
        <v>7</v>
      </c>
      <c r="B11" s="98">
        <v>0.31269999999999998</v>
      </c>
      <c r="C11" s="99">
        <v>0.1462</v>
      </c>
      <c r="D11" s="100">
        <v>7.1809999999999999E-2</v>
      </c>
      <c r="E11" s="101">
        <f t="shared" si="0"/>
        <v>1.9008841155642918E-15</v>
      </c>
      <c r="F11" s="1">
        <v>7</v>
      </c>
      <c r="G11" s="98">
        <v>4.4609999999999997E-2</v>
      </c>
      <c r="H11" s="99">
        <v>0.44790000000000002</v>
      </c>
      <c r="I11" s="100">
        <v>1.584E-2</v>
      </c>
      <c r="J11" s="9">
        <f t="shared" si="1"/>
        <v>1.0655738463850814E-22</v>
      </c>
      <c r="K11" s="20">
        <v>7</v>
      </c>
      <c r="L11" s="98">
        <v>7.0860000000000006E-2</v>
      </c>
      <c r="M11" s="99">
        <v>0.39479999999999998</v>
      </c>
      <c r="N11" s="100">
        <v>2.2870000000000001E-2</v>
      </c>
      <c r="O11" s="101">
        <f t="shared" si="2"/>
        <v>9.8093543412950813E-24</v>
      </c>
    </row>
    <row r="12" spans="1:15" x14ac:dyDescent="0.2">
      <c r="A12" s="106"/>
      <c r="B12" s="4"/>
      <c r="C12" s="4"/>
      <c r="D12" s="4"/>
      <c r="E12" s="107"/>
      <c r="K12" s="106"/>
      <c r="L12" s="4"/>
      <c r="M12" s="4"/>
      <c r="N12" s="4"/>
      <c r="O12" s="107"/>
    </row>
    <row r="13" spans="1:15" x14ac:dyDescent="0.2">
      <c r="A13" s="110" t="s">
        <v>8</v>
      </c>
      <c r="B13" s="111">
        <f>SUM(E5:E11)</f>
        <v>1.2392685472934379</v>
      </c>
      <c r="C13" s="4"/>
      <c r="D13" s="4"/>
      <c r="E13" s="107"/>
      <c r="F13" s="2" t="s">
        <v>8</v>
      </c>
      <c r="G13" s="3">
        <f>SUM(J5:J11)</f>
        <v>1.0207572822611883</v>
      </c>
      <c r="K13" s="110" t="s">
        <v>8</v>
      </c>
      <c r="L13" s="111">
        <f>SUM(O5:O11)</f>
        <v>0.93643196223892822</v>
      </c>
      <c r="M13" s="4"/>
      <c r="N13" s="4"/>
      <c r="O13" s="107"/>
    </row>
    <row r="14" spans="1:15" x14ac:dyDescent="0.2">
      <c r="A14" s="106"/>
      <c r="B14" s="4"/>
      <c r="C14" s="4"/>
      <c r="D14" s="4"/>
      <c r="E14" s="107"/>
      <c r="K14" s="106"/>
      <c r="L14" s="4"/>
      <c r="M14" s="4"/>
      <c r="N14" s="4"/>
      <c r="O14" s="107"/>
    </row>
    <row r="15" spans="1:15" ht="18" x14ac:dyDescent="0.25">
      <c r="A15" s="108" t="s">
        <v>19</v>
      </c>
      <c r="B15" s="90" t="s">
        <v>74</v>
      </c>
      <c r="C15" s="91" t="s">
        <v>75</v>
      </c>
      <c r="D15" s="92" t="s">
        <v>76</v>
      </c>
      <c r="E15" s="107"/>
      <c r="F15" s="105" t="s">
        <v>19</v>
      </c>
      <c r="G15" s="90" t="s">
        <v>74</v>
      </c>
      <c r="H15" s="91" t="s">
        <v>75</v>
      </c>
      <c r="I15" s="92" t="s">
        <v>76</v>
      </c>
      <c r="K15" s="108" t="s">
        <v>19</v>
      </c>
      <c r="L15" s="90" t="s">
        <v>74</v>
      </c>
      <c r="M15" s="91" t="s">
        <v>75</v>
      </c>
      <c r="N15" s="92" t="s">
        <v>76</v>
      </c>
      <c r="O15" s="107"/>
    </row>
    <row r="16" spans="1:15" x14ac:dyDescent="0.2">
      <c r="A16" s="20">
        <v>1</v>
      </c>
      <c r="B16" s="93">
        <v>0.20080000000000001</v>
      </c>
      <c r="C16" s="94">
        <v>1.093</v>
      </c>
      <c r="D16" s="95">
        <v>0.54049999999999998</v>
      </c>
      <c r="E16" s="101">
        <f t="shared" ref="E16:E22" si="3">B16*EXP(-(((T_star-C16)/D16)^2))</f>
        <v>7.5119308172104202E-2</v>
      </c>
      <c r="F16" s="1">
        <v>1</v>
      </c>
      <c r="G16" s="93">
        <v>-0.13339999999999999</v>
      </c>
      <c r="H16" s="94">
        <v>0.77710000000000001</v>
      </c>
      <c r="I16" s="95">
        <v>4.9070000000000003E-2</v>
      </c>
      <c r="J16" s="9">
        <f t="shared" ref="J16:J22" si="4">G16*EXP(-(((T_star-H16)/I16)^2))</f>
        <v>-2.4636794725090708E-10</v>
      </c>
      <c r="K16" s="20">
        <v>1</v>
      </c>
      <c r="L16" s="93">
        <v>0.71819999999999995</v>
      </c>
      <c r="M16" s="94">
        <v>4.1509999999999998E-2</v>
      </c>
      <c r="N16" s="95">
        <v>9.0179999999999996E-2</v>
      </c>
      <c r="O16" s="101">
        <f t="shared" ref="O16:O22" si="5">L16*EXP(-(((T_star-M16)/N16)^2))</f>
        <v>4.5997348665309591E-15</v>
      </c>
    </row>
    <row r="17" spans="1:15" x14ac:dyDescent="0.2">
      <c r="A17" s="20">
        <v>2</v>
      </c>
      <c r="B17" s="96">
        <v>0.17899999999999999</v>
      </c>
      <c r="C17" s="7">
        <v>0.71689999999999998</v>
      </c>
      <c r="D17" s="97">
        <v>8.8359999999999994E-2</v>
      </c>
      <c r="E17" s="101">
        <f t="shared" si="3"/>
        <v>6.7846295577109594E-3</v>
      </c>
      <c r="F17" s="1">
        <v>2</v>
      </c>
      <c r="G17" s="96">
        <v>0.33119999999999999</v>
      </c>
      <c r="H17" s="7">
        <v>0.76470000000000005</v>
      </c>
      <c r="I17" s="97">
        <v>9.859999999999999E-4</v>
      </c>
      <c r="J17" s="9">
        <f t="shared" si="4"/>
        <v>0</v>
      </c>
      <c r="K17" s="20">
        <v>2</v>
      </c>
      <c r="L17" s="96">
        <v>0.13200000000000001</v>
      </c>
      <c r="M17" s="7">
        <v>0.60580000000000001</v>
      </c>
      <c r="N17" s="97">
        <v>4.845E-2</v>
      </c>
      <c r="O17" s="101">
        <f t="shared" si="5"/>
        <v>4.7962134079522017E-2</v>
      </c>
    </row>
    <row r="18" spans="1:15" x14ac:dyDescent="0.2">
      <c r="A18" s="20">
        <v>3</v>
      </c>
      <c r="B18" s="96">
        <v>0.14249999999999999</v>
      </c>
      <c r="C18" s="7">
        <v>0.48759999999999998</v>
      </c>
      <c r="D18" s="97">
        <v>4.956E-2</v>
      </c>
      <c r="E18" s="101">
        <f t="shared" si="3"/>
        <v>1.9996707727782417E-2</v>
      </c>
      <c r="F18" s="1">
        <v>3</v>
      </c>
      <c r="G18" s="96">
        <v>0.79849999999999999</v>
      </c>
      <c r="H18" s="7">
        <v>4.2840000000000003E-2</v>
      </c>
      <c r="I18" s="97">
        <v>9.3649999999999997E-2</v>
      </c>
      <c r="J18" s="9">
        <f t="shared" si="4"/>
        <v>6.4404385427460584E-14</v>
      </c>
      <c r="K18" s="20">
        <v>3</v>
      </c>
      <c r="L18" s="96">
        <v>0.12330000000000001</v>
      </c>
      <c r="M18" s="7">
        <v>0.4904</v>
      </c>
      <c r="N18" s="97">
        <v>4.3920000000000001E-2</v>
      </c>
      <c r="O18" s="101">
        <f t="shared" si="5"/>
        <v>1.2325421687356196E-2</v>
      </c>
    </row>
    <row r="19" spans="1:15" x14ac:dyDescent="0.2">
      <c r="A19" s="20">
        <v>4</v>
      </c>
      <c r="B19" s="96">
        <v>0.15329999999999999</v>
      </c>
      <c r="C19" s="7">
        <v>0.57089999999999996</v>
      </c>
      <c r="D19" s="97">
        <v>7.2559999999999999E-2</v>
      </c>
      <c r="E19" s="101">
        <f t="shared" si="3"/>
        <v>0.1478158161350038</v>
      </c>
      <c r="F19" s="1">
        <v>4</v>
      </c>
      <c r="G19" s="96">
        <v>1E-4</v>
      </c>
      <c r="H19" s="7">
        <v>0.57210000000000005</v>
      </c>
      <c r="I19" s="97">
        <v>1E-4</v>
      </c>
      <c r="J19" s="9">
        <f t="shared" si="4"/>
        <v>0</v>
      </c>
      <c r="K19" s="20">
        <v>4</v>
      </c>
      <c r="L19" s="96">
        <v>9.8049999999999998E-2</v>
      </c>
      <c r="M19" s="7">
        <v>0.54479999999999995</v>
      </c>
      <c r="N19" s="97">
        <v>1.7780000000000001E-2</v>
      </c>
      <c r="O19" s="101">
        <f t="shared" si="5"/>
        <v>6.0991171381229156E-2</v>
      </c>
    </row>
    <row r="20" spans="1:15" x14ac:dyDescent="0.2">
      <c r="A20" s="20">
        <v>5</v>
      </c>
      <c r="B20" s="96">
        <v>3623000000000</v>
      </c>
      <c r="C20" s="7">
        <v>97.61</v>
      </c>
      <c r="D20" s="97">
        <v>17.940000000000001</v>
      </c>
      <c r="E20" s="101">
        <f t="shared" si="3"/>
        <v>0.70588822444671928</v>
      </c>
      <c r="F20" s="1">
        <v>5</v>
      </c>
      <c r="G20" s="96">
        <v>0.15429999999999999</v>
      </c>
      <c r="H20" s="7">
        <v>0.4788</v>
      </c>
      <c r="I20" s="97">
        <v>0.105</v>
      </c>
      <c r="J20" s="9">
        <f t="shared" si="4"/>
        <v>8.854473945838201E-2</v>
      </c>
      <c r="K20" s="20">
        <v>5</v>
      </c>
      <c r="L20" s="96">
        <v>0.1429</v>
      </c>
      <c r="M20" s="7">
        <v>0.36520000000000002</v>
      </c>
      <c r="N20" s="97">
        <v>9.8150000000000001E-2</v>
      </c>
      <c r="O20" s="101">
        <f t="shared" si="5"/>
        <v>3.1311918800971412E-3</v>
      </c>
    </row>
    <row r="21" spans="1:15" x14ac:dyDescent="0.2">
      <c r="A21" s="20">
        <v>6</v>
      </c>
      <c r="B21" s="96">
        <v>9.4509999999999997E-2</v>
      </c>
      <c r="C21" s="7">
        <v>0.44240000000000002</v>
      </c>
      <c r="D21" s="97">
        <v>6.2619999999999995E-2</v>
      </c>
      <c r="E21" s="101">
        <f t="shared" si="3"/>
        <v>3.308588300843501E-3</v>
      </c>
      <c r="F21" s="1">
        <v>6</v>
      </c>
      <c r="G21" s="96">
        <v>0.92520000000000002</v>
      </c>
      <c r="H21" s="7">
        <v>0.8165</v>
      </c>
      <c r="I21" s="97">
        <v>0.51</v>
      </c>
      <c r="J21" s="9">
        <f t="shared" si="4"/>
        <v>0.71423343591038713</v>
      </c>
      <c r="K21" s="20">
        <v>6</v>
      </c>
      <c r="L21" s="96">
        <v>0.65469999999999995</v>
      </c>
      <c r="M21" s="7">
        <v>0.84309999999999996</v>
      </c>
      <c r="N21" s="97">
        <v>0.71260000000000001</v>
      </c>
      <c r="O21" s="101">
        <f t="shared" si="5"/>
        <v>0.55726567582374142</v>
      </c>
    </row>
    <row r="22" spans="1:15" x14ac:dyDescent="0.2">
      <c r="A22" s="20">
        <v>7</v>
      </c>
      <c r="B22" s="98">
        <v>0.19639999999999999</v>
      </c>
      <c r="C22" s="99">
        <v>0.33450000000000002</v>
      </c>
      <c r="D22" s="100">
        <v>9.5219999999999999E-2</v>
      </c>
      <c r="E22" s="101">
        <f t="shared" si="3"/>
        <v>8.3320331956398988E-4</v>
      </c>
      <c r="F22" s="1">
        <v>7</v>
      </c>
      <c r="G22" s="98">
        <v>0.28089999999999998</v>
      </c>
      <c r="H22" s="99">
        <v>0.30030000000000001</v>
      </c>
      <c r="I22" s="100">
        <v>0.1216</v>
      </c>
      <c r="J22" s="9">
        <f t="shared" si="4"/>
        <v>3.253825312103656E-3</v>
      </c>
      <c r="K22" s="20">
        <v>7</v>
      </c>
      <c r="L22" s="98">
        <v>1E-4</v>
      </c>
      <c r="M22" s="99">
        <v>0.71150000000000002</v>
      </c>
      <c r="N22" s="100">
        <v>1.8029999999999999E-4</v>
      </c>
      <c r="O22" s="101">
        <f t="shared" si="5"/>
        <v>0</v>
      </c>
    </row>
    <row r="23" spans="1:15" x14ac:dyDescent="0.2">
      <c r="A23" s="106"/>
      <c r="B23" s="4"/>
      <c r="C23" s="4"/>
      <c r="D23" s="4"/>
      <c r="E23" s="107"/>
      <c r="K23" s="106"/>
      <c r="L23" s="4"/>
      <c r="M23" s="4"/>
      <c r="N23" s="4"/>
      <c r="O23" s="107"/>
    </row>
    <row r="24" spans="1:15" x14ac:dyDescent="0.2">
      <c r="A24" s="110" t="s">
        <v>13</v>
      </c>
      <c r="B24" s="111">
        <f>SUM(E16:E22)</f>
        <v>0.95974647765972809</v>
      </c>
      <c r="C24" s="4"/>
      <c r="D24" s="4"/>
      <c r="E24" s="107"/>
      <c r="F24" s="2" t="s">
        <v>13</v>
      </c>
      <c r="G24" s="3">
        <f>SUM(J16:J22)</f>
        <v>0.80603200043456924</v>
      </c>
      <c r="K24" s="110" t="s">
        <v>13</v>
      </c>
      <c r="L24" s="111">
        <f>SUM(O16:O22)</f>
        <v>0.68167559485195051</v>
      </c>
      <c r="M24" s="4"/>
      <c r="N24" s="4"/>
      <c r="O24" s="107"/>
    </row>
    <row r="25" spans="1:15" x14ac:dyDescent="0.2">
      <c r="A25" s="106"/>
      <c r="B25" s="4"/>
      <c r="C25" s="4"/>
      <c r="D25" s="4"/>
      <c r="E25" s="107"/>
      <c r="K25" s="106"/>
      <c r="L25" s="4"/>
      <c r="M25" s="4"/>
      <c r="N25" s="4"/>
      <c r="O25" s="107"/>
    </row>
    <row r="26" spans="1:15" ht="17" thickBot="1" x14ac:dyDescent="0.25">
      <c r="A26" s="106"/>
      <c r="B26" s="4"/>
      <c r="C26" s="4"/>
      <c r="D26" s="4"/>
      <c r="E26" s="107"/>
      <c r="K26" s="106"/>
      <c r="L26" s="4"/>
      <c r="M26" s="4"/>
      <c r="N26" s="4"/>
      <c r="O26" s="107"/>
    </row>
    <row r="27" spans="1:15" ht="17" thickBot="1" x14ac:dyDescent="0.25">
      <c r="A27" s="203" t="s">
        <v>14</v>
      </c>
      <c r="B27" s="204"/>
      <c r="C27" s="204"/>
      <c r="D27" s="204"/>
      <c r="E27" s="205"/>
      <c r="F27" s="204" t="s">
        <v>14</v>
      </c>
      <c r="G27" s="204"/>
      <c r="H27" s="204"/>
      <c r="I27" s="204"/>
      <c r="J27" s="205"/>
      <c r="K27" s="203" t="s">
        <v>14</v>
      </c>
      <c r="L27" s="204"/>
      <c r="M27" s="204"/>
      <c r="N27" s="204"/>
      <c r="O27" s="205"/>
    </row>
    <row r="28" spans="1:15" x14ac:dyDescent="0.2">
      <c r="A28" s="20"/>
      <c r="B28" s="7"/>
      <c r="C28" s="7"/>
      <c r="D28" s="7"/>
      <c r="E28" s="21"/>
      <c r="F28" s="7"/>
      <c r="G28" s="7"/>
      <c r="H28" s="7"/>
      <c r="I28" s="7"/>
      <c r="J28" s="7"/>
      <c r="K28" s="20"/>
      <c r="L28" s="7"/>
      <c r="M28" s="7"/>
      <c r="N28" s="7"/>
      <c r="O28" s="21"/>
    </row>
    <row r="29" spans="1:15" x14ac:dyDescent="0.2">
      <c r="A29" s="106"/>
      <c r="B29" s="102" t="s">
        <v>9</v>
      </c>
      <c r="C29" s="104" t="s">
        <v>10</v>
      </c>
      <c r="D29" s="4"/>
      <c r="E29" s="107"/>
      <c r="G29" s="102" t="s">
        <v>9</v>
      </c>
      <c r="H29" s="104" t="s">
        <v>10</v>
      </c>
      <c r="K29" s="106"/>
      <c r="L29" s="102" t="s">
        <v>9</v>
      </c>
      <c r="M29" s="104" t="s">
        <v>10</v>
      </c>
      <c r="N29" s="4"/>
      <c r="O29" s="107"/>
    </row>
    <row r="30" spans="1:15" x14ac:dyDescent="0.2">
      <c r="A30" s="20" t="s">
        <v>77</v>
      </c>
      <c r="B30" s="46">
        <v>3.9449999999999999E-2</v>
      </c>
      <c r="C30" s="46">
        <v>-3.0689999999999999E-2</v>
      </c>
      <c r="D30" s="4"/>
      <c r="E30" s="107"/>
      <c r="F30" s="1" t="s">
        <v>77</v>
      </c>
      <c r="G30" s="46">
        <v>1.8329999999999999E-2</v>
      </c>
      <c r="H30" s="46">
        <v>-1.481E-2</v>
      </c>
      <c r="K30" s="20" t="s">
        <v>77</v>
      </c>
      <c r="L30" s="46">
        <v>9.5080000000000008E-3</v>
      </c>
      <c r="M30" s="46">
        <v>-7.8209999999999998E-3</v>
      </c>
      <c r="N30" s="4"/>
      <c r="O30" s="107"/>
    </row>
    <row r="31" spans="1:15" x14ac:dyDescent="0.2">
      <c r="A31" s="20" t="s">
        <v>78</v>
      </c>
      <c r="B31" s="47">
        <v>1.0489999999999999</v>
      </c>
      <c r="C31" s="47">
        <v>0.24940000000000001</v>
      </c>
      <c r="D31" s="4"/>
      <c r="E31" s="107"/>
      <c r="F31" s="1" t="s">
        <v>78</v>
      </c>
      <c r="G31" s="47">
        <v>0.82369999999999999</v>
      </c>
      <c r="H31" s="47">
        <v>4.0820000000000002E-2</v>
      </c>
      <c r="K31" s="20" t="s">
        <v>78</v>
      </c>
      <c r="L31" s="47">
        <v>0.41749999999999998</v>
      </c>
      <c r="M31" s="47">
        <v>3.1640000000000001E-2</v>
      </c>
      <c r="N31" s="4"/>
      <c r="O31" s="107"/>
    </row>
    <row r="32" spans="1:15" x14ac:dyDescent="0.2">
      <c r="A32" s="20" t="s">
        <v>79</v>
      </c>
      <c r="B32" s="48">
        <v>-0.73260000000000003</v>
      </c>
      <c r="C32" s="48">
        <v>1.1160000000000001</v>
      </c>
      <c r="D32" s="4"/>
      <c r="E32" s="107"/>
      <c r="F32" s="1" t="s">
        <v>79</v>
      </c>
      <c r="G32" s="48">
        <v>-0.7208</v>
      </c>
      <c r="H32" s="48">
        <v>1.2789999999999999</v>
      </c>
      <c r="K32" s="20" t="s">
        <v>79</v>
      </c>
      <c r="L32" s="48">
        <v>-3.7499999999999999E-2</v>
      </c>
      <c r="M32" s="48">
        <v>1.079</v>
      </c>
      <c r="N32" s="4"/>
      <c r="O32" s="107"/>
    </row>
    <row r="33" spans="1:15" x14ac:dyDescent="0.2">
      <c r="A33" s="106"/>
      <c r="B33" s="4"/>
      <c r="C33" s="4"/>
      <c r="D33" s="4"/>
      <c r="E33" s="107"/>
      <c r="K33" s="106"/>
      <c r="L33" s="4"/>
      <c r="M33" s="4"/>
      <c r="N33" s="4"/>
      <c r="O33" s="107"/>
    </row>
    <row r="34" spans="1:15" x14ac:dyDescent="0.2">
      <c r="A34" s="106"/>
      <c r="B34" s="4"/>
      <c r="C34" s="4"/>
      <c r="D34" s="4"/>
      <c r="E34" s="107"/>
      <c r="K34" s="106"/>
      <c r="L34" s="4"/>
      <c r="M34" s="4"/>
      <c r="N34" s="4"/>
      <c r="O34" s="107"/>
    </row>
    <row r="35" spans="1:15" x14ac:dyDescent="0.2">
      <c r="A35" s="110" t="s">
        <v>17</v>
      </c>
      <c r="B35" s="7">
        <f>B30*T_star+C30</f>
        <v>-8.7143469687504319E-3</v>
      </c>
      <c r="C35" s="4"/>
      <c r="D35" s="4"/>
      <c r="E35" s="107"/>
      <c r="F35" s="2" t="s">
        <v>17</v>
      </c>
      <c r="G35" s="1">
        <f>G30*T_star+H30</f>
        <v>-4.5992593139973503E-3</v>
      </c>
      <c r="K35" s="110" t="s">
        <v>17</v>
      </c>
      <c r="L35" s="7">
        <f>L30*T_star+M30</f>
        <v>-2.5245612415431959E-3</v>
      </c>
      <c r="M35" s="4"/>
      <c r="N35" s="4"/>
      <c r="O35" s="107"/>
    </row>
    <row r="36" spans="1:15" x14ac:dyDescent="0.2">
      <c r="A36" s="110" t="s">
        <v>16</v>
      </c>
      <c r="B36" s="7">
        <f>B31*T_star+C31</f>
        <v>0.83374626184488698</v>
      </c>
      <c r="C36" s="4"/>
      <c r="D36" s="4"/>
      <c r="E36" s="107"/>
      <c r="F36" s="2" t="s">
        <v>16</v>
      </c>
      <c r="G36" s="1">
        <f>G31*T_star+H31</f>
        <v>0.49966272248010823</v>
      </c>
      <c r="K36" s="110" t="s">
        <v>16</v>
      </c>
      <c r="L36" s="7">
        <f>L31*T_star+M31</f>
        <v>0.26420869811271719</v>
      </c>
      <c r="M36" s="4"/>
      <c r="N36" s="4"/>
      <c r="O36" s="107"/>
    </row>
    <row r="37" spans="1:15" x14ac:dyDescent="0.2">
      <c r="A37" s="110" t="s">
        <v>15</v>
      </c>
      <c r="B37" s="7">
        <f>B32*T_star+C32</f>
        <v>0.70790460302424774</v>
      </c>
      <c r="C37" s="4"/>
      <c r="D37" s="4"/>
      <c r="E37" s="107"/>
      <c r="F37" s="2" t="s">
        <v>15</v>
      </c>
      <c r="G37" s="1">
        <f>G32*T_star+H32</f>
        <v>0.87747780215653504</v>
      </c>
      <c r="K37" s="110" t="s">
        <v>15</v>
      </c>
      <c r="L37" s="7">
        <f>L32*T_star+M32</f>
        <v>1.0581105959778996</v>
      </c>
      <c r="M37" s="4"/>
      <c r="N37" s="4"/>
      <c r="O37" s="107"/>
    </row>
    <row r="38" spans="1:15" x14ac:dyDescent="0.2">
      <c r="A38" s="106"/>
      <c r="B38" s="4"/>
      <c r="C38" s="4"/>
      <c r="D38" s="4"/>
      <c r="E38" s="107"/>
      <c r="K38" s="106"/>
      <c r="L38" s="4"/>
      <c r="M38" s="4"/>
      <c r="N38" s="4"/>
      <c r="O38" s="107"/>
    </row>
    <row r="39" spans="1:15" ht="17" thickBot="1" x14ac:dyDescent="0.25">
      <c r="A39" s="106"/>
      <c r="B39" s="4"/>
      <c r="C39" s="4"/>
      <c r="D39" s="4"/>
      <c r="E39" s="107"/>
      <c r="K39" s="106"/>
      <c r="L39" s="4"/>
      <c r="M39" s="4"/>
      <c r="N39" s="4"/>
      <c r="O39" s="107"/>
    </row>
    <row r="40" spans="1:15" ht="17" thickBot="1" x14ac:dyDescent="0.25">
      <c r="A40" s="203" t="s">
        <v>18</v>
      </c>
      <c r="B40" s="204"/>
      <c r="C40" s="204"/>
      <c r="D40" s="204"/>
      <c r="E40" s="205"/>
      <c r="F40" s="204" t="s">
        <v>18</v>
      </c>
      <c r="G40" s="204"/>
      <c r="H40" s="204"/>
      <c r="I40" s="204"/>
      <c r="J40" s="205"/>
      <c r="K40" s="203" t="s">
        <v>18</v>
      </c>
      <c r="L40" s="204"/>
      <c r="M40" s="204"/>
      <c r="N40" s="204"/>
      <c r="O40" s="205"/>
    </row>
    <row r="41" spans="1:15" x14ac:dyDescent="0.2">
      <c r="A41" s="106"/>
      <c r="B41" s="4"/>
      <c r="C41" s="4"/>
      <c r="D41" s="4"/>
      <c r="E41" s="107"/>
      <c r="K41" s="106"/>
      <c r="L41" s="4"/>
      <c r="M41" s="4"/>
      <c r="N41" s="4"/>
      <c r="O41" s="107"/>
    </row>
    <row r="42" spans="1:15" x14ac:dyDescent="0.2">
      <c r="A42" s="106"/>
      <c r="B42" s="102" t="s">
        <v>9</v>
      </c>
      <c r="C42" s="103" t="s">
        <v>10</v>
      </c>
      <c r="D42" s="103" t="s">
        <v>11</v>
      </c>
      <c r="E42" s="112" t="s">
        <v>80</v>
      </c>
      <c r="G42" s="102" t="s">
        <v>9</v>
      </c>
      <c r="H42" s="103" t="s">
        <v>10</v>
      </c>
      <c r="I42" s="103" t="s">
        <v>11</v>
      </c>
      <c r="J42" s="104" t="s">
        <v>80</v>
      </c>
      <c r="K42" s="106"/>
      <c r="L42" s="102" t="s">
        <v>9</v>
      </c>
      <c r="M42" s="103" t="s">
        <v>10</v>
      </c>
      <c r="N42" s="103" t="s">
        <v>11</v>
      </c>
      <c r="O42" s="112" t="s">
        <v>80</v>
      </c>
    </row>
    <row r="43" spans="1:15" x14ac:dyDescent="0.2">
      <c r="A43" s="106"/>
      <c r="B43" s="93">
        <v>-5.0750000000000002</v>
      </c>
      <c r="C43" s="94">
        <v>7.1120000000000001</v>
      </c>
      <c r="D43" s="94">
        <v>-1.5720000000000001</v>
      </c>
      <c r="E43" s="113">
        <v>0.10489999999999999</v>
      </c>
      <c r="G43" s="93">
        <v>-2.0990000000000002</v>
      </c>
      <c r="H43" s="94">
        <v>3.1819999999999999</v>
      </c>
      <c r="I43" s="94">
        <v>-0.69889999999999997</v>
      </c>
      <c r="J43" s="95">
        <v>4.8099999999999997E-2</v>
      </c>
      <c r="K43" s="106"/>
      <c r="L43" s="93">
        <v>-0.38200000000000001</v>
      </c>
      <c r="M43" s="94">
        <v>0.63339999999999996</v>
      </c>
      <c r="N43" s="94">
        <v>-5.0999999999999997E-2</v>
      </c>
      <c r="O43" s="113">
        <v>2E-3</v>
      </c>
    </row>
    <row r="44" spans="1:15" x14ac:dyDescent="0.2">
      <c r="A44" s="106"/>
      <c r="B44" s="98">
        <v>16.16</v>
      </c>
      <c r="C44" s="99">
        <v>-26.5</v>
      </c>
      <c r="D44" s="99">
        <v>10.92</v>
      </c>
      <c r="E44" s="114">
        <v>1.0549999999999999</v>
      </c>
      <c r="G44" s="98">
        <v>8.4169999999999998</v>
      </c>
      <c r="H44" s="99">
        <v>-14.51</v>
      </c>
      <c r="I44" s="99">
        <v>6.75</v>
      </c>
      <c r="J44" s="100">
        <v>0.90610000000000002</v>
      </c>
      <c r="K44" s="106"/>
      <c r="L44" s="98">
        <v>-2.7E-2</v>
      </c>
      <c r="M44" s="99">
        <v>-1.8</v>
      </c>
      <c r="N44" s="99">
        <v>2.036</v>
      </c>
      <c r="O44" s="114">
        <v>1.0669999999999999</v>
      </c>
    </row>
    <row r="45" spans="1:15" x14ac:dyDescent="0.2">
      <c r="A45" s="106"/>
      <c r="B45" s="4"/>
      <c r="C45" s="4"/>
      <c r="D45" s="4"/>
      <c r="E45" s="107"/>
      <c r="K45" s="106"/>
      <c r="L45" s="4"/>
      <c r="M45" s="4"/>
      <c r="N45" s="4"/>
      <c r="O45" s="107"/>
    </row>
    <row r="46" spans="1:15" x14ac:dyDescent="0.2">
      <c r="A46" s="110" t="s">
        <v>20</v>
      </c>
      <c r="B46" s="4">
        <f>B43*T_star^3+C43*T_star^2+D43*T_star+E43</f>
        <v>0.55886538819341069</v>
      </c>
      <c r="C46" s="4"/>
      <c r="D46" s="4"/>
      <c r="E46" s="107"/>
      <c r="F46" s="2" t="s">
        <v>20</v>
      </c>
      <c r="G46">
        <f>G43*T_star^3+H43*T_star^2+I43*T_star+J43</f>
        <v>0.28334487155770927</v>
      </c>
      <c r="K46" s="110" t="s">
        <v>20</v>
      </c>
      <c r="L46" s="4">
        <f>L43*T_star^3+M43*T_star^2+N43*T_star+O43</f>
        <v>0.1041069804246148</v>
      </c>
      <c r="M46" s="4"/>
      <c r="N46" s="4"/>
      <c r="O46" s="107"/>
    </row>
    <row r="47" spans="1:15" x14ac:dyDescent="0.2">
      <c r="A47" s="110" t="s">
        <v>21</v>
      </c>
      <c r="B47" s="4">
        <f>B44*T_star^3+C44*T_star^2+D44*T_star+E44</f>
        <v>1.7082492184916129</v>
      </c>
      <c r="C47" s="4"/>
      <c r="D47" s="4"/>
      <c r="E47" s="107"/>
      <c r="F47" s="2" t="s">
        <v>21</v>
      </c>
      <c r="G47">
        <f>G44*T_star^3+H44*T_star^2+I44*T_star+J44</f>
        <v>1.618587552878628</v>
      </c>
      <c r="K47" s="110" t="s">
        <v>21</v>
      </c>
      <c r="L47" s="4">
        <f>L44*T_star^3+M44*T_star^2+N44*T_star+O44</f>
        <v>1.6379382484118619</v>
      </c>
      <c r="M47" s="4"/>
      <c r="N47" s="4"/>
      <c r="O47" s="107"/>
    </row>
    <row r="48" spans="1:15" x14ac:dyDescent="0.2">
      <c r="A48" s="106"/>
      <c r="B48" s="4"/>
      <c r="C48" s="4"/>
      <c r="D48" s="4"/>
      <c r="E48" s="107"/>
      <c r="K48" s="106"/>
      <c r="L48" s="4"/>
      <c r="M48" s="4"/>
      <c r="N48" s="4"/>
      <c r="O48" s="107"/>
    </row>
    <row r="49" spans="1:15" ht="17" thickBot="1" x14ac:dyDescent="0.25">
      <c r="A49" s="106"/>
      <c r="B49" s="4"/>
      <c r="C49" s="4"/>
      <c r="D49" s="4"/>
      <c r="E49" s="107"/>
      <c r="K49" s="106"/>
      <c r="L49" s="4"/>
      <c r="M49" s="4"/>
      <c r="N49" s="4"/>
      <c r="O49" s="107"/>
    </row>
    <row r="50" spans="1:15" ht="17" thickBot="1" x14ac:dyDescent="0.25">
      <c r="A50" s="203" t="s">
        <v>22</v>
      </c>
      <c r="B50" s="204"/>
      <c r="C50" s="204"/>
      <c r="D50" s="204"/>
      <c r="E50" s="205"/>
      <c r="F50" s="203" t="s">
        <v>22</v>
      </c>
      <c r="G50" s="204"/>
      <c r="H50" s="204"/>
      <c r="I50" s="204"/>
      <c r="J50" s="205"/>
      <c r="K50" s="203" t="s">
        <v>22</v>
      </c>
      <c r="L50" s="204"/>
      <c r="M50" s="204"/>
      <c r="N50" s="204"/>
      <c r="O50" s="205"/>
    </row>
    <row r="51" spans="1:15" x14ac:dyDescent="0.2">
      <c r="A51" s="106"/>
      <c r="B51" s="4"/>
      <c r="C51" s="4"/>
      <c r="D51" s="4"/>
      <c r="E51" s="107"/>
      <c r="F51" s="106"/>
      <c r="G51" s="4"/>
      <c r="H51" s="4"/>
      <c r="I51" s="4"/>
      <c r="J51" s="107"/>
      <c r="K51" s="106"/>
      <c r="L51" s="4"/>
      <c r="M51" s="4"/>
      <c r="N51" s="4"/>
      <c r="O51" s="107"/>
    </row>
    <row r="52" spans="1:15" x14ac:dyDescent="0.2">
      <c r="A52" s="106"/>
      <c r="B52" s="102" t="s">
        <v>9</v>
      </c>
      <c r="C52" s="103" t="s">
        <v>10</v>
      </c>
      <c r="D52" s="103" t="s">
        <v>11</v>
      </c>
      <c r="E52" s="112" t="s">
        <v>80</v>
      </c>
      <c r="F52" s="106"/>
      <c r="G52" s="102" t="s">
        <v>9</v>
      </c>
      <c r="H52" s="103" t="s">
        <v>10</v>
      </c>
      <c r="I52" s="103" t="s">
        <v>11</v>
      </c>
      <c r="J52" s="112" t="s">
        <v>80</v>
      </c>
      <c r="K52" s="106"/>
      <c r="L52" s="102" t="s">
        <v>9</v>
      </c>
      <c r="M52" s="103" t="s">
        <v>10</v>
      </c>
      <c r="N52" s="103" t="s">
        <v>11</v>
      </c>
      <c r="O52" s="112" t="s">
        <v>80</v>
      </c>
    </row>
    <row r="53" spans="1:15" x14ac:dyDescent="0.2">
      <c r="A53" s="106"/>
      <c r="B53" s="93">
        <v>-1.5640000000000001</v>
      </c>
      <c r="C53" s="94">
        <v>2.1930000000000001</v>
      </c>
      <c r="D53" s="94">
        <v>-0.35199999999999998</v>
      </c>
      <c r="E53" s="113">
        <v>1.49E-2</v>
      </c>
      <c r="F53" s="106"/>
      <c r="G53" s="93">
        <v>-0.59540000000000004</v>
      </c>
      <c r="H53" s="94">
        <v>0.81699999999999995</v>
      </c>
      <c r="I53" s="94">
        <v>-9.1910000000000006E-2</v>
      </c>
      <c r="J53" s="113">
        <v>1.8190000000000001E-3</v>
      </c>
      <c r="K53" s="106"/>
      <c r="L53" s="93">
        <v>-6.6930000000000003E-2</v>
      </c>
      <c r="M53" s="94">
        <v>0.14180000000000001</v>
      </c>
      <c r="N53" s="94">
        <v>1.24E-2</v>
      </c>
      <c r="O53" s="113">
        <v>-2.0119999999999999E-3</v>
      </c>
    </row>
    <row r="54" spans="1:15" x14ac:dyDescent="0.2">
      <c r="A54" s="106"/>
      <c r="B54" s="98">
        <v>1.756</v>
      </c>
      <c r="C54" s="99">
        <v>-8.7189999999999994</v>
      </c>
      <c r="D54" s="99">
        <v>8.2850000000000001</v>
      </c>
      <c r="E54" s="114">
        <v>1.198</v>
      </c>
      <c r="F54" s="106"/>
      <c r="G54" s="98">
        <v>0.73150000000000004</v>
      </c>
      <c r="H54" s="99">
        <v>-3.7029999999999998</v>
      </c>
      <c r="I54" s="99">
        <v>4.391</v>
      </c>
      <c r="J54" s="114">
        <v>1.1160000000000001</v>
      </c>
      <c r="K54" s="106"/>
      <c r="L54" s="98">
        <v>-0.40799999999999997</v>
      </c>
      <c r="M54" s="99">
        <v>-1.333</v>
      </c>
      <c r="N54" s="99">
        <v>2.5209999999999999</v>
      </c>
      <c r="O54" s="114">
        <v>1.0580000000000001</v>
      </c>
    </row>
    <row r="55" spans="1:15" x14ac:dyDescent="0.2">
      <c r="A55" s="106"/>
      <c r="B55" s="4"/>
      <c r="C55" s="4"/>
      <c r="D55" s="4"/>
      <c r="E55" s="107"/>
      <c r="F55" s="106"/>
      <c r="G55" s="4"/>
      <c r="H55" s="4"/>
      <c r="I55" s="4"/>
      <c r="J55" s="107"/>
      <c r="K55" s="106"/>
      <c r="L55" s="4"/>
      <c r="M55" s="4"/>
      <c r="N55" s="4"/>
      <c r="O55" s="107"/>
    </row>
    <row r="56" spans="1:15" x14ac:dyDescent="0.2">
      <c r="A56" s="110" t="s">
        <v>23</v>
      </c>
      <c r="B56" s="4">
        <f>B53*T_star^3+C53*T_star^2+D53*T_star+E53</f>
        <v>0.22897151743216698</v>
      </c>
      <c r="C56" s="4"/>
      <c r="D56" s="4"/>
      <c r="E56" s="107"/>
      <c r="F56" s="110" t="s">
        <v>23</v>
      </c>
      <c r="G56" s="4">
        <f>G53*T_star^3+H53*T_star^2+I53*T_star+J53</f>
        <v>0.10122167415385139</v>
      </c>
      <c r="H56" s="4"/>
      <c r="I56" s="4"/>
      <c r="J56" s="107"/>
      <c r="K56" s="110" t="s">
        <v>23</v>
      </c>
      <c r="L56" s="4">
        <f>L53*T_star^3+M53*T_star^2+N53*T_star+O53</f>
        <v>3.7327509607960593E-2</v>
      </c>
      <c r="M56" s="4"/>
      <c r="N56" s="4"/>
      <c r="O56" s="107"/>
    </row>
    <row r="57" spans="1:15" ht="17" thickBot="1" x14ac:dyDescent="0.25">
      <c r="A57" s="115" t="s">
        <v>24</v>
      </c>
      <c r="B57" s="116">
        <f>B54*T_star^3+C54*T_star^2+D54*T_star+E54</f>
        <v>3.4111465000394179</v>
      </c>
      <c r="C57" s="116"/>
      <c r="D57" s="116"/>
      <c r="E57" s="117"/>
      <c r="F57" s="115" t="s">
        <v>24</v>
      </c>
      <c r="G57" s="116">
        <f>G54*T_star^3+H54*T_star^2+I54*T_star+J54</f>
        <v>2.5393925731781488</v>
      </c>
      <c r="H57" s="116"/>
      <c r="I57" s="116"/>
      <c r="J57" s="117"/>
      <c r="K57" s="115" t="s">
        <v>24</v>
      </c>
      <c r="L57" s="116">
        <f>L54*T_star^3+M54*T_star^2+N54*T_star+O54</f>
        <v>1.9781624536433007</v>
      </c>
      <c r="M57" s="116"/>
      <c r="N57" s="116"/>
      <c r="O57" s="117"/>
    </row>
  </sheetData>
  <sheetProtection password="C62A" sheet="1" objects="1" scenarios="1"/>
  <mergeCells count="15">
    <mergeCell ref="K1:O1"/>
    <mergeCell ref="K2:O2"/>
    <mergeCell ref="K27:O27"/>
    <mergeCell ref="K40:O40"/>
    <mergeCell ref="K50:O50"/>
    <mergeCell ref="A1:E1"/>
    <mergeCell ref="F1:J1"/>
    <mergeCell ref="F2:J2"/>
    <mergeCell ref="F27:J27"/>
    <mergeCell ref="F40:J40"/>
    <mergeCell ref="F50:J50"/>
    <mergeCell ref="A2:E2"/>
    <mergeCell ref="A27:E27"/>
    <mergeCell ref="A40:E40"/>
    <mergeCell ref="A50:E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6"/>
  <sheetViews>
    <sheetView workbookViewId="0">
      <selection activeCell="J15" sqref="J15"/>
    </sheetView>
  </sheetViews>
  <sheetFormatPr baseColWidth="10" defaultRowHeight="16" x14ac:dyDescent="0.2"/>
  <cols>
    <col min="5" max="6" width="12.1640625" customWidth="1"/>
  </cols>
  <sheetData>
    <row r="1" spans="1:26" x14ac:dyDescent="0.2">
      <c r="K1" s="202" t="s">
        <v>98</v>
      </c>
      <c r="L1" s="202"/>
      <c r="M1" s="202"/>
      <c r="O1" s="202" t="s">
        <v>88</v>
      </c>
      <c r="P1" s="202"/>
      <c r="Q1" s="202"/>
      <c r="T1" s="202" t="s">
        <v>89</v>
      </c>
      <c r="U1" s="202"/>
      <c r="V1" s="202"/>
    </row>
    <row r="2" spans="1:26" x14ac:dyDescent="0.2">
      <c r="G2" s="125" t="s">
        <v>85</v>
      </c>
      <c r="H2" s="126" t="s">
        <v>86</v>
      </c>
      <c r="I2" s="127" t="s">
        <v>87</v>
      </c>
      <c r="J2" s="150"/>
      <c r="K2" s="125" t="s">
        <v>85</v>
      </c>
      <c r="L2" s="126" t="s">
        <v>86</v>
      </c>
      <c r="M2" s="127" t="s">
        <v>87</v>
      </c>
      <c r="O2" s="125" t="s">
        <v>85</v>
      </c>
      <c r="P2" s="126" t="s">
        <v>86</v>
      </c>
      <c r="Q2" s="127" t="s">
        <v>87</v>
      </c>
      <c r="T2" s="125" t="s">
        <v>85</v>
      </c>
      <c r="U2" s="126" t="s">
        <v>86</v>
      </c>
      <c r="V2" s="127" t="s">
        <v>87</v>
      </c>
    </row>
    <row r="3" spans="1:26" ht="18" x14ac:dyDescent="0.25">
      <c r="A3" s="209" t="s">
        <v>84</v>
      </c>
      <c r="B3" s="210"/>
      <c r="C3" s="210"/>
      <c r="D3" s="211"/>
      <c r="F3" s="90" t="s">
        <v>27</v>
      </c>
      <c r="G3" s="212" t="s">
        <v>25</v>
      </c>
      <c r="H3" s="213"/>
      <c r="I3" s="214"/>
      <c r="J3" s="151"/>
      <c r="K3" s="212" t="s">
        <v>25</v>
      </c>
      <c r="L3" s="213"/>
      <c r="M3" s="214"/>
      <c r="O3" s="212" t="s">
        <v>25</v>
      </c>
      <c r="P3" s="213"/>
      <c r="Q3" s="214"/>
      <c r="S3" s="132" t="s">
        <v>91</v>
      </c>
      <c r="T3" s="212" t="s">
        <v>93</v>
      </c>
      <c r="U3" s="213"/>
      <c r="V3" s="214"/>
    </row>
    <row r="4" spans="1:26" x14ac:dyDescent="0.2">
      <c r="A4" s="61"/>
      <c r="B4" s="140"/>
      <c r="C4" s="140"/>
      <c r="D4" s="64"/>
      <c r="E4" s="218" t="s">
        <v>26</v>
      </c>
      <c r="F4" s="93">
        <v>0</v>
      </c>
      <c r="G4" s="93">
        <v>0</v>
      </c>
      <c r="H4" s="94">
        <v>0</v>
      </c>
      <c r="I4" s="95">
        <v>0</v>
      </c>
      <c r="J4" s="7"/>
      <c r="K4" s="93">
        <v>0</v>
      </c>
      <c r="L4" s="94">
        <v>0</v>
      </c>
      <c r="M4" s="95">
        <v>0</v>
      </c>
      <c r="O4" s="93">
        <v>0</v>
      </c>
      <c r="P4" s="94">
        <v>0</v>
      </c>
      <c r="Q4" s="95">
        <v>0</v>
      </c>
      <c r="S4" s="142">
        <f t="shared" ref="S4:S46" si="0">F4*Gamma*Delta_ystar</f>
        <v>0</v>
      </c>
      <c r="T4" s="128">
        <f t="shared" ref="T4:V5" si="1">G4*Gamma*Sa_y</f>
        <v>0</v>
      </c>
      <c r="U4" s="120">
        <f t="shared" si="1"/>
        <v>0</v>
      </c>
      <c r="V4" s="121">
        <f t="shared" si="1"/>
        <v>0</v>
      </c>
    </row>
    <row r="5" spans="1:26" x14ac:dyDescent="0.2">
      <c r="A5" s="70"/>
      <c r="B5" s="138"/>
      <c r="C5" s="138"/>
      <c r="D5" s="73"/>
      <c r="E5" s="219"/>
      <c r="F5" s="98">
        <v>1</v>
      </c>
      <c r="G5" s="98">
        <v>1</v>
      </c>
      <c r="H5" s="99">
        <v>1</v>
      </c>
      <c r="I5" s="100">
        <v>1</v>
      </c>
      <c r="J5" s="7"/>
      <c r="K5" s="98">
        <v>1</v>
      </c>
      <c r="L5" s="141">
        <v>1</v>
      </c>
      <c r="M5" s="100">
        <v>1</v>
      </c>
      <c r="O5" s="96">
        <v>1</v>
      </c>
      <c r="P5" s="7">
        <v>1</v>
      </c>
      <c r="Q5" s="97">
        <v>1</v>
      </c>
      <c r="S5" s="143">
        <f t="shared" si="0"/>
        <v>0.03</v>
      </c>
      <c r="T5" s="129">
        <f t="shared" si="1"/>
        <v>0.54698832079203341</v>
      </c>
      <c r="U5" s="10">
        <f t="shared" si="1"/>
        <v>0.54698832079203341</v>
      </c>
      <c r="V5" s="122">
        <f t="shared" si="1"/>
        <v>0.54698832079203341</v>
      </c>
    </row>
    <row r="6" spans="1:26" x14ac:dyDescent="0.2">
      <c r="A6" s="61"/>
      <c r="B6" s="134" t="s">
        <v>85</v>
      </c>
      <c r="C6" s="134" t="s">
        <v>86</v>
      </c>
      <c r="D6" s="135" t="s">
        <v>87</v>
      </c>
      <c r="E6" s="218" t="s">
        <v>3</v>
      </c>
      <c r="F6" s="128">
        <v>1</v>
      </c>
      <c r="G6" s="129">
        <f>B$7*POWER($F6,B$8)</f>
        <v>1.2392685472934379</v>
      </c>
      <c r="H6" s="10">
        <f t="shared" ref="H6:I6" si="2">C$7*POWER($F6,C$8)</f>
        <v>1.0207572822611883</v>
      </c>
      <c r="I6" s="122">
        <f t="shared" si="2"/>
        <v>0.93643196223892822</v>
      </c>
      <c r="J6" s="10"/>
      <c r="K6" s="128">
        <f>G6</f>
        <v>1.2392685472934379</v>
      </c>
      <c r="L6" s="120">
        <f t="shared" ref="L6:M6" si="3">H6</f>
        <v>1.0207572822611883</v>
      </c>
      <c r="M6" s="121">
        <f t="shared" si="3"/>
        <v>0.93643196223892822</v>
      </c>
      <c r="O6" s="128">
        <f>K6-(K$6-O$5)</f>
        <v>1</v>
      </c>
      <c r="P6" s="120">
        <f>L6-(L$6-P$5)</f>
        <v>1</v>
      </c>
      <c r="Q6" s="121">
        <f>M6-(M$6-Q$5)</f>
        <v>1</v>
      </c>
      <c r="R6" s="25"/>
      <c r="S6" s="142">
        <f t="shared" si="0"/>
        <v>0.03</v>
      </c>
      <c r="T6" s="128">
        <f t="shared" ref="T6:T46" si="4">O6*Gamma*Sa_y</f>
        <v>0.54698832079203341</v>
      </c>
      <c r="U6" s="120">
        <f t="shared" ref="U6:U46" si="5">P6*Gamma*Sa_y</f>
        <v>0.54698832079203341</v>
      </c>
      <c r="V6" s="121">
        <f t="shared" ref="V6:V46" si="6">Q6*Gamma*Sa_y</f>
        <v>0.54698832079203341</v>
      </c>
      <c r="X6" s="25"/>
      <c r="Y6" s="25"/>
      <c r="Z6" s="25"/>
    </row>
    <row r="7" spans="1:26" x14ac:dyDescent="0.2">
      <c r="A7" s="65" t="s">
        <v>8</v>
      </c>
      <c r="B7" s="136">
        <f>'Coefficients (Sa(T1))'!B13</f>
        <v>1.2392685472934379</v>
      </c>
      <c r="C7" s="136">
        <f>'Coefficients (Sa(T1))'!G13</f>
        <v>1.0207572822611883</v>
      </c>
      <c r="D7" s="137">
        <f>'Coefficients (Sa(T1))'!L13</f>
        <v>0.93643196223892822</v>
      </c>
      <c r="E7" s="220"/>
      <c r="F7" s="129">
        <f t="shared" ref="F7:F14" si="7">F6+($F$15-$F$6)/9</f>
        <v>1.1481481481481481</v>
      </c>
      <c r="G7" s="129">
        <f t="shared" ref="G7:G15" si="8">B$7*POWER($F7,B$8)</f>
        <v>1.4149732482669406</v>
      </c>
      <c r="H7" s="10">
        <f t="shared" ref="H7:H15" si="9">C$7*POWER($F7,C$8)</f>
        <v>1.1409923647097764</v>
      </c>
      <c r="I7" s="122">
        <f t="shared" ref="I7:I15" si="10">D$7*POWER($F7,D$8)</f>
        <v>1.028905178384157</v>
      </c>
      <c r="J7" s="10"/>
      <c r="K7" s="129">
        <f>IF(G7&lt;K6,K6,G7)</f>
        <v>1.4149732482669406</v>
      </c>
      <c r="L7" s="10">
        <f t="shared" ref="L7:M21" si="11">IF(H7&lt;L6,L6,H7)</f>
        <v>1.1409923647097764</v>
      </c>
      <c r="M7" s="122">
        <f t="shared" si="11"/>
        <v>1.028905178384157</v>
      </c>
      <c r="O7" s="129">
        <f>K7-(K$6-O$5)</f>
        <v>1.1757047009735027</v>
      </c>
      <c r="P7" s="10">
        <f t="shared" ref="P7:Q7" si="12">L7-(L$6-P$5)</f>
        <v>1.120235082448588</v>
      </c>
      <c r="Q7" s="122">
        <f t="shared" si="12"/>
        <v>1.0924732161452289</v>
      </c>
      <c r="R7" s="25"/>
      <c r="S7" s="144">
        <f t="shared" si="0"/>
        <v>3.4444444444444444E-2</v>
      </c>
      <c r="T7" s="129">
        <f t="shared" si="4"/>
        <v>0.64309674013279605</v>
      </c>
      <c r="U7" s="10">
        <f t="shared" si="5"/>
        <v>0.6127555066408783</v>
      </c>
      <c r="V7" s="122">
        <f t="shared" si="6"/>
        <v>0.59757009000955097</v>
      </c>
      <c r="X7" s="25"/>
      <c r="Y7" s="25"/>
      <c r="Z7" s="25"/>
    </row>
    <row r="8" spans="1:26" x14ac:dyDescent="0.2">
      <c r="A8" s="65" t="s">
        <v>13</v>
      </c>
      <c r="B8" s="136">
        <f>'Coefficients (Sa(T1))'!B24</f>
        <v>0.95974647765972809</v>
      </c>
      <c r="C8" s="136">
        <f>'Coefficients (Sa(T1))'!G24</f>
        <v>0.80603200043456924</v>
      </c>
      <c r="D8" s="137">
        <f>'Coefficients (Sa(T1))'!L24</f>
        <v>0.68167559485195051</v>
      </c>
      <c r="E8" s="220"/>
      <c r="F8" s="129">
        <f t="shared" si="7"/>
        <v>1.2962962962962963</v>
      </c>
      <c r="G8" s="129">
        <f t="shared" si="8"/>
        <v>1.5897651169542257</v>
      </c>
      <c r="H8" s="10">
        <f t="shared" si="9"/>
        <v>1.2582465357603883</v>
      </c>
      <c r="I8" s="122">
        <f t="shared" si="10"/>
        <v>1.1176452734947331</v>
      </c>
      <c r="J8" s="10"/>
      <c r="K8" s="129">
        <f t="shared" ref="K8:K15" si="13">IF(G8&lt;K7,K7,G8)</f>
        <v>1.5897651169542257</v>
      </c>
      <c r="L8" s="10">
        <f t="shared" ref="L8:L15" si="14">IF(H8&lt;L7,L7,H8)</f>
        <v>1.2582465357603883</v>
      </c>
      <c r="M8" s="122">
        <f t="shared" ref="M8:M15" si="15">IF(I8&lt;M7,M7,I8)</f>
        <v>1.1176452734947331</v>
      </c>
      <c r="O8" s="129">
        <f>K8-(K$6-O$5)</f>
        <v>1.3504965696607878</v>
      </c>
      <c r="P8" s="10">
        <f t="shared" ref="P8:P15" si="16">L8-(L$6-P$5)</f>
        <v>1.2374892534991999</v>
      </c>
      <c r="Q8" s="122">
        <f t="shared" ref="Q8:Q15" si="17">M8-(M$6-Q$5)</f>
        <v>1.1812133112558048</v>
      </c>
      <c r="R8" s="25"/>
      <c r="S8" s="144">
        <f t="shared" si="0"/>
        <v>3.888888888888889E-2</v>
      </c>
      <c r="T8" s="129">
        <f t="shared" si="4"/>
        <v>0.73870585087415574</v>
      </c>
      <c r="U8" s="10">
        <f t="shared" si="5"/>
        <v>0.67689216876971436</v>
      </c>
      <c r="V8" s="122">
        <f t="shared" si="6"/>
        <v>0.64610988562101024</v>
      </c>
      <c r="X8" s="25"/>
      <c r="Y8" s="25"/>
      <c r="Z8" s="25"/>
    </row>
    <row r="9" spans="1:26" x14ac:dyDescent="0.2">
      <c r="A9" s="69"/>
      <c r="B9" s="4"/>
      <c r="C9" s="4"/>
      <c r="D9" s="68"/>
      <c r="E9" s="220"/>
      <c r="F9" s="129">
        <f t="shared" si="7"/>
        <v>1.4444444444444444</v>
      </c>
      <c r="G9" s="129">
        <f t="shared" si="8"/>
        <v>1.7637529324875973</v>
      </c>
      <c r="H9" s="10">
        <f t="shared" si="9"/>
        <v>1.372923936212801</v>
      </c>
      <c r="I9" s="122">
        <f t="shared" si="10"/>
        <v>1.2032071267873765</v>
      </c>
      <c r="J9" s="10"/>
      <c r="K9" s="129">
        <f t="shared" si="13"/>
        <v>1.7637529324875973</v>
      </c>
      <c r="L9" s="10">
        <f t="shared" si="14"/>
        <v>1.372923936212801</v>
      </c>
      <c r="M9" s="122">
        <f t="shared" si="15"/>
        <v>1.2032071267873765</v>
      </c>
      <c r="O9" s="129">
        <f t="shared" ref="O9:O15" si="18">K9-(K$6-O$5)</f>
        <v>1.5244843851941594</v>
      </c>
      <c r="P9" s="10">
        <f t="shared" si="16"/>
        <v>1.3521666539516126</v>
      </c>
      <c r="Q9" s="122">
        <f t="shared" si="17"/>
        <v>1.2667751645484482</v>
      </c>
      <c r="R9" s="25"/>
      <c r="S9" s="144">
        <f t="shared" si="0"/>
        <v>4.3333333333333328E-2</v>
      </c>
      <c r="T9" s="129">
        <f t="shared" si="4"/>
        <v>0.83387515393102862</v>
      </c>
      <c r="U9" s="10">
        <f t="shared" si="5"/>
        <v>0.73961936747597512</v>
      </c>
      <c r="V9" s="122">
        <f t="shared" si="6"/>
        <v>0.69291122007740746</v>
      </c>
      <c r="X9" s="25"/>
      <c r="Y9" s="25"/>
      <c r="Z9" s="25"/>
    </row>
    <row r="10" spans="1:26" x14ac:dyDescent="0.2">
      <c r="A10" s="69"/>
      <c r="B10" s="4"/>
      <c r="C10" s="4"/>
      <c r="D10" s="68"/>
      <c r="E10" s="220"/>
      <c r="F10" s="129">
        <f t="shared" si="7"/>
        <v>1.5925925925925926</v>
      </c>
      <c r="G10" s="129">
        <f t="shared" si="8"/>
        <v>1.9370226236146926</v>
      </c>
      <c r="H10" s="10">
        <f t="shared" si="9"/>
        <v>1.4853381495893876</v>
      </c>
      <c r="I10" s="122">
        <f t="shared" si="10"/>
        <v>1.2860150892347262</v>
      </c>
      <c r="J10" s="10"/>
      <c r="K10" s="129">
        <f t="shared" si="13"/>
        <v>1.9370226236146926</v>
      </c>
      <c r="L10" s="10">
        <f t="shared" si="14"/>
        <v>1.4853381495893876</v>
      </c>
      <c r="M10" s="122">
        <f t="shared" si="15"/>
        <v>1.2860150892347262</v>
      </c>
      <c r="O10" s="129">
        <f t="shared" si="18"/>
        <v>1.6977540763212546</v>
      </c>
      <c r="P10" s="10">
        <f t="shared" si="16"/>
        <v>1.4645808673281993</v>
      </c>
      <c r="Q10" s="122">
        <f t="shared" si="17"/>
        <v>1.3495831269957979</v>
      </c>
      <c r="R10" s="25"/>
      <c r="S10" s="144">
        <f t="shared" si="0"/>
        <v>4.7777777777777773E-2</v>
      </c>
      <c r="T10" s="129">
        <f t="shared" si="4"/>
        <v>0.92865165132479288</v>
      </c>
      <c r="U10" s="10">
        <f t="shared" si="5"/>
        <v>0.80110862928399162</v>
      </c>
      <c r="V10" s="122">
        <f t="shared" si="6"/>
        <v>0.73820620840469309</v>
      </c>
      <c r="X10" s="25"/>
      <c r="Y10" s="25"/>
      <c r="Z10" s="25"/>
    </row>
    <row r="11" spans="1:26" x14ac:dyDescent="0.2">
      <c r="A11" s="69"/>
      <c r="B11" s="4"/>
      <c r="C11" s="4"/>
      <c r="D11" s="68"/>
      <c r="E11" s="220"/>
      <c r="F11" s="129">
        <f t="shared" si="7"/>
        <v>1.7407407407407407</v>
      </c>
      <c r="G11" s="129">
        <f t="shared" si="8"/>
        <v>2.1096437628806819</v>
      </c>
      <c r="H11" s="10">
        <f t="shared" si="9"/>
        <v>1.5957390395127808</v>
      </c>
      <c r="I11" s="122">
        <f t="shared" si="10"/>
        <v>1.3664029317500568</v>
      </c>
      <c r="J11" s="10"/>
      <c r="K11" s="129">
        <f t="shared" si="13"/>
        <v>2.1096437628806819</v>
      </c>
      <c r="L11" s="10">
        <f t="shared" si="14"/>
        <v>1.5957390395127808</v>
      </c>
      <c r="M11" s="122">
        <f t="shared" si="15"/>
        <v>1.3664029317500568</v>
      </c>
      <c r="O11" s="129">
        <f t="shared" si="18"/>
        <v>1.870375215587244</v>
      </c>
      <c r="P11" s="10">
        <f t="shared" si="16"/>
        <v>1.5749817572515925</v>
      </c>
      <c r="Q11" s="122">
        <f t="shared" si="17"/>
        <v>1.4299709695111287</v>
      </c>
      <c r="R11" s="25"/>
      <c r="S11" s="144">
        <f t="shared" si="0"/>
        <v>5.2222222222222218E-2</v>
      </c>
      <c r="T11" s="129">
        <f t="shared" si="4"/>
        <v>1.0230733984251041</v>
      </c>
      <c r="U11" s="10">
        <f t="shared" si="5"/>
        <v>0.86149662667713456</v>
      </c>
      <c r="V11" s="122">
        <f t="shared" si="6"/>
        <v>0.78217741939424823</v>
      </c>
      <c r="X11" s="25"/>
      <c r="Y11" s="25"/>
      <c r="Z11" s="25"/>
    </row>
    <row r="12" spans="1:26" x14ac:dyDescent="0.2">
      <c r="A12" s="69"/>
      <c r="B12" s="4"/>
      <c r="C12" s="4"/>
      <c r="D12" s="68"/>
      <c r="E12" s="220"/>
      <c r="F12" s="129">
        <f t="shared" si="7"/>
        <v>1.8888888888888888</v>
      </c>
      <c r="G12" s="129">
        <f t="shared" si="8"/>
        <v>2.2816738150755813</v>
      </c>
      <c r="H12" s="10">
        <f t="shared" si="9"/>
        <v>1.7043300199107263</v>
      </c>
      <c r="I12" s="122">
        <f t="shared" si="10"/>
        <v>1.444639211880393</v>
      </c>
      <c r="J12" s="10"/>
      <c r="K12" s="129">
        <f t="shared" si="13"/>
        <v>2.2816738150755813</v>
      </c>
      <c r="L12" s="10">
        <f t="shared" si="14"/>
        <v>1.7043300199107263</v>
      </c>
      <c r="M12" s="122">
        <f t="shared" si="15"/>
        <v>1.444639211880393</v>
      </c>
      <c r="O12" s="129">
        <f t="shared" si="18"/>
        <v>2.0424052677821436</v>
      </c>
      <c r="P12" s="10">
        <f t="shared" si="16"/>
        <v>1.683572737649538</v>
      </c>
      <c r="Q12" s="122">
        <f t="shared" si="17"/>
        <v>1.5082072496414649</v>
      </c>
      <c r="R12" s="25"/>
      <c r="S12" s="144">
        <f t="shared" si="0"/>
        <v>5.6666666666666664E-2</v>
      </c>
      <c r="T12" s="129">
        <f t="shared" si="4"/>
        <v>1.1171718278009581</v>
      </c>
      <c r="U12" s="10">
        <f t="shared" si="5"/>
        <v>0.92089462469816741</v>
      </c>
      <c r="V12" s="122">
        <f t="shared" si="6"/>
        <v>0.82497175088775609</v>
      </c>
      <c r="X12" s="25"/>
      <c r="Y12" s="25"/>
      <c r="Z12" s="25"/>
    </row>
    <row r="13" spans="1:26" x14ac:dyDescent="0.2">
      <c r="A13" s="69"/>
      <c r="B13" s="4"/>
      <c r="C13" s="4"/>
      <c r="D13" s="68"/>
      <c r="E13" s="220"/>
      <c r="F13" s="129">
        <f t="shared" si="7"/>
        <v>2.0370370370370372</v>
      </c>
      <c r="G13" s="129">
        <f t="shared" si="8"/>
        <v>2.4531610332660447</v>
      </c>
      <c r="H13" s="10">
        <f t="shared" si="9"/>
        <v>1.8112796544889633</v>
      </c>
      <c r="I13" s="122">
        <f t="shared" si="10"/>
        <v>1.5209441081161426</v>
      </c>
      <c r="J13" s="10"/>
      <c r="K13" s="129">
        <f t="shared" si="13"/>
        <v>2.4531610332660447</v>
      </c>
      <c r="L13" s="10">
        <f t="shared" si="14"/>
        <v>1.8112796544889633</v>
      </c>
      <c r="M13" s="122">
        <f t="shared" si="15"/>
        <v>1.5209441081161426</v>
      </c>
      <c r="O13" s="129">
        <f t="shared" si="18"/>
        <v>2.2138924859726066</v>
      </c>
      <c r="P13" s="10">
        <f t="shared" si="16"/>
        <v>1.790522372227775</v>
      </c>
      <c r="Q13" s="122">
        <f t="shared" si="17"/>
        <v>1.5845121458772145</v>
      </c>
      <c r="R13" s="25"/>
      <c r="S13" s="144">
        <f t="shared" si="0"/>
        <v>6.1111111111111116E-2</v>
      </c>
      <c r="T13" s="129">
        <f t="shared" si="4"/>
        <v>1.2109733333162565</v>
      </c>
      <c r="U13" s="10">
        <f t="shared" si="5"/>
        <v>0.97939482572543879</v>
      </c>
      <c r="V13" s="122">
        <f t="shared" si="6"/>
        <v>0.86670963794795908</v>
      </c>
      <c r="X13" s="25"/>
      <c r="Y13" s="25"/>
      <c r="Z13" s="25"/>
    </row>
    <row r="14" spans="1:26" x14ac:dyDescent="0.2">
      <c r="A14" s="69"/>
      <c r="B14" s="4"/>
      <c r="C14" s="4"/>
      <c r="D14" s="68"/>
      <c r="E14" s="220"/>
      <c r="F14" s="129">
        <f t="shared" si="7"/>
        <v>2.1851851851851856</v>
      </c>
      <c r="G14" s="129">
        <f t="shared" si="8"/>
        <v>2.6241465006901303</v>
      </c>
      <c r="H14" s="10">
        <f t="shared" si="9"/>
        <v>1.9167297256993359</v>
      </c>
      <c r="I14" s="122">
        <f t="shared" si="10"/>
        <v>1.595501003342211</v>
      </c>
      <c r="J14" s="10"/>
      <c r="K14" s="129">
        <f t="shared" si="13"/>
        <v>2.6241465006901303</v>
      </c>
      <c r="L14" s="10">
        <f t="shared" si="14"/>
        <v>1.9167297256993359</v>
      </c>
      <c r="M14" s="122">
        <f t="shared" si="15"/>
        <v>1.595501003342211</v>
      </c>
      <c r="O14" s="129">
        <f t="shared" si="18"/>
        <v>2.3848779533966926</v>
      </c>
      <c r="P14" s="10">
        <f t="shared" si="16"/>
        <v>1.8959724434381475</v>
      </c>
      <c r="Q14" s="122">
        <f t="shared" si="17"/>
        <v>1.6590690411032827</v>
      </c>
      <c r="R14" s="25"/>
      <c r="S14" s="144">
        <f t="shared" si="0"/>
        <v>6.5555555555555561E-2</v>
      </c>
      <c r="T14" s="129">
        <f t="shared" si="4"/>
        <v>1.3045003870223983</v>
      </c>
      <c r="U14" s="10">
        <f t="shared" si="5"/>
        <v>1.0370747831042009</v>
      </c>
      <c r="V14" s="122">
        <f t="shared" si="6"/>
        <v>0.90749138887113356</v>
      </c>
      <c r="X14" s="25"/>
      <c r="Y14" s="25"/>
      <c r="Z14" s="25"/>
    </row>
    <row r="15" spans="1:26" x14ac:dyDescent="0.2">
      <c r="A15" s="70"/>
      <c r="B15" s="138"/>
      <c r="C15" s="138"/>
      <c r="D15" s="73"/>
      <c r="E15" s="219"/>
      <c r="F15" s="130">
        <f>Input!I6</f>
        <v>2.3333333333333335</v>
      </c>
      <c r="G15" s="130">
        <f t="shared" si="8"/>
        <v>2.7946656116194704</v>
      </c>
      <c r="H15" s="123">
        <f t="shared" si="9"/>
        <v>2.0208010147971862</v>
      </c>
      <c r="I15" s="124">
        <f t="shared" si="10"/>
        <v>1.6684646998244945</v>
      </c>
      <c r="J15" s="10"/>
      <c r="K15" s="130">
        <f t="shared" si="13"/>
        <v>2.7946656116194704</v>
      </c>
      <c r="L15" s="123">
        <f t="shared" si="14"/>
        <v>2.0208010147971862</v>
      </c>
      <c r="M15" s="124">
        <f t="shared" si="15"/>
        <v>1.6684646998244945</v>
      </c>
      <c r="O15" s="130">
        <f t="shared" si="18"/>
        <v>2.5553970643260326</v>
      </c>
      <c r="P15" s="123">
        <f t="shared" si="16"/>
        <v>2.0000437325359979</v>
      </c>
      <c r="Q15" s="124">
        <f t="shared" si="17"/>
        <v>1.7320327375855662</v>
      </c>
      <c r="R15" s="25"/>
      <c r="S15" s="143">
        <f t="shared" si="0"/>
        <v>7.0000000000000007E-2</v>
      </c>
      <c r="T15" s="130">
        <f t="shared" si="4"/>
        <v>1.3977723491725884</v>
      </c>
      <c r="U15" s="123">
        <f t="shared" si="5"/>
        <v>1.0940005627704963</v>
      </c>
      <c r="V15" s="124">
        <f t="shared" si="6"/>
        <v>0.94740167868875758</v>
      </c>
      <c r="X15" s="25"/>
      <c r="Y15" s="25"/>
      <c r="Z15" s="25"/>
    </row>
    <row r="16" spans="1:26" x14ac:dyDescent="0.2">
      <c r="A16" s="61"/>
      <c r="B16" s="134" t="s">
        <v>85</v>
      </c>
      <c r="C16" s="134" t="s">
        <v>86</v>
      </c>
      <c r="D16" s="135" t="s">
        <v>87</v>
      </c>
      <c r="E16" s="218" t="s">
        <v>4</v>
      </c>
      <c r="F16" s="128">
        <f>F15</f>
        <v>2.3333333333333335</v>
      </c>
      <c r="G16" s="128">
        <f>B$17*POWER($F16,2)+B$18*F16+B$19</f>
        <v>2.6058677693880097</v>
      </c>
      <c r="H16" s="120">
        <f t="shared" ref="H16:I16" si="19">C$17*POWER($F16,2)+C$18*G16+C$19</f>
        <v>2.1544923744114626</v>
      </c>
      <c r="I16" s="121">
        <f t="shared" si="19"/>
        <v>1.6136013878887492</v>
      </c>
      <c r="J16" s="10"/>
      <c r="K16" s="128">
        <f>G16</f>
        <v>2.6058677693880097</v>
      </c>
      <c r="L16" s="120">
        <f t="shared" ref="L16:M16" si="20">H16</f>
        <v>2.1544923744114626</v>
      </c>
      <c r="M16" s="121">
        <f t="shared" si="20"/>
        <v>1.6136013878887492</v>
      </c>
      <c r="O16" s="128">
        <f>K16-(K$16-O$15)</f>
        <v>2.5553970643260326</v>
      </c>
      <c r="P16" s="120">
        <f t="shared" ref="P16:Q16" si="21">L16-(L$16-P$15)</f>
        <v>2.0000437325359979</v>
      </c>
      <c r="Q16" s="121">
        <f t="shared" si="21"/>
        <v>1.7320327375855662</v>
      </c>
      <c r="R16" s="25"/>
      <c r="S16" s="142">
        <f t="shared" si="0"/>
        <v>7.0000000000000007E-2</v>
      </c>
      <c r="T16" s="128">
        <f t="shared" si="4"/>
        <v>1.3977723491725884</v>
      </c>
      <c r="U16" s="120">
        <f t="shared" si="5"/>
        <v>1.0940005627704963</v>
      </c>
      <c r="V16" s="121">
        <f t="shared" si="6"/>
        <v>0.94740167868875758</v>
      </c>
      <c r="X16" s="25"/>
      <c r="Y16" s="25"/>
      <c r="Z16" s="25"/>
    </row>
    <row r="17" spans="1:26" x14ac:dyDescent="0.2">
      <c r="A17" s="65" t="s">
        <v>17</v>
      </c>
      <c r="B17" s="4">
        <f>'Coefficients (Sa(T1))'!B35</f>
        <v>-8.7143469687504319E-3</v>
      </c>
      <c r="C17" s="4">
        <f>'Coefficients (Sa(T1))'!G35</f>
        <v>-4.5992593139973503E-3</v>
      </c>
      <c r="D17" s="68">
        <f>'Coefficients (Sa(T1))'!L35</f>
        <v>-2.5245612415431959E-3</v>
      </c>
      <c r="E17" s="220"/>
      <c r="F17" s="129">
        <f t="shared" ref="F17:F24" si="22">F16+($F$25-$F$16)/9</f>
        <v>2.5555555555555558</v>
      </c>
      <c r="G17" s="129">
        <f t="shared" ref="G17:G25" si="23">B$17*POWER($F17,2)+B$18*F17+B$19</f>
        <v>2.7816772777825518</v>
      </c>
      <c r="H17" s="10">
        <f t="shared" ref="H17:H25" si="24">C$17*POWER($F17,2)+C$18*G17+C$19</f>
        <v>2.2373411058454753</v>
      </c>
      <c r="I17" s="122">
        <f t="shared" ref="I17:I25" si="25">D$17*POWER($F17,2)+D$18*H17+D$19</f>
        <v>1.6327480101605309</v>
      </c>
      <c r="J17" s="10"/>
      <c r="K17" s="129">
        <f>IF(G17&lt;K16,K16,G17)</f>
        <v>2.7816772777825518</v>
      </c>
      <c r="L17" s="10">
        <f t="shared" si="11"/>
        <v>2.2373411058454753</v>
      </c>
      <c r="M17" s="122">
        <f>IF(I17&lt;M16,M16,I17)</f>
        <v>1.6327480101605309</v>
      </c>
      <c r="O17" s="129">
        <f t="shared" ref="O17:O25" si="26">K17-(K$16-O$15)</f>
        <v>2.7312065727205748</v>
      </c>
      <c r="P17" s="10">
        <f t="shared" ref="P17:P25" si="27">L17-(L$16-P$15)</f>
        <v>2.0828924639700106</v>
      </c>
      <c r="Q17" s="122">
        <f t="shared" ref="Q17:Q25" si="28">M17-(M$16-Q$15)</f>
        <v>1.751179359857348</v>
      </c>
      <c r="R17" s="25"/>
      <c r="S17" s="144">
        <f t="shared" si="0"/>
        <v>7.6666666666666675E-2</v>
      </c>
      <c r="T17" s="129">
        <f t="shared" si="4"/>
        <v>1.493938096948592</v>
      </c>
      <c r="U17" s="10">
        <f t="shared" si="5"/>
        <v>1.1393178512573372</v>
      </c>
      <c r="V17" s="122">
        <f t="shared" si="6"/>
        <v>0.95787465745403877</v>
      </c>
      <c r="X17" s="25"/>
      <c r="Y17" s="25"/>
      <c r="Z17" s="25"/>
    </row>
    <row r="18" spans="1:26" x14ac:dyDescent="0.2">
      <c r="A18" s="65" t="s">
        <v>16</v>
      </c>
      <c r="B18" s="4">
        <f>'Coefficients (Sa(T1))'!B36</f>
        <v>0.83374626184488698</v>
      </c>
      <c r="C18" s="4">
        <f>'Coefficients (Sa(T1))'!G36</f>
        <v>0.49966272248010823</v>
      </c>
      <c r="D18" s="68">
        <f>'Coefficients (Sa(T1))'!L36</f>
        <v>0.26420869811271719</v>
      </c>
      <c r="E18" s="220"/>
      <c r="F18" s="129">
        <f t="shared" si="22"/>
        <v>2.7777777777777781</v>
      </c>
      <c r="G18" s="129">
        <f t="shared" si="23"/>
        <v>2.9566261099332669</v>
      </c>
      <c r="H18" s="10">
        <f t="shared" si="24"/>
        <v>2.3193055416108428</v>
      </c>
      <c r="I18" s="122">
        <f t="shared" si="25"/>
        <v>1.6514116544430726</v>
      </c>
      <c r="J18" s="10"/>
      <c r="K18" s="129">
        <f t="shared" ref="K18:K46" si="29">IF(G18&lt;K17,K17,G18)</f>
        <v>2.9566261099332669</v>
      </c>
      <c r="L18" s="10">
        <f t="shared" si="11"/>
        <v>2.3193055416108428</v>
      </c>
      <c r="M18" s="122">
        <f t="shared" si="11"/>
        <v>1.6514116544430726</v>
      </c>
      <c r="O18" s="129">
        <f t="shared" si="26"/>
        <v>2.9061554048712899</v>
      </c>
      <c r="P18" s="10">
        <f t="shared" si="27"/>
        <v>2.1648568997353781</v>
      </c>
      <c r="Q18" s="122">
        <f t="shared" si="28"/>
        <v>1.7698430041398896</v>
      </c>
      <c r="R18" s="25"/>
      <c r="S18" s="144">
        <f t="shared" si="0"/>
        <v>8.3333333333333343E-2</v>
      </c>
      <c r="T18" s="129">
        <f t="shared" si="4"/>
        <v>1.5896330648712389</v>
      </c>
      <c r="U18" s="10">
        <f t="shared" si="5"/>
        <v>1.184151440341302</v>
      </c>
      <c r="V18" s="122">
        <f t="shared" si="6"/>
        <v>0.96808345290000608</v>
      </c>
      <c r="X18" s="25"/>
      <c r="Y18" s="25"/>
      <c r="Z18" s="25"/>
    </row>
    <row r="19" spans="1:26" x14ac:dyDescent="0.2">
      <c r="A19" s="65" t="s">
        <v>15</v>
      </c>
      <c r="B19" s="4">
        <f>'Coefficients (Sa(T1))'!B37</f>
        <v>0.70790460302424774</v>
      </c>
      <c r="C19" s="4">
        <f>'Coefficients (Sa(T1))'!G37</f>
        <v>0.87747780215653504</v>
      </c>
      <c r="D19" s="68">
        <f>'Coefficients (Sa(T1))'!L37</f>
        <v>1.0581105959778996</v>
      </c>
      <c r="E19" s="220"/>
      <c r="F19" s="129">
        <f t="shared" si="22"/>
        <v>3.0000000000000004</v>
      </c>
      <c r="G19" s="129">
        <f t="shared" si="23"/>
        <v>3.1307142658401546</v>
      </c>
      <c r="H19" s="10">
        <f t="shared" si="24"/>
        <v>2.4003856817075637</v>
      </c>
      <c r="I19" s="122">
        <f t="shared" si="25"/>
        <v>1.6695923207363732</v>
      </c>
      <c r="J19" s="10"/>
      <c r="K19" s="129">
        <f t="shared" si="29"/>
        <v>3.1307142658401546</v>
      </c>
      <c r="L19" s="10">
        <f t="shared" si="11"/>
        <v>2.4003856817075637</v>
      </c>
      <c r="M19" s="122">
        <f t="shared" si="11"/>
        <v>1.6695923207363732</v>
      </c>
      <c r="O19" s="129">
        <f t="shared" si="26"/>
        <v>3.0802435607781775</v>
      </c>
      <c r="P19" s="10">
        <f t="shared" si="27"/>
        <v>2.245937039832099</v>
      </c>
      <c r="Q19" s="122">
        <f t="shared" si="28"/>
        <v>1.7880236704331902</v>
      </c>
      <c r="R19" s="25"/>
      <c r="S19" s="144">
        <f t="shared" si="0"/>
        <v>0.09</v>
      </c>
      <c r="T19" s="129">
        <f t="shared" si="4"/>
        <v>1.6848572529405292</v>
      </c>
      <c r="U19" s="10">
        <f t="shared" si="5"/>
        <v>1.2285013300223901</v>
      </c>
      <c r="V19" s="122">
        <f t="shared" si="6"/>
        <v>0.97802806502665895</v>
      </c>
      <c r="X19" s="25"/>
      <c r="Y19" s="25"/>
      <c r="Z19" s="25"/>
    </row>
    <row r="20" spans="1:26" x14ac:dyDescent="0.2">
      <c r="A20" s="69"/>
      <c r="B20" s="4"/>
      <c r="C20" s="4"/>
      <c r="D20" s="68"/>
      <c r="E20" s="220"/>
      <c r="F20" s="129">
        <f t="shared" si="22"/>
        <v>3.2222222222222228</v>
      </c>
      <c r="G20" s="129">
        <f t="shared" si="23"/>
        <v>3.3039417455032165</v>
      </c>
      <c r="H20" s="10">
        <f t="shared" si="24"/>
        <v>2.4805815261356399</v>
      </c>
      <c r="I20" s="122">
        <f t="shared" si="25"/>
        <v>1.6872900090404341</v>
      </c>
      <c r="J20" s="10"/>
      <c r="K20" s="129">
        <f t="shared" si="29"/>
        <v>3.3039417455032165</v>
      </c>
      <c r="L20" s="10">
        <f t="shared" si="11"/>
        <v>2.4805815261356399</v>
      </c>
      <c r="M20" s="122">
        <f t="shared" si="11"/>
        <v>1.6872900090404341</v>
      </c>
      <c r="O20" s="129">
        <f t="shared" si="26"/>
        <v>3.2534710404412395</v>
      </c>
      <c r="P20" s="10">
        <f t="shared" si="27"/>
        <v>2.3261328842601752</v>
      </c>
      <c r="Q20" s="122">
        <f t="shared" si="28"/>
        <v>1.8057213587372511</v>
      </c>
      <c r="R20" s="25"/>
      <c r="S20" s="144">
        <f t="shared" si="0"/>
        <v>9.6666666666666679E-2</v>
      </c>
      <c r="T20" s="129">
        <f t="shared" si="4"/>
        <v>1.7796106611564635</v>
      </c>
      <c r="U20" s="10">
        <f t="shared" si="5"/>
        <v>1.2723675203006026</v>
      </c>
      <c r="V20" s="122">
        <f t="shared" si="6"/>
        <v>0.98770849383399806</v>
      </c>
      <c r="X20" s="25"/>
      <c r="Y20" s="25"/>
      <c r="Z20" s="25"/>
    </row>
    <row r="21" spans="1:26" x14ac:dyDescent="0.2">
      <c r="A21" s="69"/>
      <c r="B21" s="4"/>
      <c r="C21" s="4"/>
      <c r="D21" s="68"/>
      <c r="E21" s="220"/>
      <c r="F21" s="129">
        <f t="shared" si="22"/>
        <v>3.4444444444444451</v>
      </c>
      <c r="G21" s="129">
        <f t="shared" si="23"/>
        <v>3.4763085489224492</v>
      </c>
      <c r="H21" s="10">
        <f t="shared" si="24"/>
        <v>2.559893074895069</v>
      </c>
      <c r="I21" s="122">
        <f t="shared" si="25"/>
        <v>1.704504719355254</v>
      </c>
      <c r="J21" s="10"/>
      <c r="K21" s="129">
        <f t="shared" si="29"/>
        <v>3.4763085489224492</v>
      </c>
      <c r="L21" s="10">
        <f t="shared" si="11"/>
        <v>2.559893074895069</v>
      </c>
      <c r="M21" s="122">
        <f t="shared" si="11"/>
        <v>1.704504719355254</v>
      </c>
      <c r="O21" s="129">
        <f t="shared" si="26"/>
        <v>3.4258378438604722</v>
      </c>
      <c r="P21" s="10">
        <f t="shared" si="27"/>
        <v>2.4054444330196043</v>
      </c>
      <c r="Q21" s="122">
        <f t="shared" si="28"/>
        <v>1.8229360690520711</v>
      </c>
      <c r="R21" s="25"/>
      <c r="S21" s="144">
        <f t="shared" si="0"/>
        <v>0.10333333333333335</v>
      </c>
      <c r="T21" s="129">
        <f t="shared" si="4"/>
        <v>1.8738932895190401</v>
      </c>
      <c r="U21" s="10">
        <f t="shared" si="5"/>
        <v>1.3157500111759384</v>
      </c>
      <c r="V21" s="122">
        <f t="shared" si="6"/>
        <v>0.99712473932202261</v>
      </c>
      <c r="X21" s="25"/>
      <c r="Y21" s="25"/>
      <c r="Z21" s="25"/>
    </row>
    <row r="22" spans="1:26" x14ac:dyDescent="0.2">
      <c r="A22" s="69"/>
      <c r="B22" s="4"/>
      <c r="C22" s="4"/>
      <c r="D22" s="68"/>
      <c r="E22" s="220"/>
      <c r="F22" s="129">
        <f t="shared" si="22"/>
        <v>3.6666666666666674</v>
      </c>
      <c r="G22" s="129">
        <f t="shared" si="23"/>
        <v>3.6478146760978563</v>
      </c>
      <c r="H22" s="10">
        <f t="shared" si="24"/>
        <v>2.6383203279858529</v>
      </c>
      <c r="I22" s="122">
        <f t="shared" si="25"/>
        <v>1.7212364516808336</v>
      </c>
      <c r="J22" s="10"/>
      <c r="K22" s="129">
        <f t="shared" si="29"/>
        <v>3.6478146760978563</v>
      </c>
      <c r="L22" s="10">
        <f t="shared" ref="L22:L46" si="30">IF(H22&lt;L21,L21,H22)</f>
        <v>2.6383203279858529</v>
      </c>
      <c r="M22" s="122">
        <f t="shared" ref="M22:M46" si="31">IF(I22&lt;M21,M21,I22)</f>
        <v>1.7212364516808336</v>
      </c>
      <c r="O22" s="129">
        <f t="shared" si="26"/>
        <v>3.5973439710358792</v>
      </c>
      <c r="P22" s="10">
        <f t="shared" si="27"/>
        <v>2.4838716861103882</v>
      </c>
      <c r="Q22" s="122">
        <f t="shared" si="28"/>
        <v>1.8396678013776506</v>
      </c>
      <c r="R22" s="25"/>
      <c r="S22" s="144">
        <f t="shared" si="0"/>
        <v>0.11000000000000001</v>
      </c>
      <c r="T22" s="129">
        <f t="shared" si="4"/>
        <v>1.9677051380282609</v>
      </c>
      <c r="U22" s="10">
        <f t="shared" si="5"/>
        <v>1.358648802648398</v>
      </c>
      <c r="V22" s="122">
        <f t="shared" si="6"/>
        <v>1.0062768014907333</v>
      </c>
      <c r="X22" s="25"/>
      <c r="Y22" s="25"/>
      <c r="Z22" s="25"/>
    </row>
    <row r="23" spans="1:26" x14ac:dyDescent="0.2">
      <c r="A23" s="69"/>
      <c r="B23" s="4"/>
      <c r="C23" s="4"/>
      <c r="D23" s="68"/>
      <c r="E23" s="220"/>
      <c r="F23" s="129">
        <f t="shared" si="22"/>
        <v>3.8888888888888897</v>
      </c>
      <c r="G23" s="129">
        <f t="shared" si="23"/>
        <v>3.8184601270294349</v>
      </c>
      <c r="H23" s="10">
        <f t="shared" si="24"/>
        <v>2.7158632854079907</v>
      </c>
      <c r="I23" s="122">
        <f t="shared" si="25"/>
        <v>1.7374852060171726</v>
      </c>
      <c r="J23" s="10"/>
      <c r="K23" s="129">
        <f>IF(G23&lt;K22,K22,G23)</f>
        <v>3.8184601270294349</v>
      </c>
      <c r="L23" s="10">
        <f t="shared" si="30"/>
        <v>2.7158632854079907</v>
      </c>
      <c r="M23" s="122">
        <f t="shared" si="31"/>
        <v>1.7374852060171726</v>
      </c>
      <c r="O23" s="129">
        <f t="shared" si="26"/>
        <v>3.7679894219674579</v>
      </c>
      <c r="P23" s="10">
        <f t="shared" si="27"/>
        <v>2.561414643532526</v>
      </c>
      <c r="Q23" s="122">
        <f t="shared" si="28"/>
        <v>1.8559165557139896</v>
      </c>
      <c r="R23" s="25"/>
      <c r="S23" s="144">
        <f t="shared" si="0"/>
        <v>0.1166666666666667</v>
      </c>
      <c r="T23" s="129">
        <f t="shared" si="4"/>
        <v>2.0610462066841246</v>
      </c>
      <c r="U23" s="10">
        <f t="shared" si="5"/>
        <v>1.4010638947179812</v>
      </c>
      <c r="V23" s="122">
        <f t="shared" si="6"/>
        <v>1.0151646803401295</v>
      </c>
      <c r="X23" s="25"/>
      <c r="Y23" s="25"/>
      <c r="Z23" s="25"/>
    </row>
    <row r="24" spans="1:26" x14ac:dyDescent="0.2">
      <c r="A24" s="69"/>
      <c r="B24" s="4"/>
      <c r="C24" s="4"/>
      <c r="D24" s="68"/>
      <c r="E24" s="220"/>
      <c r="F24" s="129">
        <f t="shared" si="22"/>
        <v>4.1111111111111116</v>
      </c>
      <c r="G24" s="129">
        <f t="shared" si="23"/>
        <v>3.9882449017171862</v>
      </c>
      <c r="H24" s="10">
        <f t="shared" si="24"/>
        <v>2.7925219471614824</v>
      </c>
      <c r="I24" s="122">
        <f t="shared" si="25"/>
        <v>1.7532509823642712</v>
      </c>
      <c r="J24" s="10"/>
      <c r="K24" s="129">
        <f t="shared" si="29"/>
        <v>3.9882449017171862</v>
      </c>
      <c r="L24" s="10">
        <f t="shared" si="30"/>
        <v>2.7925219471614824</v>
      </c>
      <c r="M24" s="122">
        <f t="shared" si="31"/>
        <v>1.7532509823642712</v>
      </c>
      <c r="O24" s="129">
        <f t="shared" si="26"/>
        <v>3.9377741966552091</v>
      </c>
      <c r="P24" s="10">
        <f t="shared" si="27"/>
        <v>2.6380733052860177</v>
      </c>
      <c r="Q24" s="122">
        <f t="shared" si="28"/>
        <v>1.8716823320610882</v>
      </c>
      <c r="R24" s="25"/>
      <c r="S24" s="144">
        <f t="shared" si="0"/>
        <v>0.12333333333333334</v>
      </c>
      <c r="T24" s="129">
        <f t="shared" si="4"/>
        <v>2.1539164954866314</v>
      </c>
      <c r="U24" s="10">
        <f t="shared" si="5"/>
        <v>1.4429952873846883</v>
      </c>
      <c r="V24" s="122">
        <f t="shared" si="6"/>
        <v>1.0237883758702118</v>
      </c>
      <c r="X24" s="25"/>
      <c r="Y24" s="25"/>
      <c r="Z24" s="25"/>
    </row>
    <row r="25" spans="1:26" x14ac:dyDescent="0.2">
      <c r="A25" s="70"/>
      <c r="B25" s="138"/>
      <c r="C25" s="138"/>
      <c r="D25" s="73"/>
      <c r="E25" s="219"/>
      <c r="F25" s="130">
        <f>Input!$I$7</f>
        <v>4.3333333333333339</v>
      </c>
      <c r="G25" s="130">
        <f t="shared" si="23"/>
        <v>4.1571690001611117</v>
      </c>
      <c r="H25" s="123">
        <f t="shared" si="24"/>
        <v>2.8682963132463284</v>
      </c>
      <c r="I25" s="124">
        <f t="shared" si="25"/>
        <v>1.7685337807221295</v>
      </c>
      <c r="J25" s="10"/>
      <c r="K25" s="130">
        <f>IF(G25&lt;K24,K24,G25)</f>
        <v>4.1571690001611117</v>
      </c>
      <c r="L25" s="123">
        <f t="shared" si="30"/>
        <v>2.8682963132463284</v>
      </c>
      <c r="M25" s="124">
        <f t="shared" si="31"/>
        <v>1.7685337807221295</v>
      </c>
      <c r="O25" s="130">
        <f t="shared" si="26"/>
        <v>4.1066982950991342</v>
      </c>
      <c r="P25" s="123">
        <f t="shared" si="27"/>
        <v>2.7138476713708637</v>
      </c>
      <c r="Q25" s="124">
        <f t="shared" si="28"/>
        <v>1.8869651304189465</v>
      </c>
      <c r="R25" s="25"/>
      <c r="S25" s="143">
        <f t="shared" si="0"/>
        <v>0.13</v>
      </c>
      <c r="T25" s="130">
        <f t="shared" si="4"/>
        <v>2.2463160044357822</v>
      </c>
      <c r="U25" s="123">
        <f t="shared" si="5"/>
        <v>1.4844429806485189</v>
      </c>
      <c r="V25" s="124">
        <f t="shared" si="6"/>
        <v>1.0321478880809798</v>
      </c>
      <c r="X25" s="25"/>
      <c r="Y25" s="25"/>
      <c r="Z25" s="25"/>
    </row>
    <row r="26" spans="1:26" ht="16" customHeight="1" x14ac:dyDescent="0.2">
      <c r="A26" s="61"/>
      <c r="B26" s="134" t="s">
        <v>85</v>
      </c>
      <c r="C26" s="134" t="s">
        <v>86</v>
      </c>
      <c r="D26" s="135" t="s">
        <v>87</v>
      </c>
      <c r="E26" s="215" t="s">
        <v>28</v>
      </c>
      <c r="F26" s="128">
        <f>F25</f>
        <v>4.3333333333333339</v>
      </c>
      <c r="G26" s="128">
        <f>B$27*$F26+B$28</f>
        <v>4.1299992339963927</v>
      </c>
      <c r="H26" s="120">
        <f t="shared" ref="H26:I26" si="32">C$27*$F26+C$28</f>
        <v>2.8464153296287016</v>
      </c>
      <c r="I26" s="121">
        <f t="shared" si="32"/>
        <v>2.089068496918526</v>
      </c>
      <c r="J26" s="10"/>
      <c r="K26" s="128">
        <f>G26</f>
        <v>4.1299992339963927</v>
      </c>
      <c r="L26" s="120">
        <f t="shared" ref="L26:M26" si="33">H26</f>
        <v>2.8464153296287016</v>
      </c>
      <c r="M26" s="121">
        <f t="shared" si="33"/>
        <v>2.089068496918526</v>
      </c>
      <c r="O26" s="128">
        <f>K26-(K$26-O$25)</f>
        <v>4.1066982950991342</v>
      </c>
      <c r="P26" s="120">
        <f t="shared" ref="P26:Q26" si="34">L26-(L$26-P$25)</f>
        <v>2.7138476713708637</v>
      </c>
      <c r="Q26" s="121">
        <f t="shared" si="34"/>
        <v>1.8869651304189465</v>
      </c>
      <c r="R26" s="25"/>
      <c r="S26" s="142">
        <f t="shared" si="0"/>
        <v>0.13</v>
      </c>
      <c r="T26" s="128">
        <f t="shared" si="4"/>
        <v>2.2463160044357822</v>
      </c>
      <c r="U26" s="120">
        <f t="shared" si="5"/>
        <v>1.4844429806485189</v>
      </c>
      <c r="V26" s="121">
        <f t="shared" si="6"/>
        <v>1.0321478880809798</v>
      </c>
      <c r="X26" s="25"/>
      <c r="Y26" s="25"/>
      <c r="Z26" s="25"/>
    </row>
    <row r="27" spans="1:26" x14ac:dyDescent="0.2">
      <c r="A27" s="65" t="s">
        <v>20</v>
      </c>
      <c r="B27" s="4">
        <f>'Coefficients (Sa(T1))'!B46</f>
        <v>0.55886538819341069</v>
      </c>
      <c r="C27" s="4">
        <f>'Coefficients (Sa(T1))'!G46</f>
        <v>0.28334487155770927</v>
      </c>
      <c r="D27" s="68">
        <f>'Coefficients (Sa(T1))'!L46</f>
        <v>0.1041069804246148</v>
      </c>
      <c r="E27" s="216"/>
      <c r="F27" s="129">
        <f t="shared" ref="F27:F34" si="35">F26+($F$35-$F$26)/9</f>
        <v>5.685185185185186</v>
      </c>
      <c r="G27" s="129">
        <f t="shared" ref="G27:G35" si="36">B$27*$F27+B$28</f>
        <v>4.8855024439615597</v>
      </c>
      <c r="H27" s="10">
        <f t="shared" ref="H27:H35" si="37">C$27*$F27+C$28</f>
        <v>3.2294556189567158</v>
      </c>
      <c r="I27" s="122">
        <f t="shared" ref="I27:I34" si="38">D$27*$F27+D$28</f>
        <v>2.2298057111962462</v>
      </c>
      <c r="J27" s="10"/>
      <c r="K27" s="129">
        <f t="shared" si="29"/>
        <v>4.8855024439615597</v>
      </c>
      <c r="L27" s="10">
        <f t="shared" si="30"/>
        <v>3.2294556189567158</v>
      </c>
      <c r="M27" s="122">
        <f t="shared" si="31"/>
        <v>2.2298057111962462</v>
      </c>
      <c r="O27" s="129">
        <f t="shared" ref="O27:O35" si="39">K27-(K$26-O$25)</f>
        <v>4.8622015050643013</v>
      </c>
      <c r="P27" s="10">
        <f t="shared" ref="P27:P35" si="40">L27-(L$26-P$25)</f>
        <v>3.096887960698878</v>
      </c>
      <c r="Q27" s="122">
        <f t="shared" ref="Q27:Q35" si="41">M27-(M$26-Q$25)</f>
        <v>2.0277023446966664</v>
      </c>
      <c r="R27" s="25"/>
      <c r="S27" s="144">
        <f t="shared" si="0"/>
        <v>0.17055555555555557</v>
      </c>
      <c r="T27" s="129">
        <f t="shared" si="4"/>
        <v>2.6595674366076199</v>
      </c>
      <c r="U27" s="10">
        <f t="shared" si="5"/>
        <v>1.693961545303744</v>
      </c>
      <c r="V27" s="122">
        <f t="shared" si="6"/>
        <v>1.1091295005916986</v>
      </c>
      <c r="X27" s="25"/>
      <c r="Y27" s="25"/>
      <c r="Z27" s="25"/>
    </row>
    <row r="28" spans="1:26" x14ac:dyDescent="0.2">
      <c r="A28" s="65" t="s">
        <v>21</v>
      </c>
      <c r="B28" s="4">
        <f>'Coefficients (Sa(T1))'!B47</f>
        <v>1.7082492184916129</v>
      </c>
      <c r="C28" s="4">
        <f>'Coefficients (Sa(T1))'!G47</f>
        <v>1.618587552878628</v>
      </c>
      <c r="D28" s="68">
        <f>'Coefficients (Sa(T1))'!L47</f>
        <v>1.6379382484118619</v>
      </c>
      <c r="E28" s="216"/>
      <c r="F28" s="129">
        <f t="shared" si="35"/>
        <v>7.0370370370370381</v>
      </c>
      <c r="G28" s="129">
        <f t="shared" si="36"/>
        <v>5.6410056539267259</v>
      </c>
      <c r="H28" s="10">
        <f t="shared" si="37"/>
        <v>3.6124959082847306</v>
      </c>
      <c r="I28" s="122">
        <f t="shared" si="38"/>
        <v>2.3705429254739663</v>
      </c>
      <c r="J28" s="10"/>
      <c r="K28" s="129">
        <f t="shared" si="29"/>
        <v>5.6410056539267259</v>
      </c>
      <c r="L28" s="10">
        <f t="shared" si="30"/>
        <v>3.6124959082847306</v>
      </c>
      <c r="M28" s="122">
        <f t="shared" si="31"/>
        <v>2.3705429254739663</v>
      </c>
      <c r="O28" s="129">
        <f t="shared" si="39"/>
        <v>5.6177047150294674</v>
      </c>
      <c r="P28" s="10">
        <f t="shared" si="40"/>
        <v>3.4799282500268927</v>
      </c>
      <c r="Q28" s="122">
        <f t="shared" si="41"/>
        <v>2.168439558974387</v>
      </c>
      <c r="R28" s="25"/>
      <c r="S28" s="144">
        <f t="shared" si="0"/>
        <v>0.21111111111111114</v>
      </c>
      <c r="T28" s="129">
        <f t="shared" si="4"/>
        <v>3.0728188687794571</v>
      </c>
      <c r="U28" s="10">
        <f t="shared" si="5"/>
        <v>1.9034801099589693</v>
      </c>
      <c r="V28" s="122">
        <f t="shared" si="6"/>
        <v>1.1861111131024176</v>
      </c>
      <c r="X28" s="25"/>
      <c r="Y28" s="25"/>
      <c r="Z28" s="25"/>
    </row>
    <row r="29" spans="1:26" x14ac:dyDescent="0.2">
      <c r="A29" s="69"/>
      <c r="B29" s="4"/>
      <c r="C29" s="4"/>
      <c r="D29" s="68"/>
      <c r="E29" s="216"/>
      <c r="F29" s="129">
        <f t="shared" si="35"/>
        <v>8.3888888888888893</v>
      </c>
      <c r="G29" s="129">
        <f t="shared" si="36"/>
        <v>6.3965088638918912</v>
      </c>
      <c r="H29" s="10">
        <f t="shared" si="37"/>
        <v>3.9955361976127448</v>
      </c>
      <c r="I29" s="122">
        <f t="shared" si="38"/>
        <v>2.511280139751686</v>
      </c>
      <c r="J29" s="10"/>
      <c r="K29" s="129">
        <f t="shared" si="29"/>
        <v>6.3965088638918912</v>
      </c>
      <c r="L29" s="10">
        <f t="shared" si="30"/>
        <v>3.9955361976127448</v>
      </c>
      <c r="M29" s="122">
        <f t="shared" si="31"/>
        <v>2.511280139751686</v>
      </c>
      <c r="O29" s="129">
        <f t="shared" si="39"/>
        <v>6.3732079249946327</v>
      </c>
      <c r="P29" s="10">
        <f t="shared" si="40"/>
        <v>3.8629685393549069</v>
      </c>
      <c r="Q29" s="122">
        <f t="shared" si="41"/>
        <v>2.3091767732521067</v>
      </c>
      <c r="R29" s="25"/>
      <c r="S29" s="144">
        <f t="shared" si="0"/>
        <v>0.25166666666666665</v>
      </c>
      <c r="T29" s="129">
        <f t="shared" si="4"/>
        <v>3.4860703009512934</v>
      </c>
      <c r="U29" s="10">
        <f t="shared" si="5"/>
        <v>2.1129986746141944</v>
      </c>
      <c r="V29" s="122">
        <f t="shared" si="6"/>
        <v>1.2630927256131361</v>
      </c>
      <c r="X29" s="25"/>
      <c r="Y29" s="25"/>
      <c r="Z29" s="25"/>
    </row>
    <row r="30" spans="1:26" x14ac:dyDescent="0.2">
      <c r="A30" s="69"/>
      <c r="B30" s="4"/>
      <c r="C30" s="4"/>
      <c r="D30" s="68"/>
      <c r="E30" s="216"/>
      <c r="F30" s="129">
        <f t="shared" si="35"/>
        <v>9.7407407407407405</v>
      </c>
      <c r="G30" s="129">
        <f t="shared" si="36"/>
        <v>7.1520120738570574</v>
      </c>
      <c r="H30" s="10">
        <f t="shared" si="37"/>
        <v>4.3785764869407586</v>
      </c>
      <c r="I30" s="122">
        <f t="shared" si="38"/>
        <v>2.6520173540294061</v>
      </c>
      <c r="J30" s="10"/>
      <c r="K30" s="129">
        <f t="shared" si="29"/>
        <v>7.1520120738570574</v>
      </c>
      <c r="L30" s="10">
        <f t="shared" si="30"/>
        <v>4.3785764869407586</v>
      </c>
      <c r="M30" s="122">
        <f t="shared" si="31"/>
        <v>2.6520173540294061</v>
      </c>
      <c r="O30" s="129">
        <f t="shared" si="39"/>
        <v>7.1287111349597989</v>
      </c>
      <c r="P30" s="10">
        <f t="shared" si="40"/>
        <v>4.2460088286829212</v>
      </c>
      <c r="Q30" s="122">
        <f t="shared" si="41"/>
        <v>2.4499139875298264</v>
      </c>
      <c r="R30" s="25"/>
      <c r="S30" s="144">
        <f t="shared" si="0"/>
        <v>0.29222222222222222</v>
      </c>
      <c r="T30" s="129">
        <f t="shared" si="4"/>
        <v>3.8993217331231316</v>
      </c>
      <c r="U30" s="10">
        <f t="shared" si="5"/>
        <v>2.3225172392694198</v>
      </c>
      <c r="V30" s="122">
        <f t="shared" si="6"/>
        <v>1.3400743381238545</v>
      </c>
      <c r="X30" s="25"/>
      <c r="Y30" s="25"/>
      <c r="Z30" s="25"/>
    </row>
    <row r="31" spans="1:26" x14ac:dyDescent="0.2">
      <c r="A31" s="69"/>
      <c r="B31" s="4"/>
      <c r="C31" s="4"/>
      <c r="D31" s="68"/>
      <c r="E31" s="216"/>
      <c r="F31" s="129">
        <f t="shared" si="35"/>
        <v>11.092592592592592</v>
      </c>
      <c r="G31" s="129">
        <f t="shared" si="36"/>
        <v>7.9075152838222236</v>
      </c>
      <c r="H31" s="10">
        <f t="shared" si="37"/>
        <v>4.7616167762687729</v>
      </c>
      <c r="I31" s="122">
        <f t="shared" si="38"/>
        <v>2.7927545683071262</v>
      </c>
      <c r="J31" s="10"/>
      <c r="K31" s="129">
        <f t="shared" si="29"/>
        <v>7.9075152838222236</v>
      </c>
      <c r="L31" s="10">
        <f t="shared" si="30"/>
        <v>4.7616167762687729</v>
      </c>
      <c r="M31" s="122">
        <f t="shared" si="31"/>
        <v>2.7927545683071262</v>
      </c>
      <c r="O31" s="129">
        <f t="shared" si="39"/>
        <v>7.8842143449249651</v>
      </c>
      <c r="P31" s="10">
        <f t="shared" si="40"/>
        <v>4.6290491180109345</v>
      </c>
      <c r="Q31" s="122">
        <f t="shared" si="41"/>
        <v>2.5906512018075469</v>
      </c>
      <c r="R31" s="25"/>
      <c r="S31" s="144">
        <f t="shared" si="0"/>
        <v>0.33277777777777773</v>
      </c>
      <c r="T31" s="129">
        <f t="shared" si="4"/>
        <v>4.3125731652949693</v>
      </c>
      <c r="U31" s="10">
        <f t="shared" si="5"/>
        <v>2.5320358039246442</v>
      </c>
      <c r="V31" s="122">
        <f t="shared" si="6"/>
        <v>1.4170559506345735</v>
      </c>
      <c r="X31" s="25"/>
      <c r="Y31" s="25"/>
      <c r="Z31" s="25"/>
    </row>
    <row r="32" spans="1:26" x14ac:dyDescent="0.2">
      <c r="A32" s="69"/>
      <c r="B32" s="4"/>
      <c r="C32" s="4"/>
      <c r="D32" s="68"/>
      <c r="E32" s="216"/>
      <c r="F32" s="129">
        <f t="shared" si="35"/>
        <v>12.444444444444443</v>
      </c>
      <c r="G32" s="129">
        <f t="shared" si="36"/>
        <v>8.6630184937873906</v>
      </c>
      <c r="H32" s="10">
        <f t="shared" si="37"/>
        <v>5.1446570655967871</v>
      </c>
      <c r="I32" s="122">
        <f t="shared" si="38"/>
        <v>2.9334917825848459</v>
      </c>
      <c r="J32" s="10"/>
      <c r="K32" s="129">
        <f t="shared" si="29"/>
        <v>8.6630184937873906</v>
      </c>
      <c r="L32" s="10">
        <f t="shared" si="30"/>
        <v>5.1446570655967871</v>
      </c>
      <c r="M32" s="122">
        <f t="shared" si="31"/>
        <v>2.9334917825848459</v>
      </c>
      <c r="O32" s="129">
        <f t="shared" si="39"/>
        <v>8.639717554890133</v>
      </c>
      <c r="P32" s="10">
        <f t="shared" si="40"/>
        <v>5.0120894073389497</v>
      </c>
      <c r="Q32" s="122">
        <f t="shared" si="41"/>
        <v>2.7313884160852666</v>
      </c>
      <c r="R32" s="25"/>
      <c r="S32" s="144">
        <f t="shared" si="0"/>
        <v>0.37333333333333324</v>
      </c>
      <c r="T32" s="129">
        <f t="shared" si="4"/>
        <v>4.7258245974668069</v>
      </c>
      <c r="U32" s="10">
        <f t="shared" si="5"/>
        <v>2.74155436857987</v>
      </c>
      <c r="V32" s="122">
        <f t="shared" si="6"/>
        <v>1.494037563145292</v>
      </c>
      <c r="X32" s="25"/>
      <c r="Y32" s="25"/>
      <c r="Z32" s="25"/>
    </row>
    <row r="33" spans="1:26" x14ac:dyDescent="0.2">
      <c r="A33" s="69"/>
      <c r="B33" s="4"/>
      <c r="C33" s="4"/>
      <c r="D33" s="68"/>
      <c r="E33" s="216"/>
      <c r="F33" s="129">
        <f t="shared" si="35"/>
        <v>13.796296296296294</v>
      </c>
      <c r="G33" s="129">
        <f t="shared" si="36"/>
        <v>9.418521703752555</v>
      </c>
      <c r="H33" s="10">
        <f t="shared" si="37"/>
        <v>5.5276973549248014</v>
      </c>
      <c r="I33" s="122">
        <f t="shared" si="38"/>
        <v>3.0742289968625656</v>
      </c>
      <c r="J33" s="10"/>
      <c r="K33" s="129">
        <f t="shared" si="29"/>
        <v>9.418521703752555</v>
      </c>
      <c r="L33" s="10">
        <f t="shared" si="30"/>
        <v>5.5276973549248014</v>
      </c>
      <c r="M33" s="122">
        <f t="shared" si="31"/>
        <v>3.0742289968625656</v>
      </c>
      <c r="O33" s="129">
        <f t="shared" si="39"/>
        <v>9.3952207648552957</v>
      </c>
      <c r="P33" s="10">
        <f t="shared" si="40"/>
        <v>5.3951296966669631</v>
      </c>
      <c r="Q33" s="122">
        <f t="shared" si="41"/>
        <v>2.8721256303629863</v>
      </c>
      <c r="R33" s="25"/>
      <c r="S33" s="144">
        <f t="shared" si="0"/>
        <v>0.41388888888888875</v>
      </c>
      <c r="T33" s="129">
        <f t="shared" si="4"/>
        <v>5.139076029638642</v>
      </c>
      <c r="U33" s="10">
        <f t="shared" si="5"/>
        <v>2.9510729332350949</v>
      </c>
      <c r="V33" s="122">
        <f t="shared" si="6"/>
        <v>1.5710191756560103</v>
      </c>
      <c r="X33" s="25"/>
      <c r="Y33" s="25"/>
      <c r="Z33" s="25"/>
    </row>
    <row r="34" spans="1:26" x14ac:dyDescent="0.2">
      <c r="A34" s="69"/>
      <c r="B34" s="4"/>
      <c r="C34" s="4"/>
      <c r="D34" s="68"/>
      <c r="E34" s="216"/>
      <c r="F34" s="129">
        <f t="shared" si="35"/>
        <v>15.148148148148145</v>
      </c>
      <c r="G34" s="129">
        <f t="shared" si="36"/>
        <v>10.174024913717721</v>
      </c>
      <c r="H34" s="10">
        <f t="shared" si="37"/>
        <v>5.9107376442528157</v>
      </c>
      <c r="I34" s="122">
        <f t="shared" si="38"/>
        <v>3.2149662111402861</v>
      </c>
      <c r="J34" s="10"/>
      <c r="K34" s="129">
        <f t="shared" si="29"/>
        <v>10.174024913717721</v>
      </c>
      <c r="L34" s="10">
        <f t="shared" si="30"/>
        <v>5.9107376442528157</v>
      </c>
      <c r="M34" s="122">
        <f t="shared" si="31"/>
        <v>3.2149662111402861</v>
      </c>
      <c r="O34" s="129">
        <f t="shared" si="39"/>
        <v>10.150723974820462</v>
      </c>
      <c r="P34" s="10">
        <f t="shared" si="40"/>
        <v>5.7781699859949782</v>
      </c>
      <c r="Q34" s="122">
        <f>M34-(M$26-Q$25)</f>
        <v>3.0128628446407069</v>
      </c>
      <c r="R34" s="25"/>
      <c r="S34" s="144">
        <f t="shared" si="0"/>
        <v>0.45444444444444432</v>
      </c>
      <c r="T34" s="129">
        <f t="shared" si="4"/>
        <v>5.5523274618104796</v>
      </c>
      <c r="U34" s="10">
        <f t="shared" si="5"/>
        <v>3.1605914978903207</v>
      </c>
      <c r="V34" s="122">
        <f t="shared" si="6"/>
        <v>1.6480007881667291</v>
      </c>
      <c r="X34" s="25"/>
      <c r="Y34" s="25"/>
      <c r="Z34" s="25"/>
    </row>
    <row r="35" spans="1:26" x14ac:dyDescent="0.2">
      <c r="A35" s="70"/>
      <c r="B35" s="138"/>
      <c r="C35" s="138"/>
      <c r="D35" s="73"/>
      <c r="E35" s="217"/>
      <c r="F35" s="130">
        <f>Input!$I$8</f>
        <v>16.5</v>
      </c>
      <c r="G35" s="130">
        <f t="shared" si="36"/>
        <v>10.929528123682889</v>
      </c>
      <c r="H35" s="123">
        <f t="shared" si="37"/>
        <v>6.2937779335808308</v>
      </c>
      <c r="I35" s="124">
        <f>D$27*$F35+D$28</f>
        <v>3.3557034254180058</v>
      </c>
      <c r="J35" s="10"/>
      <c r="K35" s="130">
        <f t="shared" si="29"/>
        <v>10.929528123682889</v>
      </c>
      <c r="L35" s="123">
        <f t="shared" si="30"/>
        <v>6.2937779335808308</v>
      </c>
      <c r="M35" s="124">
        <f t="shared" si="31"/>
        <v>3.3557034254180058</v>
      </c>
      <c r="O35" s="130">
        <f t="shared" si="39"/>
        <v>10.906227184785632</v>
      </c>
      <c r="P35" s="123">
        <f t="shared" si="40"/>
        <v>6.1612102753229934</v>
      </c>
      <c r="Q35" s="124">
        <f t="shared" si="41"/>
        <v>3.1536000589184265</v>
      </c>
      <c r="R35" s="25"/>
      <c r="S35" s="143">
        <f t="shared" si="0"/>
        <v>0.495</v>
      </c>
      <c r="T35" s="130">
        <f t="shared" si="4"/>
        <v>5.9655788939823182</v>
      </c>
      <c r="U35" s="123">
        <f t="shared" si="5"/>
        <v>3.370110062545546</v>
      </c>
      <c r="V35" s="124">
        <f t="shared" si="6"/>
        <v>1.7249824006774477</v>
      </c>
      <c r="X35" s="25"/>
      <c r="Y35" s="25"/>
      <c r="Z35" s="25"/>
    </row>
    <row r="36" spans="1:26" ht="16" customHeight="1" x14ac:dyDescent="0.2">
      <c r="A36" s="61"/>
      <c r="B36" s="134" t="s">
        <v>85</v>
      </c>
      <c r="C36" s="134" t="s">
        <v>86</v>
      </c>
      <c r="D36" s="135" t="s">
        <v>87</v>
      </c>
      <c r="E36" s="215" t="s">
        <v>29</v>
      </c>
      <c r="F36" s="128">
        <f>F35</f>
        <v>16.5</v>
      </c>
      <c r="G36" s="128">
        <f>B$37*$F36+B$38</f>
        <v>7.1891765376701731</v>
      </c>
      <c r="H36" s="120">
        <f t="shared" ref="H36:I36" si="42">C$37*$F36+C$38</f>
        <v>4.2095501967166964</v>
      </c>
      <c r="I36" s="121">
        <f t="shared" si="42"/>
        <v>2.5940663621746505</v>
      </c>
      <c r="J36" s="10"/>
      <c r="K36" s="128">
        <f>G36</f>
        <v>7.1891765376701731</v>
      </c>
      <c r="L36" s="120">
        <f t="shared" ref="L36:M36" si="43">H36</f>
        <v>4.2095501967166964</v>
      </c>
      <c r="M36" s="121">
        <f t="shared" si="43"/>
        <v>2.5940663621746505</v>
      </c>
      <c r="O36" s="128">
        <f>K36-(K$36-O$35)</f>
        <v>10.906227184785632</v>
      </c>
      <c r="P36" s="120">
        <f t="shared" ref="P36:Q36" si="44">L36-(L$36-P$35)</f>
        <v>6.1612102753229934</v>
      </c>
      <c r="Q36" s="121">
        <f t="shared" si="44"/>
        <v>3.1536000589184265</v>
      </c>
      <c r="R36" s="25"/>
      <c r="S36" s="142">
        <f t="shared" si="0"/>
        <v>0.495</v>
      </c>
      <c r="T36" s="128">
        <f t="shared" si="4"/>
        <v>5.9655788939823182</v>
      </c>
      <c r="U36" s="120">
        <f t="shared" si="5"/>
        <v>3.370110062545546</v>
      </c>
      <c r="V36" s="121">
        <f t="shared" si="6"/>
        <v>1.7249824006774477</v>
      </c>
      <c r="X36" s="25"/>
      <c r="Y36" s="25"/>
      <c r="Z36" s="25"/>
    </row>
    <row r="37" spans="1:26" x14ac:dyDescent="0.2">
      <c r="A37" s="65" t="s">
        <v>23</v>
      </c>
      <c r="B37" s="4">
        <f>'Coefficients (Sa(T1))'!B56</f>
        <v>0.22897151743216698</v>
      </c>
      <c r="C37" s="4">
        <f>'Coefficients (Sa(T1))'!G56</f>
        <v>0.10122167415385139</v>
      </c>
      <c r="D37" s="68">
        <f>'Coefficients (Sa(T1))'!L56</f>
        <v>3.7327509607960593E-2</v>
      </c>
      <c r="E37" s="216"/>
      <c r="F37" s="129">
        <f t="shared" ref="F37:F44" si="45">F36+($F$45-$F$36)/9</f>
        <v>16.51692962962963</v>
      </c>
      <c r="G37" s="129">
        <f t="shared" ref="G37:G44" si="46">B$37*$F37+B$38</f>
        <v>7.1930529406560337</v>
      </c>
      <c r="H37" s="10">
        <f t="shared" ref="H37:H45" si="47">C$37*$F37+C$38</f>
        <v>4.211263842170613</v>
      </c>
      <c r="I37" s="122">
        <f t="shared" ref="I37:I45" si="48">D$37*$F37+D$38</f>
        <v>2.5946983030873096</v>
      </c>
      <c r="J37" s="10"/>
      <c r="K37" s="129">
        <f t="shared" si="29"/>
        <v>7.1930529406560337</v>
      </c>
      <c r="L37" s="10">
        <f t="shared" si="30"/>
        <v>4.211263842170613</v>
      </c>
      <c r="M37" s="122">
        <f t="shared" si="31"/>
        <v>2.5946983030873096</v>
      </c>
      <c r="O37" s="129">
        <f t="shared" ref="O37:O45" si="49">K37-(K$36-O$35)</f>
        <v>10.910103587771491</v>
      </c>
      <c r="P37" s="10">
        <f t="shared" ref="P37:P45" si="50">L37-(L$36-P$35)</f>
        <v>6.16292392077691</v>
      </c>
      <c r="Q37" s="122">
        <f t="shared" ref="Q37:Q45" si="51">M37-(M$36-Q$35)</f>
        <v>3.1542319998310857</v>
      </c>
      <c r="R37" s="25"/>
      <c r="S37" s="144">
        <f t="shared" si="0"/>
        <v>0.49550788888888886</v>
      </c>
      <c r="T37" s="129">
        <f t="shared" si="4"/>
        <v>5.9676992411422676</v>
      </c>
      <c r="U37" s="10">
        <f t="shared" si="5"/>
        <v>3.3710474065948164</v>
      </c>
      <c r="V37" s="122">
        <f t="shared" si="6"/>
        <v>1.7253280649761031</v>
      </c>
      <c r="X37" s="25"/>
      <c r="Y37" s="25"/>
      <c r="Z37" s="25"/>
    </row>
    <row r="38" spans="1:26" x14ac:dyDescent="0.2">
      <c r="A38" s="65" t="s">
        <v>24</v>
      </c>
      <c r="B38" s="4">
        <f>'Coefficients (Sa(T1))'!B57</f>
        <v>3.4111465000394179</v>
      </c>
      <c r="C38" s="4">
        <f>'Coefficients (Sa(T1))'!G57</f>
        <v>2.5393925731781488</v>
      </c>
      <c r="D38" s="68">
        <f>'Coefficients (Sa(T1))'!L57</f>
        <v>1.9781624536433007</v>
      </c>
      <c r="E38" s="216"/>
      <c r="F38" s="129">
        <f t="shared" si="45"/>
        <v>16.533859259259259</v>
      </c>
      <c r="G38" s="129">
        <f t="shared" si="46"/>
        <v>7.1969293436418944</v>
      </c>
      <c r="H38" s="10">
        <f t="shared" si="47"/>
        <v>4.2129774876245278</v>
      </c>
      <c r="I38" s="122">
        <f t="shared" si="48"/>
        <v>2.5953302439999688</v>
      </c>
      <c r="J38" s="10"/>
      <c r="K38" s="129">
        <f t="shared" si="29"/>
        <v>7.1969293436418944</v>
      </c>
      <c r="L38" s="10">
        <f t="shared" si="30"/>
        <v>4.2129774876245278</v>
      </c>
      <c r="M38" s="122">
        <f t="shared" si="31"/>
        <v>2.5953302439999688</v>
      </c>
      <c r="O38" s="129">
        <f t="shared" si="49"/>
        <v>10.913979990757353</v>
      </c>
      <c r="P38" s="10">
        <f t="shared" si="50"/>
        <v>6.1646375662308248</v>
      </c>
      <c r="Q38" s="122">
        <f t="shared" si="51"/>
        <v>3.1548639407437449</v>
      </c>
      <c r="R38" s="25"/>
      <c r="S38" s="144">
        <f t="shared" si="0"/>
        <v>0.49601577777777778</v>
      </c>
      <c r="T38" s="129">
        <f t="shared" si="4"/>
        <v>5.9698195883022169</v>
      </c>
      <c r="U38" s="10">
        <f t="shared" si="5"/>
        <v>3.3719847506440863</v>
      </c>
      <c r="V38" s="122">
        <f t="shared" si="6"/>
        <v>1.7256737292747582</v>
      </c>
      <c r="X38" s="25"/>
      <c r="Y38" s="25"/>
      <c r="Z38" s="25"/>
    </row>
    <row r="39" spans="1:26" x14ac:dyDescent="0.2">
      <c r="A39" s="69"/>
      <c r="B39" s="4"/>
      <c r="C39" s="4"/>
      <c r="D39" s="68"/>
      <c r="E39" s="216"/>
      <c r="F39" s="129">
        <f t="shared" si="45"/>
        <v>16.550788888888889</v>
      </c>
      <c r="G39" s="129">
        <f t="shared" si="46"/>
        <v>7.200805746627756</v>
      </c>
      <c r="H39" s="10">
        <f t="shared" si="47"/>
        <v>4.2146911330784445</v>
      </c>
      <c r="I39" s="122">
        <f t="shared" si="48"/>
        <v>2.595962184912628</v>
      </c>
      <c r="J39" s="10"/>
      <c r="K39" s="129">
        <f>IF(G39&lt;K38,K38,G39)</f>
        <v>7.200805746627756</v>
      </c>
      <c r="L39" s="10">
        <f t="shared" si="30"/>
        <v>4.2146911330784445</v>
      </c>
      <c r="M39" s="122">
        <f t="shared" si="31"/>
        <v>2.595962184912628</v>
      </c>
      <c r="O39" s="129">
        <f t="shared" si="49"/>
        <v>10.917856393743214</v>
      </c>
      <c r="P39" s="10">
        <f t="shared" si="50"/>
        <v>6.1663512116847414</v>
      </c>
      <c r="Q39" s="122">
        <f t="shared" si="51"/>
        <v>3.155495881656404</v>
      </c>
      <c r="R39" s="25"/>
      <c r="S39" s="144">
        <f t="shared" si="0"/>
        <v>0.49652366666666664</v>
      </c>
      <c r="T39" s="129">
        <f t="shared" si="4"/>
        <v>5.9719399354621663</v>
      </c>
      <c r="U39" s="10">
        <f t="shared" si="5"/>
        <v>3.3729220946933576</v>
      </c>
      <c r="V39" s="122">
        <f t="shared" si="6"/>
        <v>1.7260193935734136</v>
      </c>
      <c r="X39" s="25"/>
      <c r="Y39" s="25"/>
      <c r="Z39" s="25"/>
    </row>
    <row r="40" spans="1:26" x14ac:dyDescent="0.2">
      <c r="A40" s="69"/>
      <c r="B40" s="4"/>
      <c r="C40" s="4"/>
      <c r="D40" s="68"/>
      <c r="E40" s="216"/>
      <c r="F40" s="129">
        <f t="shared" si="45"/>
        <v>16.567718518518518</v>
      </c>
      <c r="G40" s="129">
        <f t="shared" si="46"/>
        <v>7.2046821496136166</v>
      </c>
      <c r="H40" s="10">
        <f t="shared" si="47"/>
        <v>4.2164047785323593</v>
      </c>
      <c r="I40" s="122">
        <f t="shared" si="48"/>
        <v>2.5965941258252871</v>
      </c>
      <c r="J40" s="10"/>
      <c r="K40" s="129">
        <f t="shared" si="29"/>
        <v>7.2046821496136166</v>
      </c>
      <c r="L40" s="10">
        <f t="shared" si="30"/>
        <v>4.2164047785323593</v>
      </c>
      <c r="M40" s="122">
        <f>IF(I40&lt;M39,M39,I40)</f>
        <v>2.5965941258252871</v>
      </c>
      <c r="O40" s="129">
        <f t="shared" si="49"/>
        <v>10.921732796729074</v>
      </c>
      <c r="P40" s="10">
        <f t="shared" si="50"/>
        <v>6.1680648571386563</v>
      </c>
      <c r="Q40" s="122">
        <f t="shared" si="51"/>
        <v>3.1561278225690632</v>
      </c>
      <c r="R40" s="25"/>
      <c r="S40" s="144">
        <f t="shared" si="0"/>
        <v>0.4970315555555555</v>
      </c>
      <c r="T40" s="129">
        <f t="shared" si="4"/>
        <v>5.9740602826221147</v>
      </c>
      <c r="U40" s="10">
        <f t="shared" si="5"/>
        <v>3.3738594387426271</v>
      </c>
      <c r="V40" s="122">
        <f t="shared" si="6"/>
        <v>1.7263650578720686</v>
      </c>
      <c r="X40" s="25"/>
      <c r="Y40" s="25"/>
      <c r="Z40" s="25"/>
    </row>
    <row r="41" spans="1:26" x14ac:dyDescent="0.2">
      <c r="A41" s="69"/>
      <c r="B41" s="4"/>
      <c r="C41" s="4"/>
      <c r="D41" s="68"/>
      <c r="E41" s="216"/>
      <c r="F41" s="129">
        <f t="shared" si="45"/>
        <v>16.584648148148148</v>
      </c>
      <c r="G41" s="129">
        <f t="shared" si="46"/>
        <v>7.2085585525994773</v>
      </c>
      <c r="H41" s="10">
        <f t="shared" si="47"/>
        <v>4.2181184239862759</v>
      </c>
      <c r="I41" s="122">
        <f t="shared" si="48"/>
        <v>2.5972260667379468</v>
      </c>
      <c r="J41" s="10"/>
      <c r="K41" s="129">
        <f t="shared" si="29"/>
        <v>7.2085585525994773</v>
      </c>
      <c r="L41" s="10">
        <f t="shared" si="30"/>
        <v>4.2181184239862759</v>
      </c>
      <c r="M41" s="122">
        <f t="shared" si="31"/>
        <v>2.5972260667379468</v>
      </c>
      <c r="O41" s="129">
        <f t="shared" si="49"/>
        <v>10.925609199714936</v>
      </c>
      <c r="P41" s="10">
        <f t="shared" si="50"/>
        <v>6.1697785025925729</v>
      </c>
      <c r="Q41" s="122">
        <f t="shared" si="51"/>
        <v>3.1567597634817228</v>
      </c>
      <c r="R41" s="25"/>
      <c r="S41" s="144">
        <f t="shared" si="0"/>
        <v>0.49753944444444442</v>
      </c>
      <c r="T41" s="129">
        <f t="shared" si="4"/>
        <v>5.976180629782065</v>
      </c>
      <c r="U41" s="10">
        <f t="shared" si="5"/>
        <v>3.3747967827918979</v>
      </c>
      <c r="V41" s="122">
        <f t="shared" si="6"/>
        <v>1.7267107221707243</v>
      </c>
      <c r="X41" s="25"/>
      <c r="Y41" s="25"/>
      <c r="Z41" s="25"/>
    </row>
    <row r="42" spans="1:26" x14ac:dyDescent="0.2">
      <c r="A42" s="69"/>
      <c r="B42" s="4"/>
      <c r="C42" s="4"/>
      <c r="D42" s="68"/>
      <c r="E42" s="216"/>
      <c r="F42" s="129">
        <f t="shared" si="45"/>
        <v>16.601577777777777</v>
      </c>
      <c r="G42" s="129">
        <f t="shared" si="46"/>
        <v>7.212434955585338</v>
      </c>
      <c r="H42" s="10">
        <f t="shared" si="47"/>
        <v>4.2198320694401907</v>
      </c>
      <c r="I42" s="122">
        <f t="shared" si="48"/>
        <v>2.5978580076506059</v>
      </c>
      <c r="J42" s="10"/>
      <c r="K42" s="129">
        <f t="shared" si="29"/>
        <v>7.212434955585338</v>
      </c>
      <c r="L42" s="10">
        <f t="shared" si="30"/>
        <v>4.2198320694401907</v>
      </c>
      <c r="M42" s="122">
        <f t="shared" si="31"/>
        <v>2.5978580076506059</v>
      </c>
      <c r="O42" s="129">
        <f t="shared" si="49"/>
        <v>10.929485602700797</v>
      </c>
      <c r="P42" s="10">
        <f t="shared" si="50"/>
        <v>6.1714921480464877</v>
      </c>
      <c r="Q42" s="122">
        <f t="shared" si="51"/>
        <v>3.157391704394382</v>
      </c>
      <c r="R42" s="25"/>
      <c r="S42" s="144">
        <f t="shared" si="0"/>
        <v>0.49804733333333329</v>
      </c>
      <c r="T42" s="129">
        <f t="shared" si="4"/>
        <v>5.9783009769420143</v>
      </c>
      <c r="U42" s="10">
        <f t="shared" si="5"/>
        <v>3.3757341268411674</v>
      </c>
      <c r="V42" s="122">
        <f t="shared" si="6"/>
        <v>1.7270563864693793</v>
      </c>
      <c r="X42" s="25"/>
      <c r="Y42" s="25"/>
      <c r="Z42" s="25"/>
    </row>
    <row r="43" spans="1:26" x14ac:dyDescent="0.2">
      <c r="A43" s="69"/>
      <c r="B43" s="4"/>
      <c r="C43" s="4"/>
      <c r="D43" s="68"/>
      <c r="E43" s="216"/>
      <c r="F43" s="129">
        <f t="shared" si="45"/>
        <v>16.618507407407407</v>
      </c>
      <c r="G43" s="129">
        <f t="shared" si="46"/>
        <v>7.2163113585711987</v>
      </c>
      <c r="H43" s="10">
        <f t="shared" si="47"/>
        <v>4.2215457148941073</v>
      </c>
      <c r="I43" s="122">
        <f t="shared" si="48"/>
        <v>2.5984899485632651</v>
      </c>
      <c r="J43" s="10"/>
      <c r="K43" s="129">
        <f t="shared" si="29"/>
        <v>7.2163113585711987</v>
      </c>
      <c r="L43" s="10">
        <f t="shared" si="30"/>
        <v>4.2215457148941073</v>
      </c>
      <c r="M43" s="122">
        <f t="shared" si="31"/>
        <v>2.5984899485632651</v>
      </c>
      <c r="O43" s="129">
        <f t="shared" si="49"/>
        <v>10.933362005686657</v>
      </c>
      <c r="P43" s="10">
        <f t="shared" si="50"/>
        <v>6.1732057935004043</v>
      </c>
      <c r="Q43" s="122">
        <f t="shared" si="51"/>
        <v>3.1580236453070412</v>
      </c>
      <c r="R43" s="25"/>
      <c r="S43" s="144">
        <f t="shared" si="0"/>
        <v>0.49855522222222215</v>
      </c>
      <c r="T43" s="129">
        <f t="shared" si="4"/>
        <v>5.9804213241019628</v>
      </c>
      <c r="U43" s="10">
        <f t="shared" si="5"/>
        <v>3.3766714708904386</v>
      </c>
      <c r="V43" s="122">
        <f t="shared" si="6"/>
        <v>1.7274020507680348</v>
      </c>
      <c r="X43" s="25"/>
      <c r="Y43" s="25"/>
      <c r="Z43" s="25"/>
    </row>
    <row r="44" spans="1:26" x14ac:dyDescent="0.2">
      <c r="A44" s="69"/>
      <c r="B44" s="4"/>
      <c r="C44" s="4"/>
      <c r="D44" s="68"/>
      <c r="E44" s="216"/>
      <c r="F44" s="129">
        <f t="shared" si="45"/>
        <v>16.635437037037036</v>
      </c>
      <c r="G44" s="129">
        <f t="shared" si="46"/>
        <v>7.2201877615570602</v>
      </c>
      <c r="H44" s="10">
        <f t="shared" si="47"/>
        <v>4.2232593603480222</v>
      </c>
      <c r="I44" s="122">
        <f t="shared" si="48"/>
        <v>2.5991218894759243</v>
      </c>
      <c r="J44" s="10"/>
      <c r="K44" s="129">
        <f t="shared" si="29"/>
        <v>7.2201877615570602</v>
      </c>
      <c r="L44" s="10">
        <f t="shared" si="30"/>
        <v>4.2232593603480222</v>
      </c>
      <c r="M44" s="122">
        <f t="shared" si="31"/>
        <v>2.5991218894759243</v>
      </c>
      <c r="O44" s="129">
        <f t="shared" si="49"/>
        <v>10.937238408672519</v>
      </c>
      <c r="P44" s="10">
        <f t="shared" si="50"/>
        <v>6.1749194389543192</v>
      </c>
      <c r="Q44" s="122">
        <f t="shared" si="51"/>
        <v>3.1586555862197003</v>
      </c>
      <c r="R44" s="25"/>
      <c r="S44" s="144">
        <f t="shared" si="0"/>
        <v>0.49906311111111107</v>
      </c>
      <c r="T44" s="129">
        <f t="shared" si="4"/>
        <v>5.9825416712619131</v>
      </c>
      <c r="U44" s="10">
        <f t="shared" si="5"/>
        <v>3.3776088149397085</v>
      </c>
      <c r="V44" s="122">
        <f t="shared" si="6"/>
        <v>1.7277477150666898</v>
      </c>
      <c r="X44" s="25"/>
      <c r="Y44" s="25"/>
      <c r="Z44" s="25"/>
    </row>
    <row r="45" spans="1:26" x14ac:dyDescent="0.2">
      <c r="A45" s="70"/>
      <c r="B45" s="138"/>
      <c r="C45" s="138"/>
      <c r="D45" s="73"/>
      <c r="E45" s="217"/>
      <c r="F45" s="130">
        <f>Input!I9</f>
        <v>16.652366666666666</v>
      </c>
      <c r="G45" s="130">
        <f>B$37*$F45+B$38</f>
        <v>7.2240641645429209</v>
      </c>
      <c r="H45" s="123">
        <f t="shared" si="47"/>
        <v>4.2249730058019388</v>
      </c>
      <c r="I45" s="124">
        <f t="shared" si="48"/>
        <v>2.5997538303885834</v>
      </c>
      <c r="J45" s="10"/>
      <c r="K45" s="130">
        <f t="shared" si="29"/>
        <v>7.2240641645429209</v>
      </c>
      <c r="L45" s="123">
        <f t="shared" si="30"/>
        <v>4.2249730058019388</v>
      </c>
      <c r="M45" s="124">
        <f t="shared" si="31"/>
        <v>2.5997538303885834</v>
      </c>
      <c r="O45" s="130">
        <f t="shared" si="49"/>
        <v>10.94111481165838</v>
      </c>
      <c r="P45" s="123">
        <f t="shared" si="50"/>
        <v>6.1766330844082358</v>
      </c>
      <c r="Q45" s="124">
        <f t="shared" si="51"/>
        <v>3.1592875271323595</v>
      </c>
      <c r="R45" s="25"/>
      <c r="S45" s="143">
        <f t="shared" si="0"/>
        <v>0.49957099999999993</v>
      </c>
      <c r="T45" s="130">
        <f t="shared" si="4"/>
        <v>5.9846620184218624</v>
      </c>
      <c r="U45" s="123">
        <f t="shared" si="5"/>
        <v>3.3785461589889789</v>
      </c>
      <c r="V45" s="124">
        <f t="shared" si="6"/>
        <v>1.7280933793653452</v>
      </c>
      <c r="X45" s="25"/>
      <c r="Y45" s="25"/>
      <c r="Z45" s="25"/>
    </row>
    <row r="46" spans="1:26" x14ac:dyDescent="0.2">
      <c r="A46" s="86"/>
      <c r="B46" s="139"/>
      <c r="C46" s="139"/>
      <c r="D46" s="87"/>
      <c r="E46" s="32" t="s">
        <v>30</v>
      </c>
      <c r="F46" s="131">
        <f>F45+2</f>
        <v>18.652366666666666</v>
      </c>
      <c r="G46" s="131">
        <f>G45</f>
        <v>7.2240641645429209</v>
      </c>
      <c r="H46" s="118">
        <f t="shared" ref="H46:I46" si="52">H45</f>
        <v>4.2249730058019388</v>
      </c>
      <c r="I46" s="119">
        <f t="shared" si="52"/>
        <v>2.5997538303885834</v>
      </c>
      <c r="J46" s="10"/>
      <c r="K46" s="131">
        <f t="shared" si="29"/>
        <v>7.2240641645429209</v>
      </c>
      <c r="L46" s="118">
        <f t="shared" si="30"/>
        <v>4.2249730058019388</v>
      </c>
      <c r="M46" s="119">
        <f t="shared" si="31"/>
        <v>2.5997538303885834</v>
      </c>
      <c r="O46" s="131">
        <f>O45</f>
        <v>10.94111481165838</v>
      </c>
      <c r="P46" s="118">
        <f t="shared" ref="P46" si="53">P45</f>
        <v>6.1766330844082358</v>
      </c>
      <c r="Q46" s="119">
        <f>Q45</f>
        <v>3.1592875271323595</v>
      </c>
      <c r="R46" s="25"/>
      <c r="S46" s="145">
        <f t="shared" si="0"/>
        <v>0.55957099999999993</v>
      </c>
      <c r="T46" s="131">
        <f t="shared" si="4"/>
        <v>5.9846620184218624</v>
      </c>
      <c r="U46" s="118">
        <f t="shared" si="5"/>
        <v>3.3785461589889789</v>
      </c>
      <c r="V46" s="119">
        <f t="shared" si="6"/>
        <v>1.7280933793653452</v>
      </c>
      <c r="X46" s="25"/>
      <c r="Y46" s="25"/>
      <c r="Z46" s="25"/>
    </row>
  </sheetData>
  <sheetProtection algorithmName="SHA-512" hashValue="CzDR29ZacZqJshUbSQJTN/vCuiZUSak48oooVbugJ2HIaAltOnpZ/oRSvLq46usFFAg1ZY/DoKGUSRpUwhp2Yg==" saltValue="OTp2fDpGdOhr8t1w33lg0Q==" spinCount="100000" sheet="1" objects="1" scenarios="1"/>
  <mergeCells count="13">
    <mergeCell ref="E36:E45"/>
    <mergeCell ref="E4:E5"/>
    <mergeCell ref="E6:E15"/>
    <mergeCell ref="E16:E25"/>
    <mergeCell ref="G3:I3"/>
    <mergeCell ref="E26:E35"/>
    <mergeCell ref="A3:D3"/>
    <mergeCell ref="O3:Q3"/>
    <mergeCell ref="O1:Q1"/>
    <mergeCell ref="T1:V1"/>
    <mergeCell ref="T3:V3"/>
    <mergeCell ref="K3:M3"/>
    <mergeCell ref="K1:M1"/>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7CE0-71CC-0145-BA60-F06F4C874F1E}">
  <dimension ref="A1:P26"/>
  <sheetViews>
    <sheetView workbookViewId="0">
      <selection activeCell="L24" sqref="L24"/>
    </sheetView>
  </sheetViews>
  <sheetFormatPr baseColWidth="10" defaultRowHeight="16" x14ac:dyDescent="0.2"/>
  <sheetData>
    <row r="1" spans="1:15" ht="22" thickBot="1" x14ac:dyDescent="0.3">
      <c r="A1" s="206" t="s">
        <v>81</v>
      </c>
      <c r="B1" s="207"/>
      <c r="C1" s="207"/>
      <c r="D1" s="207"/>
      <c r="E1" s="208"/>
      <c r="F1" s="206" t="s">
        <v>82</v>
      </c>
      <c r="G1" s="207"/>
      <c r="H1" s="207"/>
      <c r="I1" s="207"/>
      <c r="J1" s="208"/>
      <c r="K1" s="206" t="s">
        <v>83</v>
      </c>
      <c r="L1" s="207"/>
      <c r="M1" s="207"/>
      <c r="N1" s="207"/>
      <c r="O1" s="208"/>
    </row>
    <row r="2" spans="1:15" ht="17" thickBot="1" x14ac:dyDescent="0.25">
      <c r="A2" s="203" t="s">
        <v>70</v>
      </c>
      <c r="B2" s="204"/>
      <c r="C2" s="204"/>
      <c r="D2" s="204"/>
      <c r="E2" s="205"/>
      <c r="F2" s="204" t="s">
        <v>70</v>
      </c>
      <c r="G2" s="204"/>
      <c r="H2" s="204"/>
      <c r="I2" s="204"/>
      <c r="J2" s="205"/>
      <c r="K2" s="203" t="s">
        <v>70</v>
      </c>
      <c r="L2" s="204"/>
      <c r="M2" s="204"/>
      <c r="N2" s="204"/>
      <c r="O2" s="205"/>
    </row>
    <row r="3" spans="1:15" x14ac:dyDescent="0.2">
      <c r="A3" s="106"/>
      <c r="B3" s="4"/>
      <c r="C3" s="4"/>
      <c r="D3" s="4"/>
      <c r="E3" s="107"/>
      <c r="K3" s="106"/>
      <c r="L3" s="4"/>
      <c r="M3" s="4"/>
      <c r="N3" s="4"/>
      <c r="O3" s="107"/>
    </row>
    <row r="4" spans="1:15" x14ac:dyDescent="0.2">
      <c r="A4" s="108"/>
      <c r="B4" s="155" t="s">
        <v>99</v>
      </c>
      <c r="C4" s="155" t="s">
        <v>100</v>
      </c>
      <c r="D4" s="7"/>
      <c r="E4" s="109"/>
      <c r="F4" s="105"/>
      <c r="G4" s="155" t="s">
        <v>101</v>
      </c>
      <c r="H4" s="155" t="s">
        <v>102</v>
      </c>
      <c r="I4" s="7"/>
      <c r="J4" s="22"/>
      <c r="K4" s="108"/>
      <c r="L4" s="155" t="s">
        <v>103</v>
      </c>
      <c r="M4" s="155" t="s">
        <v>104</v>
      </c>
      <c r="N4" s="7"/>
      <c r="O4" s="109"/>
    </row>
    <row r="5" spans="1:15" x14ac:dyDescent="0.2">
      <c r="A5" s="20"/>
      <c r="B5" s="7">
        <f>-0.5563*(T_star*T_star)+0.711*T_star+0.0115</f>
        <v>0.23494011460091838</v>
      </c>
      <c r="C5" s="7">
        <f>0.5563*(T_star*T_star)-0.711*T_star+0.9885</f>
        <v>0.76505988539908165</v>
      </c>
      <c r="D5" s="7"/>
      <c r="E5" s="101"/>
      <c r="F5" s="1"/>
      <c r="G5" s="7">
        <f>-0.634*(T_star*T_star)+0.9239*T_star+0.08742</f>
        <v>0.40534548198970205</v>
      </c>
      <c r="H5" s="7">
        <f>0.634*(T_star*T_star)-0.9239*T_star+0.9126</f>
        <v>0.59467451801029791</v>
      </c>
      <c r="I5" s="7"/>
      <c r="J5" s="9"/>
      <c r="K5" s="20"/>
      <c r="L5" s="7">
        <f>-1.053*(T_star*T_star)+1.509*T_star+0.1239</f>
        <v>0.63773785819088957</v>
      </c>
      <c r="M5" s="7">
        <f>1.053*(T_star*T_star)-1.509*T_star+0.8761</f>
        <v>0.36226214180911043</v>
      </c>
      <c r="N5" s="7"/>
      <c r="O5" s="101"/>
    </row>
    <row r="6" spans="1:15" x14ac:dyDescent="0.2">
      <c r="A6" s="20"/>
      <c r="B6" s="7"/>
      <c r="C6" s="7"/>
      <c r="D6" s="7"/>
      <c r="E6" s="101"/>
      <c r="F6" s="1"/>
      <c r="G6" s="7"/>
      <c r="H6" s="7"/>
      <c r="I6" s="7"/>
      <c r="J6" s="9"/>
      <c r="K6" s="20"/>
      <c r="L6" s="7"/>
      <c r="M6" s="7"/>
      <c r="N6" s="7"/>
      <c r="O6" s="101"/>
    </row>
    <row r="7" spans="1:15" ht="17" thickBot="1" x14ac:dyDescent="0.25">
      <c r="A7" s="152"/>
      <c r="B7" s="149"/>
      <c r="C7" s="149"/>
      <c r="D7" s="149"/>
      <c r="E7" s="153"/>
      <c r="F7" s="149"/>
      <c r="G7" s="149"/>
      <c r="H7" s="149"/>
      <c r="I7" s="149"/>
      <c r="J7" s="154"/>
      <c r="K7" s="152"/>
      <c r="L7" s="149"/>
      <c r="M7" s="149"/>
      <c r="N7" s="149"/>
      <c r="O7" s="153"/>
    </row>
    <row r="8" spans="1:15" ht="17" thickBot="1" x14ac:dyDescent="0.25">
      <c r="A8" s="203" t="s">
        <v>14</v>
      </c>
      <c r="B8" s="204"/>
      <c r="C8" s="204"/>
      <c r="D8" s="204"/>
      <c r="E8" s="205"/>
      <c r="F8" s="204" t="s">
        <v>14</v>
      </c>
      <c r="G8" s="204"/>
      <c r="H8" s="204"/>
      <c r="I8" s="204"/>
      <c r="J8" s="205"/>
      <c r="K8" s="203" t="s">
        <v>14</v>
      </c>
      <c r="L8" s="204"/>
      <c r="M8" s="204"/>
      <c r="N8" s="204"/>
      <c r="O8" s="205"/>
    </row>
    <row r="9" spans="1:15" x14ac:dyDescent="0.2">
      <c r="A9" s="20"/>
      <c r="B9" s="7"/>
      <c r="C9" s="7"/>
      <c r="D9" s="7"/>
      <c r="E9" s="101"/>
      <c r="F9" s="1"/>
      <c r="G9" s="7"/>
      <c r="H9" s="7"/>
      <c r="I9" s="7"/>
      <c r="J9" s="9"/>
      <c r="K9" s="20"/>
      <c r="L9" s="7"/>
      <c r="M9" s="7"/>
      <c r="N9" s="7"/>
      <c r="O9" s="101"/>
    </row>
    <row r="10" spans="1:15" x14ac:dyDescent="0.2">
      <c r="A10" s="20"/>
      <c r="B10" s="155" t="s">
        <v>105</v>
      </c>
      <c r="C10" s="155" t="s">
        <v>106</v>
      </c>
      <c r="D10" s="7"/>
      <c r="E10" s="109"/>
      <c r="F10" s="105"/>
      <c r="G10" s="155" t="s">
        <v>107</v>
      </c>
      <c r="H10" s="155" t="s">
        <v>108</v>
      </c>
      <c r="I10" s="7"/>
      <c r="J10" s="22"/>
      <c r="K10" s="108"/>
      <c r="L10" s="155" t="s">
        <v>109</v>
      </c>
      <c r="M10" s="155" t="s">
        <v>110</v>
      </c>
      <c r="N10" s="7"/>
      <c r="O10" s="101"/>
    </row>
    <row r="11" spans="1:15" x14ac:dyDescent="0.2">
      <c r="A11" s="20"/>
      <c r="B11" s="7">
        <f>0.2186*(T_star/((Input!$H$6-Input!$H$7)/Input!$H$7))^0.34</f>
        <v>0.24269690392211943</v>
      </c>
      <c r="C11" s="7">
        <f>0.7782*(T_star/((Input!$H$6-Input!$H$7)/Input!$H$7))^-0.08327</f>
        <v>0.75852305297287426</v>
      </c>
      <c r="D11" s="7"/>
      <c r="E11" s="101"/>
      <c r="F11" s="1"/>
      <c r="G11" s="7">
        <f>0.377*(T_star/((Input!$H$6-Input!$H$7)/Input!$H$7))^0.2951</f>
        <v>0.41281749947581448</v>
      </c>
      <c r="H11" s="7">
        <f>0.6189*(T_star/((Input!$H$6-Input!$H$7)/Input!$H$7))^-0.1445</f>
        <v>0.59199699106079418</v>
      </c>
      <c r="I11" s="7"/>
      <c r="J11" s="9"/>
      <c r="K11" s="20"/>
      <c r="L11" s="7">
        <f>0.5857*(T_star/((Input!$H$6-Input!$H$7)/Input!$H$7))^0.2825</f>
        <v>0.6388648297927465</v>
      </c>
      <c r="M11" s="7">
        <f>0.4087*(T_star/((Input!$H$6-Input!$H$7)/Input!$H$7))^-0.3054</f>
        <v>0.37205925282908398</v>
      </c>
      <c r="N11" s="7"/>
      <c r="O11" s="101"/>
    </row>
    <row r="12" spans="1:15" x14ac:dyDescent="0.2">
      <c r="A12" s="106"/>
      <c r="B12" s="4"/>
      <c r="C12" s="4"/>
      <c r="D12" s="4"/>
      <c r="E12" s="107"/>
      <c r="G12" s="4"/>
      <c r="H12" s="4"/>
      <c r="I12" s="4"/>
      <c r="K12" s="106"/>
      <c r="L12" s="4"/>
      <c r="M12" s="4"/>
      <c r="N12" s="4"/>
      <c r="O12" s="107"/>
    </row>
    <row r="13" spans="1:15" ht="17" thickBot="1" x14ac:dyDescent="0.25">
      <c r="A13" s="156"/>
      <c r="B13" s="157"/>
      <c r="C13" s="138"/>
      <c r="D13" s="138"/>
      <c r="E13" s="158"/>
      <c r="F13" s="71"/>
      <c r="G13" s="157"/>
      <c r="H13" s="138"/>
      <c r="I13" s="138"/>
      <c r="J13" s="138"/>
      <c r="K13" s="156"/>
      <c r="L13" s="157"/>
      <c r="M13" s="138"/>
      <c r="N13" s="138"/>
      <c r="O13" s="158"/>
    </row>
    <row r="14" spans="1:15" ht="17" thickBot="1" x14ac:dyDescent="0.25">
      <c r="A14" s="203" t="s">
        <v>18</v>
      </c>
      <c r="B14" s="204"/>
      <c r="C14" s="204"/>
      <c r="D14" s="204"/>
      <c r="E14" s="205"/>
      <c r="F14" s="203" t="s">
        <v>18</v>
      </c>
      <c r="G14" s="204"/>
      <c r="H14" s="204"/>
      <c r="I14" s="204"/>
      <c r="J14" s="205"/>
      <c r="K14" s="203" t="s">
        <v>18</v>
      </c>
      <c r="L14" s="204"/>
      <c r="M14" s="204"/>
      <c r="N14" s="204"/>
      <c r="O14" s="205"/>
    </row>
    <row r="15" spans="1:15" x14ac:dyDescent="0.2">
      <c r="A15" s="20"/>
      <c r="B15" s="7"/>
      <c r="C15" s="7"/>
      <c r="D15" s="7"/>
      <c r="E15" s="101"/>
      <c r="F15" s="1"/>
      <c r="G15" s="7"/>
      <c r="H15" s="7"/>
      <c r="I15" s="7"/>
      <c r="J15" s="9"/>
      <c r="K15" s="20"/>
      <c r="L15" s="7"/>
      <c r="M15" s="7"/>
      <c r="N15" s="7"/>
      <c r="O15" s="101"/>
    </row>
    <row r="16" spans="1:15" x14ac:dyDescent="0.2">
      <c r="A16" s="20"/>
      <c r="B16" s="155" t="s">
        <v>111</v>
      </c>
      <c r="C16" s="155" t="s">
        <v>112</v>
      </c>
      <c r="D16" s="7"/>
      <c r="E16" s="109"/>
      <c r="F16" s="105"/>
      <c r="G16" s="155" t="s">
        <v>113</v>
      </c>
      <c r="H16" s="155" t="s">
        <v>114</v>
      </c>
      <c r="I16" s="7"/>
      <c r="J16" s="22"/>
      <c r="K16" s="108"/>
      <c r="L16" s="155" t="s">
        <v>115</v>
      </c>
      <c r="M16" s="155" t="s">
        <v>116</v>
      </c>
      <c r="N16" s="7"/>
      <c r="O16" s="101"/>
    </row>
    <row r="17" spans="1:16" x14ac:dyDescent="0.2">
      <c r="A17" s="20"/>
      <c r="B17" s="7">
        <f>0.07401*(T_star)^2+0.04584*(T_star)-0.00548</f>
        <v>4.3020922322123817E-2</v>
      </c>
      <c r="C17" s="7">
        <f>-2.158*(Input!$H$8)^2+2.196*(Input!$H$8)+0.9244</f>
        <v>1.3961993697839161</v>
      </c>
      <c r="D17" s="7"/>
      <c r="E17" s="101"/>
      <c r="F17" s="1"/>
      <c r="G17" s="7">
        <f>0.04537*(T_star)^2+0.08579*(T_star)-0.01045</f>
        <v>5.1417949366529034E-2</v>
      </c>
      <c r="H17" s="7">
        <f>-1.549*(Input!$H$8)^2+1.754*(Input!$H$8)+1.288</f>
        <v>1.7527389411492873</v>
      </c>
      <c r="I17" s="7"/>
      <c r="J17" s="9"/>
      <c r="K17" s="20"/>
      <c r="L17" s="7">
        <f>-0.06217*(T_star)^2+0.2534*(T_star)-0.0286</f>
        <v>9.3264969152875535E-2</v>
      </c>
      <c r="M17" s="7">
        <f>-2.174*(Input!$H$8)^2+2.179*(Input!$H$8)+1.552</f>
        <v>2.0036860797162066</v>
      </c>
      <c r="N17" s="7"/>
      <c r="O17" s="101"/>
    </row>
    <row r="18" spans="1:16" x14ac:dyDescent="0.2">
      <c r="A18" s="106"/>
      <c r="B18" s="4"/>
      <c r="C18" s="4"/>
      <c r="D18" s="4"/>
      <c r="E18" s="107"/>
      <c r="G18" s="4"/>
      <c r="H18" s="4"/>
      <c r="I18" s="4"/>
      <c r="K18" s="106"/>
      <c r="L18" s="4"/>
      <c r="M18" s="4"/>
      <c r="N18" s="4"/>
      <c r="O18" s="107"/>
    </row>
    <row r="19" spans="1:16" ht="17" thickBot="1" x14ac:dyDescent="0.25">
      <c r="A19" s="156"/>
      <c r="B19" s="157"/>
      <c r="C19" s="138"/>
      <c r="D19" s="138"/>
      <c r="E19" s="158"/>
      <c r="F19" s="71"/>
      <c r="G19" s="157"/>
      <c r="H19" s="138"/>
      <c r="I19" s="138"/>
      <c r="J19" s="138"/>
      <c r="K19" s="156"/>
      <c r="L19" s="157"/>
      <c r="M19" s="138"/>
      <c r="N19" s="138"/>
      <c r="O19" s="158"/>
    </row>
    <row r="20" spans="1:16" ht="17" thickBot="1" x14ac:dyDescent="0.25">
      <c r="A20" s="203" t="s">
        <v>18</v>
      </c>
      <c r="B20" s="204"/>
      <c r="C20" s="204"/>
      <c r="D20" s="204"/>
      <c r="E20" s="205"/>
      <c r="F20" s="203" t="s">
        <v>18</v>
      </c>
      <c r="G20" s="204"/>
      <c r="H20" s="204"/>
      <c r="I20" s="204"/>
      <c r="J20" s="205"/>
      <c r="K20" s="203" t="s">
        <v>18</v>
      </c>
      <c r="L20" s="204"/>
      <c r="M20" s="204"/>
      <c r="N20" s="204"/>
      <c r="O20" s="205"/>
    </row>
    <row r="21" spans="1:16" x14ac:dyDescent="0.2">
      <c r="A21" s="20"/>
      <c r="B21" s="7"/>
      <c r="C21" s="7"/>
      <c r="D21" s="7"/>
      <c r="E21" s="101"/>
      <c r="F21" s="1"/>
      <c r="G21" s="7"/>
      <c r="H21" s="7"/>
      <c r="I21" s="7"/>
      <c r="J21" s="9"/>
      <c r="K21" s="20"/>
      <c r="L21" s="7"/>
      <c r="M21" s="7"/>
      <c r="N21" s="7"/>
      <c r="O21" s="101"/>
    </row>
    <row r="22" spans="1:16" x14ac:dyDescent="0.2">
      <c r="A22" s="20"/>
      <c r="B22" s="155" t="s">
        <v>117</v>
      </c>
      <c r="C22" s="155" t="s">
        <v>118</v>
      </c>
      <c r="D22" s="7"/>
      <c r="E22" s="109"/>
      <c r="F22" s="105"/>
      <c r="G22" s="155" t="s">
        <v>119</v>
      </c>
      <c r="H22" s="155" t="s">
        <v>120</v>
      </c>
      <c r="I22" s="7"/>
      <c r="J22" s="22"/>
      <c r="K22" s="108"/>
      <c r="L22" s="155" t="s">
        <v>121</v>
      </c>
      <c r="M22" s="155" t="s">
        <v>122</v>
      </c>
      <c r="N22" s="7"/>
      <c r="O22" s="101"/>
    </row>
    <row r="23" spans="1:16" x14ac:dyDescent="0.2">
      <c r="A23" s="20"/>
      <c r="B23" s="7">
        <f>0.01552*(T_star)-0.001861</f>
        <v>6.7844280112799322E-3</v>
      </c>
      <c r="C23" s="7">
        <f>-1.662*(T_star)^2+2.049*(T_star)+1.173</f>
        <v>1.7986691871898728</v>
      </c>
      <c r="D23" s="7"/>
      <c r="E23" s="101"/>
      <c r="F23" s="1"/>
      <c r="G23" s="7">
        <f>0.02035*(T_star)-0.002569</f>
        <v>8.7669832493264561E-3</v>
      </c>
      <c r="H23" s="7">
        <f>-2.008*(T_star)^2+2.549*(T_star)+1.405</f>
        <v>2.2018288487553739</v>
      </c>
      <c r="I23" s="7"/>
      <c r="J23" s="9"/>
      <c r="K23" s="20"/>
      <c r="L23" s="7">
        <f>0.02875*(T_star)-0.003179</f>
        <v>1.2836209750276937E-2</v>
      </c>
      <c r="M23" s="7">
        <f>-3.886*(T_star)^2+4.641*(T_star)+1.553</f>
        <v>2.9324252172427054</v>
      </c>
      <c r="N23" s="7"/>
      <c r="O23" s="101"/>
    </row>
    <row r="24" spans="1:16" x14ac:dyDescent="0.2">
      <c r="A24" s="106"/>
      <c r="B24" s="4"/>
      <c r="C24" s="4"/>
      <c r="D24" s="4"/>
      <c r="E24" s="107"/>
      <c r="G24" s="4"/>
      <c r="H24" s="4"/>
      <c r="I24" s="4"/>
      <c r="K24" s="106"/>
      <c r="L24" s="4"/>
      <c r="M24" s="4"/>
      <c r="N24" s="4"/>
      <c r="O24" s="107"/>
    </row>
    <row r="25" spans="1:16" x14ac:dyDescent="0.2">
      <c r="A25" s="156"/>
      <c r="B25" s="157"/>
      <c r="C25" s="138"/>
      <c r="D25" s="138"/>
      <c r="E25" s="158"/>
      <c r="F25" s="71"/>
      <c r="G25" s="157"/>
      <c r="H25" s="138"/>
      <c r="I25" s="138"/>
      <c r="J25" s="138"/>
      <c r="K25" s="156"/>
      <c r="L25" s="157"/>
      <c r="M25" s="138"/>
      <c r="N25" s="138"/>
      <c r="O25" s="158"/>
    </row>
    <row r="26" spans="1:16" x14ac:dyDescent="0.2">
      <c r="A26" s="4"/>
      <c r="B26" s="4"/>
      <c r="C26" s="4"/>
      <c r="D26" s="4"/>
      <c r="E26" s="4"/>
      <c r="F26" s="4"/>
      <c r="G26" s="4"/>
      <c r="H26" s="4"/>
      <c r="I26" s="4"/>
      <c r="J26" s="4"/>
      <c r="K26" s="4"/>
      <c r="L26" s="4"/>
      <c r="M26" s="4"/>
      <c r="N26" s="4"/>
      <c r="O26" s="4"/>
      <c r="P26" s="4"/>
    </row>
  </sheetData>
  <mergeCells count="15">
    <mergeCell ref="A1:E1"/>
    <mergeCell ref="F1:J1"/>
    <mergeCell ref="K1:O1"/>
    <mergeCell ref="A2:E2"/>
    <mergeCell ref="F2:J2"/>
    <mergeCell ref="K2:O2"/>
    <mergeCell ref="A20:E20"/>
    <mergeCell ref="F20:J20"/>
    <mergeCell ref="K20:O20"/>
    <mergeCell ref="A8:E8"/>
    <mergeCell ref="F8:J8"/>
    <mergeCell ref="K8:O8"/>
    <mergeCell ref="A14:E14"/>
    <mergeCell ref="F14:J14"/>
    <mergeCell ref="K14:O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AF5D5-C072-D545-B3E9-8B6C0AE7170A}">
  <dimension ref="A1:M46"/>
  <sheetViews>
    <sheetView topLeftCell="A12" zoomScale="91" workbookViewId="0">
      <selection activeCell="L46" sqref="L46"/>
    </sheetView>
  </sheetViews>
  <sheetFormatPr baseColWidth="10" defaultRowHeight="16" x14ac:dyDescent="0.2"/>
  <cols>
    <col min="11" max="13" width="11.6640625" bestFit="1" customWidth="1"/>
  </cols>
  <sheetData>
    <row r="1" spans="1:13" x14ac:dyDescent="0.2">
      <c r="A1" s="159"/>
      <c r="B1" s="159"/>
      <c r="C1" s="159"/>
      <c r="D1" s="159"/>
      <c r="E1" s="159"/>
      <c r="G1" s="202" t="s">
        <v>98</v>
      </c>
      <c r="H1" s="202"/>
      <c r="I1" s="202"/>
      <c r="K1" s="202" t="s">
        <v>89</v>
      </c>
      <c r="L1" s="202"/>
      <c r="M1" s="202"/>
    </row>
    <row r="2" spans="1:13" x14ac:dyDescent="0.2">
      <c r="A2" s="159"/>
      <c r="B2" s="159"/>
      <c r="C2" s="160" t="s">
        <v>85</v>
      </c>
      <c r="D2" s="161" t="s">
        <v>86</v>
      </c>
      <c r="E2" s="162" t="s">
        <v>87</v>
      </c>
      <c r="G2" s="160" t="s">
        <v>85</v>
      </c>
      <c r="H2" s="161" t="s">
        <v>86</v>
      </c>
      <c r="I2" s="162" t="s">
        <v>87</v>
      </c>
      <c r="K2" s="125" t="s">
        <v>85</v>
      </c>
      <c r="L2" s="126" t="s">
        <v>86</v>
      </c>
      <c r="M2" s="127" t="s">
        <v>87</v>
      </c>
    </row>
    <row r="3" spans="1:13" x14ac:dyDescent="0.2">
      <c r="A3" s="159"/>
      <c r="B3" s="163" t="s">
        <v>27</v>
      </c>
      <c r="C3" s="221" t="s">
        <v>25</v>
      </c>
      <c r="D3" s="222"/>
      <c r="E3" s="226"/>
      <c r="F3" s="163" t="s">
        <v>27</v>
      </c>
      <c r="G3" s="221" t="s">
        <v>25</v>
      </c>
      <c r="H3" s="222"/>
      <c r="I3" s="222"/>
      <c r="J3" s="32" t="s">
        <v>91</v>
      </c>
      <c r="K3" s="223" t="s">
        <v>132</v>
      </c>
      <c r="L3" s="224"/>
      <c r="M3" s="225"/>
    </row>
    <row r="4" spans="1:13" x14ac:dyDescent="0.2">
      <c r="A4" s="227" t="s">
        <v>26</v>
      </c>
      <c r="B4" s="164">
        <v>0</v>
      </c>
      <c r="C4" s="165">
        <v>0</v>
      </c>
      <c r="D4" s="166">
        <v>0</v>
      </c>
      <c r="E4" s="167">
        <v>0</v>
      </c>
      <c r="F4" s="164">
        <v>0</v>
      </c>
      <c r="G4" s="165">
        <v>0</v>
      </c>
      <c r="H4" s="166">
        <v>0</v>
      </c>
      <c r="I4" s="167">
        <v>0</v>
      </c>
      <c r="J4" s="43">
        <f>F4*Gamma*Delta_ystar</f>
        <v>0</v>
      </c>
      <c r="K4" s="128">
        <f t="shared" ref="K4:M6" si="0">G4*Gamma*Sa_y</f>
        <v>0</v>
      </c>
      <c r="L4" s="120">
        <f t="shared" si="0"/>
        <v>0</v>
      </c>
      <c r="M4" s="121">
        <f t="shared" si="0"/>
        <v>0</v>
      </c>
    </row>
    <row r="5" spans="1:13" x14ac:dyDescent="0.2">
      <c r="A5" s="228"/>
      <c r="B5" s="168">
        <v>1</v>
      </c>
      <c r="C5" s="164">
        <v>1</v>
      </c>
      <c r="D5" s="176">
        <v>1</v>
      </c>
      <c r="E5" s="177">
        <v>1</v>
      </c>
      <c r="F5" s="168">
        <v>1</v>
      </c>
      <c r="G5" s="164">
        <v>1</v>
      </c>
      <c r="H5" s="176">
        <v>1</v>
      </c>
      <c r="I5" s="177">
        <v>1</v>
      </c>
      <c r="J5" s="182">
        <f>F5*Gamma*Delta_ystar</f>
        <v>0.03</v>
      </c>
      <c r="K5" s="130">
        <f t="shared" si="0"/>
        <v>0.54698832079203341</v>
      </c>
      <c r="L5" s="123">
        <f t="shared" si="0"/>
        <v>0.54698832079203341</v>
      </c>
      <c r="M5" s="124">
        <f t="shared" si="0"/>
        <v>0.54698832079203341</v>
      </c>
    </row>
    <row r="6" spans="1:13" x14ac:dyDescent="0.2">
      <c r="A6" s="229" t="s">
        <v>3</v>
      </c>
      <c r="B6" s="169">
        <v>1</v>
      </c>
      <c r="C6" s="175">
        <f>'Coefficients (AvgSa) - IDA'!$B$5*'Output (AvgSa) - IDA'!B6+'Coefficients (AvgSa) - IDA'!$C$5</f>
        <v>1</v>
      </c>
      <c r="D6" s="179">
        <f>'Coefficients (AvgSa) - IDA'!$G$5*'Output (AvgSa) - IDA'!B6+'Coefficients (AvgSa) - IDA'!$H$5</f>
        <v>1.0000199999999999</v>
      </c>
      <c r="E6" s="180">
        <f>'Coefficients (AvgSa) - IDA'!$L$5*'Output (AvgSa) - IDA'!B6+'Coefficients (AvgSa) - IDA'!$M$5</f>
        <v>1</v>
      </c>
      <c r="F6" s="169">
        <f>B6</f>
        <v>1</v>
      </c>
      <c r="G6" s="175">
        <f>C6</f>
        <v>1</v>
      </c>
      <c r="H6" s="179">
        <f t="shared" ref="H6:I6" si="1">D6</f>
        <v>1.0000199999999999</v>
      </c>
      <c r="I6" s="180">
        <f t="shared" si="1"/>
        <v>1</v>
      </c>
      <c r="J6" s="43">
        <f>F6*Gamma*Delta_ystar</f>
        <v>0.03</v>
      </c>
      <c r="K6" s="128">
        <f t="shared" si="0"/>
        <v>0.54698832079203341</v>
      </c>
      <c r="L6" s="120">
        <f t="shared" si="0"/>
        <v>0.54699926055844927</v>
      </c>
      <c r="M6" s="121">
        <f t="shared" si="0"/>
        <v>0.54698832079203341</v>
      </c>
    </row>
    <row r="7" spans="1:13" x14ac:dyDescent="0.2">
      <c r="A7" s="230"/>
      <c r="B7" s="169">
        <f t="shared" ref="B7:B14" si="2">B6+($B$15-$B$6)/9</f>
        <v>1.1481481481481481</v>
      </c>
      <c r="C7" s="169">
        <f>'Coefficients (AvgSa) - IDA'!$B$5*'Output (AvgSa) - IDA'!B7+'Coefficients (AvgSa) - IDA'!$C$5</f>
        <v>1.0348059429038399</v>
      </c>
      <c r="D7" s="178">
        <f>'Coefficients (AvgSa) - IDA'!$G$5*'Output (AvgSa) - IDA'!B7+'Coefficients (AvgSa) - IDA'!$H$5</f>
        <v>1.0600711825169928</v>
      </c>
      <c r="E7" s="170">
        <f>'Coefficients (AvgSa) - IDA'!$L$5*'Output (AvgSa) - IDA'!B7+'Coefficients (AvgSa) - IDA'!$M$5</f>
        <v>1.0944796826949466</v>
      </c>
      <c r="F7" s="169"/>
      <c r="G7" s="169"/>
      <c r="H7" s="178"/>
      <c r="I7" s="170"/>
      <c r="J7" s="183"/>
      <c r="K7" s="129"/>
      <c r="L7" s="10"/>
      <c r="M7" s="122"/>
    </row>
    <row r="8" spans="1:13" x14ac:dyDescent="0.2">
      <c r="A8" s="230"/>
      <c r="B8" s="169">
        <f t="shared" si="2"/>
        <v>1.2962962962962963</v>
      </c>
      <c r="C8" s="169">
        <f>'Coefficients (AvgSa) - IDA'!$B$5*'Output (AvgSa) - IDA'!B8+'Coefficients (AvgSa) - IDA'!$C$5</f>
        <v>1.0696118858076795</v>
      </c>
      <c r="D8" s="178">
        <f>'Coefficients (AvgSa) - IDA'!$G$5*'Output (AvgSa) - IDA'!B8+'Coefficients (AvgSa) - IDA'!$H$5</f>
        <v>1.1201223650339858</v>
      </c>
      <c r="E8" s="170">
        <f>'Coefficients (AvgSa) - IDA'!$L$5*'Output (AvgSa) - IDA'!B8+'Coefficients (AvgSa) - IDA'!$M$5</f>
        <v>1.1889593653898931</v>
      </c>
      <c r="F8" s="169"/>
      <c r="G8" s="169"/>
      <c r="H8" s="178"/>
      <c r="I8" s="170"/>
      <c r="J8" s="183"/>
      <c r="K8" s="129"/>
      <c r="L8" s="10"/>
      <c r="M8" s="122"/>
    </row>
    <row r="9" spans="1:13" x14ac:dyDescent="0.2">
      <c r="A9" s="230"/>
      <c r="B9" s="169">
        <f t="shared" si="2"/>
        <v>1.4444444444444444</v>
      </c>
      <c r="C9" s="169">
        <f>'Coefficients (AvgSa) - IDA'!$B$5*'Output (AvgSa) - IDA'!B9+'Coefficients (AvgSa) - IDA'!$C$5</f>
        <v>1.1044178287115192</v>
      </c>
      <c r="D9" s="178">
        <f>'Coefficients (AvgSa) - IDA'!$G$5*'Output (AvgSa) - IDA'!B9+'Coefficients (AvgSa) - IDA'!$H$5</f>
        <v>1.1801735475509787</v>
      </c>
      <c r="E9" s="170">
        <f>'Coefficients (AvgSa) - IDA'!$L$5*'Output (AvgSa) - IDA'!B9+'Coefficients (AvgSa) - IDA'!$M$5</f>
        <v>1.2834390480848397</v>
      </c>
      <c r="F9" s="169"/>
      <c r="G9" s="169"/>
      <c r="H9" s="178"/>
      <c r="I9" s="170"/>
      <c r="J9" s="183"/>
      <c r="K9" s="129"/>
      <c r="L9" s="10"/>
      <c r="M9" s="122"/>
    </row>
    <row r="10" spans="1:13" x14ac:dyDescent="0.2">
      <c r="A10" s="230"/>
      <c r="B10" s="169">
        <f t="shared" si="2"/>
        <v>1.5925925925925926</v>
      </c>
      <c r="C10" s="169">
        <f>'Coefficients (AvgSa) - IDA'!$B$5*'Output (AvgSa) - IDA'!B10+'Coefficients (AvgSa) - IDA'!$C$5</f>
        <v>1.139223771615359</v>
      </c>
      <c r="D10" s="178">
        <f>'Coefficients (AvgSa) - IDA'!$G$5*'Output (AvgSa) - IDA'!B10+'Coefficients (AvgSa) - IDA'!$H$5</f>
        <v>1.2402247300679714</v>
      </c>
      <c r="E10" s="170">
        <f>'Coefficients (AvgSa) - IDA'!$L$5*'Output (AvgSa) - IDA'!B10+'Coefficients (AvgSa) - IDA'!$M$5</f>
        <v>1.3779187307797862</v>
      </c>
      <c r="F10" s="169"/>
      <c r="G10" s="169"/>
      <c r="H10" s="178"/>
      <c r="I10" s="170"/>
      <c r="J10" s="183"/>
      <c r="K10" s="129"/>
      <c r="L10" s="10"/>
      <c r="M10" s="122"/>
    </row>
    <row r="11" spans="1:13" x14ac:dyDescent="0.2">
      <c r="A11" s="230"/>
      <c r="B11" s="169">
        <f t="shared" si="2"/>
        <v>1.7407407407407407</v>
      </c>
      <c r="C11" s="169">
        <f>'Coefficients (AvgSa) - IDA'!$B$5*'Output (AvgSa) - IDA'!B11+'Coefficients (AvgSa) - IDA'!$C$5</f>
        <v>1.1740297145191989</v>
      </c>
      <c r="D11" s="178">
        <f>'Coefficients (AvgSa) - IDA'!$G$5*'Output (AvgSa) - IDA'!B11+'Coefficients (AvgSa) - IDA'!$H$5</f>
        <v>1.3002759125849646</v>
      </c>
      <c r="E11" s="170">
        <f>'Coefficients (AvgSa) - IDA'!$L$5*'Output (AvgSa) - IDA'!B11+'Coefficients (AvgSa) - IDA'!$M$5</f>
        <v>1.4723984134747328</v>
      </c>
      <c r="F11" s="169"/>
      <c r="G11" s="169"/>
      <c r="H11" s="178"/>
      <c r="I11" s="170"/>
      <c r="J11" s="183"/>
      <c r="K11" s="129"/>
      <c r="L11" s="10"/>
      <c r="M11" s="122"/>
    </row>
    <row r="12" spans="1:13" x14ac:dyDescent="0.2">
      <c r="A12" s="230"/>
      <c r="B12" s="169">
        <f t="shared" si="2"/>
        <v>1.8888888888888888</v>
      </c>
      <c r="C12" s="169">
        <f>'Coefficients (AvgSa) - IDA'!$B$5*'Output (AvgSa) - IDA'!B12+'Coefficients (AvgSa) - IDA'!$C$5</f>
        <v>1.2088356574230386</v>
      </c>
      <c r="D12" s="178">
        <f>'Coefficients (AvgSa) - IDA'!$G$5*'Output (AvgSa) - IDA'!B12+'Coefficients (AvgSa) - IDA'!$H$5</f>
        <v>1.3603270951019573</v>
      </c>
      <c r="E12" s="170">
        <f>'Coefficients (AvgSa) - IDA'!$L$5*'Output (AvgSa) - IDA'!B12+'Coefficients (AvgSa) - IDA'!$M$5</f>
        <v>1.5668780961696798</v>
      </c>
      <c r="F12" s="169"/>
      <c r="G12" s="169"/>
      <c r="H12" s="178"/>
      <c r="I12" s="170"/>
      <c r="J12" s="183"/>
      <c r="K12" s="129"/>
      <c r="L12" s="10"/>
      <c r="M12" s="122"/>
    </row>
    <row r="13" spans="1:13" x14ac:dyDescent="0.2">
      <c r="A13" s="230"/>
      <c r="B13" s="169">
        <f t="shared" si="2"/>
        <v>2.0370370370370372</v>
      </c>
      <c r="C13" s="169">
        <f>'Coefficients (AvgSa) - IDA'!$B$5*'Output (AvgSa) - IDA'!B13+'Coefficients (AvgSa) - IDA'!$C$5</f>
        <v>1.2436416003268784</v>
      </c>
      <c r="D13" s="178">
        <f>'Coefficients (AvgSa) - IDA'!$G$5*'Output (AvgSa) - IDA'!B13+'Coefficients (AvgSa) - IDA'!$H$5</f>
        <v>1.4203782776189504</v>
      </c>
      <c r="E13" s="170">
        <f>'Coefficients (AvgSa) - IDA'!$L$5*'Output (AvgSa) - IDA'!B13+'Coefficients (AvgSa) - IDA'!$M$5</f>
        <v>1.6613577788646263</v>
      </c>
      <c r="F13" s="169"/>
      <c r="G13" s="169"/>
      <c r="H13" s="178"/>
      <c r="I13" s="170"/>
      <c r="J13" s="183"/>
      <c r="K13" s="129"/>
      <c r="L13" s="10"/>
      <c r="M13" s="122"/>
    </row>
    <row r="14" spans="1:13" x14ac:dyDescent="0.2">
      <c r="A14" s="230"/>
      <c r="B14" s="169">
        <f t="shared" si="2"/>
        <v>2.1851851851851856</v>
      </c>
      <c r="C14" s="169">
        <f>'Coefficients (AvgSa) - IDA'!$B$5*'Output (AvgSa) - IDA'!B14+'Coefficients (AvgSa) - IDA'!$C$5</f>
        <v>1.2784475432307181</v>
      </c>
      <c r="D14" s="178">
        <f>'Coefficients (AvgSa) - IDA'!$G$5*'Output (AvgSa) - IDA'!B14+'Coefficients (AvgSa) - IDA'!$H$5</f>
        <v>1.4804294601359433</v>
      </c>
      <c r="E14" s="170">
        <f>'Coefficients (AvgSa) - IDA'!$L$5*'Output (AvgSa) - IDA'!B14+'Coefficients (AvgSa) - IDA'!$M$5</f>
        <v>1.7558374615595729</v>
      </c>
      <c r="F14" s="169"/>
      <c r="G14" s="169"/>
      <c r="H14" s="178"/>
      <c r="I14" s="170"/>
      <c r="J14" s="183"/>
      <c r="K14" s="129"/>
      <c r="L14" s="10"/>
      <c r="M14" s="122"/>
    </row>
    <row r="15" spans="1:13" x14ac:dyDescent="0.2">
      <c r="A15" s="228"/>
      <c r="B15" s="171">
        <f>Input!I6</f>
        <v>2.3333333333333335</v>
      </c>
      <c r="C15" s="169">
        <f>'Coefficients (AvgSa) - IDA'!$B$5*'Output (AvgSa) - IDA'!B15+'Coefficients (AvgSa) - IDA'!$C$5</f>
        <v>1.3132534861345579</v>
      </c>
      <c r="D15" s="178">
        <f>'Coefficients (AvgSa) - IDA'!$G$5*'Output (AvgSa) - IDA'!B15+'Coefficients (AvgSa) - IDA'!$H$5</f>
        <v>1.540480642652936</v>
      </c>
      <c r="E15" s="170">
        <f>'Coefficients (AvgSa) - IDA'!$L$5*'Output (AvgSa) - IDA'!B15+'Coefficients (AvgSa) - IDA'!$M$5</f>
        <v>1.8503171442545194</v>
      </c>
      <c r="F15" s="171">
        <f>B15</f>
        <v>2.3333333333333335</v>
      </c>
      <c r="G15" s="181">
        <f>IF(C15&lt;G6,G6,C15)</f>
        <v>1.3132534861345579</v>
      </c>
      <c r="H15" s="181">
        <f>IF(D15&lt;H6,H6,D15)</f>
        <v>1.540480642652936</v>
      </c>
      <c r="I15" s="181">
        <f>IF(E15&lt;I6,I6,E15)</f>
        <v>1.8503171442545194</v>
      </c>
      <c r="J15" s="182">
        <f>F15*Gamma*Delta_ystar</f>
        <v>7.0000000000000007E-2</v>
      </c>
      <c r="K15" s="130">
        <f t="shared" ref="K15:M16" si="3">G15*Gamma*Sa_y</f>
        <v>0.71833431915502588</v>
      </c>
      <c r="L15" s="123">
        <f t="shared" si="3"/>
        <v>0.84262491993736199</v>
      </c>
      <c r="M15" s="124">
        <f t="shared" si="3"/>
        <v>1.0121018676684903</v>
      </c>
    </row>
    <row r="16" spans="1:13" x14ac:dyDescent="0.2">
      <c r="A16" s="229" t="s">
        <v>4</v>
      </c>
      <c r="B16" s="169">
        <f>B15</f>
        <v>2.3333333333333335</v>
      </c>
      <c r="C16" s="175">
        <f>'Coefficients (AvgSa) - IDA'!$B$11*'Output (AvgSa) - IDA'!B16+'Coefficients (AvgSa) - IDA'!$C$11</f>
        <v>1.3248158287911531</v>
      </c>
      <c r="D16" s="179">
        <f>'Coefficients (AvgSa) - IDA'!$G$11*'Output (AvgSa) - IDA'!B16+'Coefficients (AvgSa) - IDA'!$H$11</f>
        <v>1.555237823171028</v>
      </c>
      <c r="E16" s="180">
        <f>'Coefficients (AvgSa) - IDA'!$L$11*'Output (AvgSa) - IDA'!B16+'Coefficients (AvgSa) - IDA'!$M$11</f>
        <v>1.8627438556788261</v>
      </c>
      <c r="F16" s="169">
        <f>F15</f>
        <v>2.3333333333333335</v>
      </c>
      <c r="G16" s="181">
        <f>G15</f>
        <v>1.3132534861345579</v>
      </c>
      <c r="H16" s="181">
        <f>H15</f>
        <v>1.540480642652936</v>
      </c>
      <c r="I16" s="181">
        <f>I15</f>
        <v>1.8503171442545194</v>
      </c>
      <c r="J16" s="43">
        <f>F16*Gamma*Delta_ystar</f>
        <v>7.0000000000000007E-2</v>
      </c>
      <c r="K16" s="128">
        <f t="shared" si="3"/>
        <v>0.71833431915502588</v>
      </c>
      <c r="L16" s="120">
        <f t="shared" si="3"/>
        <v>0.84262491993736199</v>
      </c>
      <c r="M16" s="121">
        <f t="shared" si="3"/>
        <v>1.0121018676684903</v>
      </c>
    </row>
    <row r="17" spans="1:13" x14ac:dyDescent="0.2">
      <c r="A17" s="230"/>
      <c r="B17" s="169">
        <f t="shared" ref="B17:B24" si="4">B16+($B$25-$B$16)/9</f>
        <v>2.5555555555555558</v>
      </c>
      <c r="C17" s="169">
        <f>'Coefficients (AvgSa) - IDA'!$B$11*'Output (AvgSa) - IDA'!B17+'Coefficients (AvgSa) - IDA'!$C$11</f>
        <v>1.3787484741071796</v>
      </c>
      <c r="D17" s="178">
        <f>'Coefficients (AvgSa) - IDA'!$G$11*'Output (AvgSa) - IDA'!B17+'Coefficients (AvgSa) - IDA'!$H$11</f>
        <v>1.6469750452767644</v>
      </c>
      <c r="E17" s="170">
        <f>'Coefficients (AvgSa) - IDA'!$L$11*'Output (AvgSa) - IDA'!B17+'Coefficients (AvgSa) - IDA'!$M$11</f>
        <v>2.0047138178549919</v>
      </c>
      <c r="F17" s="169"/>
      <c r="G17" s="169"/>
      <c r="H17" s="178"/>
      <c r="I17" s="170"/>
      <c r="J17" s="183"/>
      <c r="K17" s="129"/>
      <c r="L17" s="10"/>
      <c r="M17" s="122"/>
    </row>
    <row r="18" spans="1:13" x14ac:dyDescent="0.2">
      <c r="A18" s="230"/>
      <c r="B18" s="169">
        <f t="shared" si="4"/>
        <v>2.7777777777777781</v>
      </c>
      <c r="C18" s="169">
        <f>'Coefficients (AvgSa) - IDA'!$B$11*'Output (AvgSa) - IDA'!B18+'Coefficients (AvgSa) - IDA'!$C$11</f>
        <v>1.4326811194232061</v>
      </c>
      <c r="D18" s="178">
        <f>'Coefficients (AvgSa) - IDA'!$G$11*'Output (AvgSa) - IDA'!B18+'Coefficients (AvgSa) - IDA'!$H$11</f>
        <v>1.7387122673825011</v>
      </c>
      <c r="E18" s="170">
        <f>'Coefficients (AvgSa) - IDA'!$L$11*'Output (AvgSa) - IDA'!B18+'Coefficients (AvgSa) - IDA'!$M$11</f>
        <v>2.1466837800311578</v>
      </c>
      <c r="F18" s="169"/>
      <c r="G18" s="169"/>
      <c r="H18" s="178"/>
      <c r="I18" s="170"/>
      <c r="J18" s="183"/>
      <c r="K18" s="129"/>
      <c r="L18" s="10"/>
      <c r="M18" s="122"/>
    </row>
    <row r="19" spans="1:13" x14ac:dyDescent="0.2">
      <c r="A19" s="230"/>
      <c r="B19" s="169">
        <f t="shared" si="4"/>
        <v>3.0000000000000004</v>
      </c>
      <c r="C19" s="169">
        <f>'Coefficients (AvgSa) - IDA'!$B$11*'Output (AvgSa) - IDA'!B19+'Coefficients (AvgSa) - IDA'!$C$11</f>
        <v>1.4866137647392326</v>
      </c>
      <c r="D19" s="178">
        <f>'Coefficients (AvgSa) - IDA'!$G$11*'Output (AvgSa) - IDA'!B19+'Coefficients (AvgSa) - IDA'!$H$11</f>
        <v>1.8304494894882377</v>
      </c>
      <c r="E19" s="170">
        <f>'Coefficients (AvgSa) - IDA'!$L$11*'Output (AvgSa) - IDA'!B19+'Coefficients (AvgSa) - IDA'!$M$11</f>
        <v>2.2886537422073236</v>
      </c>
      <c r="F19" s="169"/>
      <c r="G19" s="169"/>
      <c r="H19" s="178"/>
      <c r="I19" s="170"/>
      <c r="J19" s="183"/>
      <c r="K19" s="129"/>
      <c r="L19" s="10"/>
      <c r="M19" s="122"/>
    </row>
    <row r="20" spans="1:13" x14ac:dyDescent="0.2">
      <c r="A20" s="230"/>
      <c r="B20" s="169">
        <f t="shared" si="4"/>
        <v>3.2222222222222228</v>
      </c>
      <c r="C20" s="169">
        <f>'Coefficients (AvgSa) - IDA'!$B$11*'Output (AvgSa) - IDA'!B20+'Coefficients (AvgSa) - IDA'!$C$11</f>
        <v>1.5405464100552591</v>
      </c>
      <c r="D20" s="178">
        <f>'Coefficients (AvgSa) - IDA'!$G$11*'Output (AvgSa) - IDA'!B20+'Coefficients (AvgSa) - IDA'!$H$11</f>
        <v>1.9221867115939744</v>
      </c>
      <c r="E20" s="170">
        <f>'Coefficients (AvgSa) - IDA'!$L$11*'Output (AvgSa) - IDA'!B20+'Coefficients (AvgSa) - IDA'!$M$11</f>
        <v>2.43062370438349</v>
      </c>
      <c r="F20" s="169"/>
      <c r="G20" s="169"/>
      <c r="H20" s="178"/>
      <c r="I20" s="170"/>
      <c r="J20" s="183"/>
      <c r="K20" s="129"/>
      <c r="L20" s="10"/>
      <c r="M20" s="122"/>
    </row>
    <row r="21" spans="1:13" x14ac:dyDescent="0.2">
      <c r="A21" s="230"/>
      <c r="B21" s="169">
        <f t="shared" si="4"/>
        <v>3.4444444444444451</v>
      </c>
      <c r="C21" s="169">
        <f>'Coefficients (AvgSa) - IDA'!$B$11*'Output (AvgSa) - IDA'!B21+'Coefficients (AvgSa) - IDA'!$C$11</f>
        <v>1.5944790553712858</v>
      </c>
      <c r="D21" s="178">
        <f>'Coefficients (AvgSa) - IDA'!$G$11*'Output (AvgSa) - IDA'!B21+'Coefficients (AvgSa) - IDA'!$H$11</f>
        <v>2.013923933699711</v>
      </c>
      <c r="E21" s="170">
        <f>'Coefficients (AvgSa) - IDA'!$L$11*'Output (AvgSa) - IDA'!B21+'Coefficients (AvgSa) - IDA'!$M$11</f>
        <v>2.5725936665596558</v>
      </c>
      <c r="F21" s="169"/>
      <c r="G21" s="169"/>
      <c r="H21" s="178"/>
      <c r="I21" s="170"/>
      <c r="J21" s="183"/>
      <c r="K21" s="129"/>
      <c r="L21" s="10"/>
      <c r="M21" s="122"/>
    </row>
    <row r="22" spans="1:13" x14ac:dyDescent="0.2">
      <c r="A22" s="230"/>
      <c r="B22" s="169">
        <f t="shared" si="4"/>
        <v>3.6666666666666674</v>
      </c>
      <c r="C22" s="169">
        <f>'Coefficients (AvgSa) - IDA'!$B$11*'Output (AvgSa) - IDA'!B22+'Coefficients (AvgSa) - IDA'!$C$11</f>
        <v>1.6484117006873125</v>
      </c>
      <c r="D22" s="178">
        <f>'Coefficients (AvgSa) - IDA'!$G$11*'Output (AvgSa) - IDA'!B22+'Coefficients (AvgSa) - IDA'!$H$11</f>
        <v>2.1056611558054477</v>
      </c>
      <c r="E22" s="170">
        <f>'Coefficients (AvgSa) - IDA'!$L$11*'Output (AvgSa) - IDA'!B22+'Coefficients (AvgSa) - IDA'!$M$11</f>
        <v>2.7145636287358217</v>
      </c>
      <c r="F22" s="169"/>
      <c r="G22" s="169"/>
      <c r="H22" s="178"/>
      <c r="I22" s="170"/>
      <c r="J22" s="183"/>
      <c r="K22" s="129"/>
      <c r="L22" s="10"/>
      <c r="M22" s="122"/>
    </row>
    <row r="23" spans="1:13" x14ac:dyDescent="0.2">
      <c r="A23" s="230"/>
      <c r="B23" s="169">
        <f t="shared" si="4"/>
        <v>3.8888888888888897</v>
      </c>
      <c r="C23" s="169">
        <f>'Coefficients (AvgSa) - IDA'!$B$11*'Output (AvgSa) - IDA'!B23+'Coefficients (AvgSa) - IDA'!$C$11</f>
        <v>1.7023443460033389</v>
      </c>
      <c r="D23" s="178">
        <f>'Coefficients (AvgSa) - IDA'!$G$11*'Output (AvgSa) - IDA'!B23+'Coefficients (AvgSa) - IDA'!$H$11</f>
        <v>2.1973983779111843</v>
      </c>
      <c r="E23" s="170">
        <f>'Coefficients (AvgSa) - IDA'!$L$11*'Output (AvgSa) - IDA'!B23+'Coefficients (AvgSa) - IDA'!$M$11</f>
        <v>2.8565335909119876</v>
      </c>
      <c r="F23" s="169"/>
      <c r="G23" s="169"/>
      <c r="H23" s="178"/>
      <c r="I23" s="170"/>
      <c r="J23" s="183"/>
      <c r="K23" s="129"/>
      <c r="L23" s="10"/>
      <c r="M23" s="122"/>
    </row>
    <row r="24" spans="1:13" x14ac:dyDescent="0.2">
      <c r="A24" s="230"/>
      <c r="B24" s="169">
        <f t="shared" si="4"/>
        <v>4.1111111111111116</v>
      </c>
      <c r="C24" s="169">
        <f>'Coefficients (AvgSa) - IDA'!$B$11*'Output (AvgSa) - IDA'!B24+'Coefficients (AvgSa) - IDA'!$C$11</f>
        <v>1.7562769913193654</v>
      </c>
      <c r="D24" s="178">
        <f>'Coefficients (AvgSa) - IDA'!$G$11*'Output (AvgSa) - IDA'!B24+'Coefficients (AvgSa) - IDA'!$H$11</f>
        <v>2.2891356000169205</v>
      </c>
      <c r="E24" s="170">
        <f>'Coefficients (AvgSa) - IDA'!$L$11*'Output (AvgSa) - IDA'!B24+'Coefficients (AvgSa) - IDA'!$M$11</f>
        <v>2.9985035530881534</v>
      </c>
      <c r="F24" s="169"/>
      <c r="G24" s="169"/>
      <c r="H24" s="178"/>
      <c r="I24" s="170"/>
      <c r="J24" s="183"/>
      <c r="K24" s="129"/>
      <c r="L24" s="10"/>
      <c r="M24" s="122"/>
    </row>
    <row r="25" spans="1:13" x14ac:dyDescent="0.2">
      <c r="A25" s="228"/>
      <c r="B25" s="171">
        <f>Input!$I$7</f>
        <v>4.3333333333333339</v>
      </c>
      <c r="C25" s="169">
        <f>'Coefficients (AvgSa) - IDA'!$B$11*'Output (AvgSa) - IDA'!B25+'Coefficients (AvgSa) - IDA'!$C$11</f>
        <v>1.8102096366353919</v>
      </c>
      <c r="D25" s="178">
        <f>'Coefficients (AvgSa) - IDA'!$G$11*'Output (AvgSa) - IDA'!B25+'Coefficients (AvgSa) - IDA'!$H$11</f>
        <v>2.3808728221226572</v>
      </c>
      <c r="E25" s="170">
        <f>'Coefficients (AvgSa) - IDA'!$L$11*'Output (AvgSa) - IDA'!B25+'Coefficients (AvgSa) - IDA'!$M$11</f>
        <v>3.1404735152643193</v>
      </c>
      <c r="F25" s="171">
        <f>B25</f>
        <v>4.3333333333333339</v>
      </c>
      <c r="G25" s="181">
        <f>IF(C25&lt;G16,G16,C25)</f>
        <v>1.8102096366353919</v>
      </c>
      <c r="H25" s="181">
        <f>IF(D25&lt;H16,H16,D25)</f>
        <v>2.3808728221226572</v>
      </c>
      <c r="I25" s="181">
        <f>IF(E25&lt;I16,I16,E25)</f>
        <v>3.1404735152643193</v>
      </c>
      <c r="J25" s="185">
        <f>F25*Gamma*Delta_ystar</f>
        <v>0.13</v>
      </c>
      <c r="K25" s="130">
        <f t="shared" ref="K25:M26" si="5">G25*Gamma*Sa_y</f>
        <v>0.99016352942475006</v>
      </c>
      <c r="L25" s="123">
        <f t="shared" si="5"/>
        <v>1.302309626992262</v>
      </c>
      <c r="M25" s="124">
        <f t="shared" si="5"/>
        <v>1.7178023346062845</v>
      </c>
    </row>
    <row r="26" spans="1:13" x14ac:dyDescent="0.2">
      <c r="A26" s="231" t="s">
        <v>28</v>
      </c>
      <c r="B26" s="169">
        <f>B25</f>
        <v>4.3333333333333339</v>
      </c>
      <c r="C26" s="175">
        <f>'Coefficients (AvgSa) - IDA'!$B$17*'Output (AvgSa) - IDA'!B26+'Coefficients (AvgSa) - IDA'!$C$17</f>
        <v>1.5826233665131193</v>
      </c>
      <c r="D26" s="179">
        <f>'Coefficients (AvgSa) - IDA'!$G$17*'Output (AvgSa) - IDA'!B26+'Coefficients (AvgSa) - IDA'!$H$17</f>
        <v>1.9755500550709131</v>
      </c>
      <c r="E26" s="180">
        <f>'Coefficients (AvgSa) - IDA'!$L$17*'Output (AvgSa) - IDA'!B26+'Coefficients (AvgSa) - IDA'!$M$17</f>
        <v>2.4078342793786671</v>
      </c>
      <c r="F26" s="169">
        <f>F25</f>
        <v>4.3333333333333339</v>
      </c>
      <c r="G26" s="181">
        <f>G25</f>
        <v>1.8102096366353919</v>
      </c>
      <c r="H26" s="181">
        <f>H25</f>
        <v>2.3808728221226572</v>
      </c>
      <c r="I26" s="181">
        <f>I25</f>
        <v>3.1404735152643193</v>
      </c>
      <c r="J26" s="187">
        <f>F26*Gamma*Delta_ystar</f>
        <v>0.13</v>
      </c>
      <c r="K26" s="128">
        <f t="shared" si="5"/>
        <v>0.99016352942475006</v>
      </c>
      <c r="L26" s="120">
        <f t="shared" si="5"/>
        <v>1.302309626992262</v>
      </c>
      <c r="M26" s="121">
        <f t="shared" si="5"/>
        <v>1.7178023346062845</v>
      </c>
    </row>
    <row r="27" spans="1:13" x14ac:dyDescent="0.2">
      <c r="A27" s="232"/>
      <c r="B27" s="169">
        <f t="shared" ref="B27:B34" si="6">B26+($B$35-$B$26)/9</f>
        <v>5.685185185185186</v>
      </c>
      <c r="C27" s="169">
        <f>'Coefficients (AvgSa) - IDA'!$B$17*'Output (AvgSa) - IDA'!B27+'Coefficients (AvgSa) - IDA'!$C$17</f>
        <v>1.6407812800226571</v>
      </c>
      <c r="D27" s="178">
        <f>'Coefficients (AvgSa) - IDA'!$G$17*'Output (AvgSa) - IDA'!B27+'Coefficients (AvgSa) - IDA'!$H$17</f>
        <v>2.0450595051404803</v>
      </c>
      <c r="E27" s="170">
        <f>'Coefficients (AvgSa) - IDA'!$L$17*'Output (AvgSa) - IDA'!B27+'Coefficients (AvgSa) - IDA'!$M$17</f>
        <v>2.5339147006408878</v>
      </c>
      <c r="F27" s="169"/>
      <c r="G27" s="169"/>
      <c r="H27" s="178"/>
      <c r="I27" s="170"/>
      <c r="J27" s="183"/>
      <c r="K27" s="129"/>
      <c r="L27" s="10"/>
      <c r="M27" s="122"/>
    </row>
    <row r="28" spans="1:13" x14ac:dyDescent="0.2">
      <c r="A28" s="232"/>
      <c r="B28" s="169">
        <f t="shared" si="6"/>
        <v>7.0370370370370381</v>
      </c>
      <c r="C28" s="169">
        <f>'Coefficients (AvgSa) - IDA'!$B$17*'Output (AvgSa) - IDA'!B28+'Coefficients (AvgSa) - IDA'!$C$17</f>
        <v>1.6989391935321949</v>
      </c>
      <c r="D28" s="178">
        <f>'Coefficients (AvgSa) - IDA'!$G$17*'Output (AvgSa) - IDA'!B28+'Coefficients (AvgSa) - IDA'!$H$17</f>
        <v>2.1145689552100473</v>
      </c>
      <c r="E28" s="170">
        <f>'Coefficients (AvgSa) - IDA'!$L$17*'Output (AvgSa) - IDA'!B28+'Coefficients (AvgSa) - IDA'!$M$17</f>
        <v>2.6599951219031084</v>
      </c>
      <c r="F28" s="169"/>
      <c r="G28" s="169"/>
      <c r="H28" s="178"/>
      <c r="I28" s="170"/>
      <c r="J28" s="183"/>
      <c r="K28" s="129"/>
      <c r="L28" s="10"/>
      <c r="M28" s="122"/>
    </row>
    <row r="29" spans="1:13" x14ac:dyDescent="0.2">
      <c r="A29" s="232"/>
      <c r="B29" s="169">
        <f t="shared" si="6"/>
        <v>8.3888888888888893</v>
      </c>
      <c r="C29" s="169">
        <f>'Coefficients (AvgSa) - IDA'!$B$17*'Output (AvgSa) - IDA'!B29+'Coefficients (AvgSa) - IDA'!$C$17</f>
        <v>1.7570971070417327</v>
      </c>
      <c r="D29" s="178">
        <f>'Coefficients (AvgSa) - IDA'!$G$17*'Output (AvgSa) - IDA'!B29+'Coefficients (AvgSa) - IDA'!$H$17</f>
        <v>2.1840784052796143</v>
      </c>
      <c r="E29" s="170">
        <f>'Coefficients (AvgSa) - IDA'!$L$17*'Output (AvgSa) - IDA'!B29+'Coefficients (AvgSa) - IDA'!$M$17</f>
        <v>2.786075543165329</v>
      </c>
      <c r="F29" s="169"/>
      <c r="G29" s="169"/>
      <c r="H29" s="178"/>
      <c r="I29" s="170"/>
      <c r="J29" s="183"/>
      <c r="K29" s="129"/>
      <c r="L29" s="10"/>
      <c r="M29" s="122"/>
    </row>
    <row r="30" spans="1:13" x14ac:dyDescent="0.2">
      <c r="A30" s="232"/>
      <c r="B30" s="169">
        <f t="shared" si="6"/>
        <v>9.7407407407407405</v>
      </c>
      <c r="C30" s="169">
        <f>'Coefficients (AvgSa) - IDA'!$B$17*'Output (AvgSa) - IDA'!B30+'Coefficients (AvgSa) - IDA'!$C$17</f>
        <v>1.8152550205512703</v>
      </c>
      <c r="D30" s="178">
        <f>'Coefficients (AvgSa) - IDA'!$G$17*'Output (AvgSa) - IDA'!B30+'Coefficients (AvgSa) - IDA'!$H$17</f>
        <v>2.2535878553491813</v>
      </c>
      <c r="E30" s="170">
        <f>'Coefficients (AvgSa) - IDA'!$L$17*'Output (AvgSa) - IDA'!B30+'Coefficients (AvgSa) - IDA'!$M$17</f>
        <v>2.9121559644275496</v>
      </c>
      <c r="F30" s="169"/>
      <c r="G30" s="169"/>
      <c r="H30" s="178"/>
      <c r="I30" s="170"/>
      <c r="J30" s="183"/>
      <c r="K30" s="129"/>
      <c r="L30" s="10"/>
      <c r="M30" s="122"/>
    </row>
    <row r="31" spans="1:13" x14ac:dyDescent="0.2">
      <c r="A31" s="232"/>
      <c r="B31" s="169">
        <f t="shared" si="6"/>
        <v>11.092592592592592</v>
      </c>
      <c r="C31" s="169">
        <f>'Coefficients (AvgSa) - IDA'!$B$17*'Output (AvgSa) - IDA'!B31+'Coefficients (AvgSa) - IDA'!$C$17</f>
        <v>1.8734129340608081</v>
      </c>
      <c r="D31" s="178">
        <f>'Coefficients (AvgSa) - IDA'!$G$17*'Output (AvgSa) - IDA'!B31+'Coefficients (AvgSa) - IDA'!$H$17</f>
        <v>2.3230973054187483</v>
      </c>
      <c r="E31" s="170">
        <f>'Coefficients (AvgSa) - IDA'!$L$17*'Output (AvgSa) - IDA'!B31+'Coefficients (AvgSa) - IDA'!$M$17</f>
        <v>3.0382363856897703</v>
      </c>
      <c r="F31" s="169"/>
      <c r="G31" s="169"/>
      <c r="H31" s="178"/>
      <c r="I31" s="170"/>
      <c r="J31" s="183"/>
      <c r="K31" s="129"/>
      <c r="L31" s="10"/>
      <c r="M31" s="122"/>
    </row>
    <row r="32" spans="1:13" x14ac:dyDescent="0.2">
      <c r="A32" s="232"/>
      <c r="B32" s="169">
        <f t="shared" si="6"/>
        <v>12.444444444444443</v>
      </c>
      <c r="C32" s="169">
        <f>'Coefficients (AvgSa) - IDA'!$B$17*'Output (AvgSa) - IDA'!B32+'Coefficients (AvgSa) - IDA'!$C$17</f>
        <v>1.9315708475703457</v>
      </c>
      <c r="D32" s="178">
        <f>'Coefficients (AvgSa) - IDA'!$G$17*'Output (AvgSa) - IDA'!B32+'Coefficients (AvgSa) - IDA'!$H$17</f>
        <v>2.3926067554883153</v>
      </c>
      <c r="E32" s="170">
        <f>'Coefficients (AvgSa) - IDA'!$L$17*'Output (AvgSa) - IDA'!B32+'Coefficients (AvgSa) - IDA'!$M$17</f>
        <v>3.1643168069519909</v>
      </c>
      <c r="F32" s="169"/>
      <c r="G32" s="169"/>
      <c r="H32" s="178"/>
      <c r="I32" s="170"/>
      <c r="J32" s="183"/>
      <c r="K32" s="129"/>
      <c r="L32" s="10"/>
      <c r="M32" s="122"/>
    </row>
    <row r="33" spans="1:13" x14ac:dyDescent="0.2">
      <c r="A33" s="232"/>
      <c r="B33" s="169">
        <f t="shared" si="6"/>
        <v>13.796296296296294</v>
      </c>
      <c r="C33" s="169">
        <f>'Coefficients (AvgSa) - IDA'!$B$17*'Output (AvgSa) - IDA'!B33+'Coefficients (AvgSa) - IDA'!$C$17</f>
        <v>1.9897287610798835</v>
      </c>
      <c r="D33" s="178">
        <f>'Coefficients (AvgSa) - IDA'!$G$17*'Output (AvgSa) - IDA'!B33+'Coefficients (AvgSa) - IDA'!$H$17</f>
        <v>2.4621162055578822</v>
      </c>
      <c r="E33" s="170">
        <f>'Coefficients (AvgSa) - IDA'!$L$17*'Output (AvgSa) - IDA'!B33+'Coefficients (AvgSa) - IDA'!$M$17</f>
        <v>3.2903972282142115</v>
      </c>
      <c r="F33" s="169"/>
      <c r="G33" s="169"/>
      <c r="H33" s="178"/>
      <c r="I33" s="170"/>
      <c r="J33" s="183"/>
      <c r="K33" s="129"/>
      <c r="L33" s="10"/>
      <c r="M33" s="122"/>
    </row>
    <row r="34" spans="1:13" x14ac:dyDescent="0.2">
      <c r="A34" s="232"/>
      <c r="B34" s="169">
        <f t="shared" si="6"/>
        <v>15.148148148148145</v>
      </c>
      <c r="C34" s="169">
        <f>'Coefficients (AvgSa) - IDA'!$B$17*'Output (AvgSa) - IDA'!B34+'Coefficients (AvgSa) - IDA'!$C$17</f>
        <v>2.0478866745894213</v>
      </c>
      <c r="D34" s="178">
        <f>'Coefficients (AvgSa) - IDA'!$G$17*'Output (AvgSa) - IDA'!B34+'Coefficients (AvgSa) - IDA'!$H$17</f>
        <v>2.5316256556274492</v>
      </c>
      <c r="E34" s="170">
        <f>'Coefficients (AvgSa) - IDA'!$L$17*'Output (AvgSa) - IDA'!B34+'Coefficients (AvgSa) - IDA'!$M$17</f>
        <v>3.4164776494764322</v>
      </c>
      <c r="F34" s="169"/>
      <c r="G34" s="169"/>
      <c r="H34" s="178"/>
      <c r="I34" s="170"/>
      <c r="J34" s="186"/>
      <c r="K34" s="129"/>
      <c r="L34" s="10"/>
      <c r="M34" s="122"/>
    </row>
    <row r="35" spans="1:13" x14ac:dyDescent="0.2">
      <c r="A35" s="233"/>
      <c r="B35" s="171">
        <f>Input!$I$8</f>
        <v>16.5</v>
      </c>
      <c r="C35" s="169">
        <f>'Coefficients (AvgSa) - IDA'!$B$17*'Output (AvgSa) - IDA'!B35+'Coefficients (AvgSa) - IDA'!$C$17</f>
        <v>2.1060445880989591</v>
      </c>
      <c r="D35" s="178">
        <f>'Coefficients (AvgSa) - IDA'!$G$17*'Output (AvgSa) - IDA'!B35+'Coefficients (AvgSa) - IDA'!$H$17</f>
        <v>2.6011351056970162</v>
      </c>
      <c r="E35" s="170">
        <f>'Coefficients (AvgSa) - IDA'!$L$17*'Output (AvgSa) - IDA'!B35+'Coefficients (AvgSa) - IDA'!$M$17</f>
        <v>3.5425580707386528</v>
      </c>
      <c r="F35" s="171">
        <f>B35</f>
        <v>16.5</v>
      </c>
      <c r="G35" s="181">
        <f>IF(C35&lt;G26,G26,C35)</f>
        <v>2.1060445880989591</v>
      </c>
      <c r="H35" s="181">
        <f t="shared" ref="H35:I35" si="7">IF(D35&lt;H26,H26,D35)</f>
        <v>2.6011351056970162</v>
      </c>
      <c r="I35" s="181">
        <f t="shared" si="7"/>
        <v>3.5425580707386528</v>
      </c>
      <c r="J35" s="185">
        <f>F35*Gamma*Delta_ystar</f>
        <v>0.495</v>
      </c>
      <c r="K35" s="130">
        <f t="shared" ref="K35:M36" si="8">G35*Gamma*Sa_y</f>
        <v>1.1519817927573994</v>
      </c>
      <c r="L35" s="123">
        <f t="shared" si="8"/>
        <v>1.4227905236184193</v>
      </c>
      <c r="M35" s="124">
        <f t="shared" si="8"/>
        <v>1.9377378904216012</v>
      </c>
    </row>
    <row r="36" spans="1:13" x14ac:dyDescent="0.2">
      <c r="A36" s="231" t="s">
        <v>29</v>
      </c>
      <c r="B36" s="169">
        <f>B35</f>
        <v>16.5</v>
      </c>
      <c r="C36" s="175">
        <f>'Coefficients (AvgSa) - IDA'!$B$23*'Output (AvgSa) - IDA'!B36+'Coefficients (AvgSa) - IDA'!$C$23</f>
        <v>1.9106122493759916</v>
      </c>
      <c r="D36" s="179">
        <f>'Coefficients (AvgSa) - IDA'!$G$23*'Output (AvgSa) - IDA'!B36+'Coefficients (AvgSa) - IDA'!$H$23</f>
        <v>2.3464840723692606</v>
      </c>
      <c r="E36" s="180">
        <f>'Coefficients (AvgSa) - IDA'!$L$23*'Output (AvgSa) - IDA'!B36+'Coefficients (AvgSa) - IDA'!$M$23</f>
        <v>3.1442226781222748</v>
      </c>
      <c r="F36" s="169">
        <f>F35</f>
        <v>16.5</v>
      </c>
      <c r="G36" s="181">
        <f>G35</f>
        <v>2.1060445880989591</v>
      </c>
      <c r="H36" s="181">
        <f t="shared" ref="H36:I36" si="9">H35</f>
        <v>2.6011351056970162</v>
      </c>
      <c r="I36" s="181">
        <f t="shared" si="9"/>
        <v>3.5425580707386528</v>
      </c>
      <c r="J36" s="43">
        <f>F36*Gamma*Delta_ystar</f>
        <v>0.495</v>
      </c>
      <c r="K36" s="128">
        <f t="shared" si="8"/>
        <v>1.1519817927573994</v>
      </c>
      <c r="L36" s="120">
        <f t="shared" si="8"/>
        <v>1.4227905236184193</v>
      </c>
      <c r="M36" s="121">
        <f t="shared" si="8"/>
        <v>1.9377378904216012</v>
      </c>
    </row>
    <row r="37" spans="1:13" x14ac:dyDescent="0.2">
      <c r="A37" s="232"/>
      <c r="B37" s="169">
        <f t="shared" ref="B37:B44" si="10">B36+($B$45-$B$36)/9</f>
        <v>16.51692962962963</v>
      </c>
      <c r="C37" s="169">
        <f>'Coefficients (AvgSa) - IDA'!$B$23*'Output (AvgSa) - IDA'!B37+'Coefficients (AvgSa) - IDA'!$C$23</f>
        <v>1.9107271072294716</v>
      </c>
      <c r="D37" s="178">
        <f>'Coefficients (AvgSa) - IDA'!$G$23*'Output (AvgSa) - IDA'!B37+'Coefficients (AvgSa) - IDA'!$H$23</f>
        <v>2.3466324941486407</v>
      </c>
      <c r="E37" s="170">
        <f>'Coefficients (AvgSa) - IDA'!$L$23*'Output (AvgSa) - IDA'!B37+'Coefficients (AvgSa) - IDA'!$M$23</f>
        <v>3.1444399903991953</v>
      </c>
      <c r="F37" s="169"/>
      <c r="G37" s="169"/>
      <c r="H37" s="178"/>
      <c r="I37" s="170"/>
      <c r="J37" s="183"/>
      <c r="K37" s="129"/>
      <c r="L37" s="10"/>
      <c r="M37" s="122"/>
    </row>
    <row r="38" spans="1:13" x14ac:dyDescent="0.2">
      <c r="A38" s="232"/>
      <c r="B38" s="169">
        <f t="shared" si="10"/>
        <v>16.533859259259259</v>
      </c>
      <c r="C38" s="169">
        <f>'Coefficients (AvgSa) - IDA'!$B$23*'Output (AvgSa) - IDA'!B38+'Coefficients (AvgSa) - IDA'!$C$23</f>
        <v>1.9108419650829513</v>
      </c>
      <c r="D38" s="178">
        <f>'Coefficients (AvgSa) - IDA'!$G$23*'Output (AvgSa) - IDA'!B38+'Coefficients (AvgSa) - IDA'!$H$23</f>
        <v>2.3467809159280208</v>
      </c>
      <c r="E38" s="170">
        <f>'Coefficients (AvgSa) - IDA'!$L$23*'Output (AvgSa) - IDA'!B38+'Coefficients (AvgSa) - IDA'!$M$23</f>
        <v>3.1446573026761158</v>
      </c>
      <c r="F38" s="169"/>
      <c r="G38" s="169"/>
      <c r="H38" s="178"/>
      <c r="I38" s="170"/>
      <c r="J38" s="183"/>
      <c r="K38" s="129"/>
      <c r="L38" s="10"/>
      <c r="M38" s="122"/>
    </row>
    <row r="39" spans="1:13" x14ac:dyDescent="0.2">
      <c r="A39" s="232"/>
      <c r="B39" s="169">
        <f t="shared" si="10"/>
        <v>16.550788888888889</v>
      </c>
      <c r="C39" s="169">
        <f>'Coefficients (AvgSa) - IDA'!$B$23*'Output (AvgSa) - IDA'!B39+'Coefficients (AvgSa) - IDA'!$C$23</f>
        <v>1.9109568229364313</v>
      </c>
      <c r="D39" s="178">
        <f>'Coefficients (AvgSa) - IDA'!$G$23*'Output (AvgSa) - IDA'!B39+'Coefficients (AvgSa) - IDA'!$H$23</f>
        <v>2.346929337707401</v>
      </c>
      <c r="E39" s="170">
        <f>'Coefficients (AvgSa) - IDA'!$L$23*'Output (AvgSa) - IDA'!B39+'Coefficients (AvgSa) - IDA'!$M$23</f>
        <v>3.1448746149530362</v>
      </c>
      <c r="F39" s="169"/>
      <c r="G39" s="169"/>
      <c r="H39" s="178"/>
      <c r="I39" s="170"/>
      <c r="J39" s="183"/>
      <c r="K39" s="129"/>
      <c r="L39" s="10"/>
      <c r="M39" s="122"/>
    </row>
    <row r="40" spans="1:13" x14ac:dyDescent="0.2">
      <c r="A40" s="232"/>
      <c r="B40" s="169">
        <f t="shared" si="10"/>
        <v>16.567718518518518</v>
      </c>
      <c r="C40" s="169">
        <f>'Coefficients (AvgSa) - IDA'!$B$23*'Output (AvgSa) - IDA'!B40+'Coefficients (AvgSa) - IDA'!$C$23</f>
        <v>1.9110716807899111</v>
      </c>
      <c r="D40" s="178">
        <f>'Coefficients (AvgSa) - IDA'!$G$23*'Output (AvgSa) - IDA'!B40+'Coefficients (AvgSa) - IDA'!$H$23</f>
        <v>2.3470777594867815</v>
      </c>
      <c r="E40" s="170">
        <f>'Coefficients (AvgSa) - IDA'!$L$23*'Output (AvgSa) - IDA'!B40+'Coefficients (AvgSa) - IDA'!$M$23</f>
        <v>3.1450919272299567</v>
      </c>
      <c r="F40" s="169"/>
      <c r="G40" s="169"/>
      <c r="H40" s="178"/>
      <c r="I40" s="170"/>
      <c r="J40" s="183"/>
      <c r="K40" s="129"/>
      <c r="L40" s="10"/>
      <c r="M40" s="122"/>
    </row>
    <row r="41" spans="1:13" x14ac:dyDescent="0.2">
      <c r="A41" s="232"/>
      <c r="B41" s="169">
        <f t="shared" si="10"/>
        <v>16.584648148148148</v>
      </c>
      <c r="C41" s="169">
        <f>'Coefficients (AvgSa) - IDA'!$B$23*'Output (AvgSa) - IDA'!B41+'Coefficients (AvgSa) - IDA'!$C$23</f>
        <v>1.9111865386433908</v>
      </c>
      <c r="D41" s="178">
        <f>'Coefficients (AvgSa) - IDA'!$G$23*'Output (AvgSa) - IDA'!B41+'Coefficients (AvgSa) - IDA'!$H$23</f>
        <v>2.3472261812661617</v>
      </c>
      <c r="E41" s="170">
        <f>'Coefficients (AvgSa) - IDA'!$L$23*'Output (AvgSa) - IDA'!B41+'Coefficients (AvgSa) - IDA'!$M$23</f>
        <v>3.1453092395068771</v>
      </c>
      <c r="F41" s="169"/>
      <c r="G41" s="169"/>
      <c r="H41" s="178"/>
      <c r="I41" s="170"/>
      <c r="J41" s="183"/>
      <c r="K41" s="129"/>
      <c r="L41" s="10"/>
      <c r="M41" s="122"/>
    </row>
    <row r="42" spans="1:13" x14ac:dyDescent="0.2">
      <c r="A42" s="232"/>
      <c r="B42" s="169">
        <f t="shared" si="10"/>
        <v>16.601577777777777</v>
      </c>
      <c r="C42" s="169">
        <f>'Coefficients (AvgSa) - IDA'!$B$23*'Output (AvgSa) - IDA'!B42+'Coefficients (AvgSa) - IDA'!$C$23</f>
        <v>1.9113013964968708</v>
      </c>
      <c r="D42" s="178">
        <f>'Coefficients (AvgSa) - IDA'!$G$23*'Output (AvgSa) - IDA'!B42+'Coefficients (AvgSa) - IDA'!$H$23</f>
        <v>2.3473746030455418</v>
      </c>
      <c r="E42" s="170">
        <f>'Coefficients (AvgSa) - IDA'!$L$23*'Output (AvgSa) - IDA'!B42+'Coefficients (AvgSa) - IDA'!$M$23</f>
        <v>3.1455265517837976</v>
      </c>
      <c r="F42" s="169"/>
      <c r="G42" s="169"/>
      <c r="H42" s="178"/>
      <c r="I42" s="170"/>
      <c r="J42" s="183"/>
      <c r="K42" s="129"/>
      <c r="L42" s="10"/>
      <c r="M42" s="122"/>
    </row>
    <row r="43" spans="1:13" x14ac:dyDescent="0.2">
      <c r="A43" s="232"/>
      <c r="B43" s="169">
        <f t="shared" si="10"/>
        <v>16.618507407407407</v>
      </c>
      <c r="C43" s="169">
        <f>'Coefficients (AvgSa) - IDA'!$B$23*'Output (AvgSa) - IDA'!B43+'Coefficients (AvgSa) - IDA'!$C$23</f>
        <v>1.9114162543503506</v>
      </c>
      <c r="D43" s="178">
        <f>'Coefficients (AvgSa) - IDA'!$G$23*'Output (AvgSa) - IDA'!B43+'Coefficients (AvgSa) - IDA'!$H$23</f>
        <v>2.3475230248249224</v>
      </c>
      <c r="E43" s="170">
        <f>'Coefficients (AvgSa) - IDA'!$L$23*'Output (AvgSa) - IDA'!B43+'Coefficients (AvgSa) - IDA'!$M$23</f>
        <v>3.145743864060718</v>
      </c>
      <c r="F43" s="169"/>
      <c r="G43" s="169"/>
      <c r="H43" s="178"/>
      <c r="I43" s="170"/>
      <c r="J43" s="183"/>
      <c r="K43" s="129"/>
      <c r="L43" s="10"/>
      <c r="M43" s="122"/>
    </row>
    <row r="44" spans="1:13" x14ac:dyDescent="0.2">
      <c r="A44" s="232"/>
      <c r="B44" s="169">
        <f t="shared" si="10"/>
        <v>16.635437037037036</v>
      </c>
      <c r="C44" s="169">
        <f>'Coefficients (AvgSa) - IDA'!$B$23*'Output (AvgSa) - IDA'!B44+'Coefficients (AvgSa) - IDA'!$C$23</f>
        <v>1.9115311122038305</v>
      </c>
      <c r="D44" s="178">
        <f>'Coefficients (AvgSa) - IDA'!$G$23*'Output (AvgSa) - IDA'!B44+'Coefficients (AvgSa) - IDA'!$H$23</f>
        <v>2.3476714466043025</v>
      </c>
      <c r="E44" s="170">
        <f>'Coefficients (AvgSa) - IDA'!$L$23*'Output (AvgSa) - IDA'!B44+'Coefficients (AvgSa) - IDA'!$M$23</f>
        <v>3.1459611763376385</v>
      </c>
      <c r="F44" s="169"/>
      <c r="G44" s="169"/>
      <c r="H44" s="178"/>
      <c r="I44" s="170"/>
      <c r="J44" s="183"/>
      <c r="K44" s="129"/>
      <c r="L44" s="10"/>
      <c r="M44" s="122"/>
    </row>
    <row r="45" spans="1:13" x14ac:dyDescent="0.2">
      <c r="A45" s="233"/>
      <c r="B45" s="171">
        <f>Input!I9</f>
        <v>16.652366666666666</v>
      </c>
      <c r="C45" s="171">
        <f>'Coefficients (AvgSa) - IDA'!$B$23*'Output (AvgSa) - IDA'!B45+'Coefficients (AvgSa) - IDA'!$C$23</f>
        <v>1.9116459700573103</v>
      </c>
      <c r="D45" s="172">
        <f>'Coefficients (AvgSa) - IDA'!$G$23*'Output (AvgSa) - IDA'!B45+'Coefficients (AvgSa) - IDA'!$H$23</f>
        <v>2.3478198683836826</v>
      </c>
      <c r="E45" s="173">
        <f>'Coefficients (AvgSa) - IDA'!$L$23*'Output (AvgSa) - IDA'!B45+'Coefficients (AvgSa) - IDA'!$M$23</f>
        <v>3.146178488614559</v>
      </c>
      <c r="F45" s="171">
        <f>B45</f>
        <v>16.652366666666666</v>
      </c>
      <c r="G45" s="181">
        <f>IF(C45&lt;G36,G36,C45)</f>
        <v>2.1060445880989591</v>
      </c>
      <c r="H45" s="181">
        <f>IF(D45&lt;H36,H36,D45)</f>
        <v>2.6011351056970162</v>
      </c>
      <c r="I45" s="181">
        <f>IF(E45&lt;I36,I36,E45)</f>
        <v>3.5425580707386528</v>
      </c>
      <c r="J45" s="182">
        <f>F45*Gamma*Delta_ystar</f>
        <v>0.49957099999999993</v>
      </c>
      <c r="K45" s="130">
        <f t="shared" ref="K45:M46" si="11">G45*Gamma*Sa_y</f>
        <v>1.1519817927573994</v>
      </c>
      <c r="L45" s="123">
        <f t="shared" si="11"/>
        <v>1.4227905236184193</v>
      </c>
      <c r="M45" s="124">
        <f t="shared" si="11"/>
        <v>1.9377378904216012</v>
      </c>
    </row>
    <row r="46" spans="1:13" x14ac:dyDescent="0.2">
      <c r="A46" s="174" t="s">
        <v>30</v>
      </c>
      <c r="B46" s="171">
        <f>B45+2</f>
        <v>18.652366666666666</v>
      </c>
      <c r="C46" s="171">
        <f>C45</f>
        <v>1.9116459700573103</v>
      </c>
      <c r="D46" s="172">
        <f t="shared" ref="D46:E46" si="12">D45</f>
        <v>2.3478198683836826</v>
      </c>
      <c r="E46" s="173">
        <f t="shared" si="12"/>
        <v>3.146178488614559</v>
      </c>
      <c r="F46" s="171">
        <f>F45+2</f>
        <v>18.652366666666666</v>
      </c>
      <c r="G46" s="181">
        <f>G45</f>
        <v>2.1060445880989591</v>
      </c>
      <c r="H46" s="181">
        <f t="shared" ref="H46:I46" si="13">H45</f>
        <v>2.6011351056970162</v>
      </c>
      <c r="I46" s="181">
        <f t="shared" si="13"/>
        <v>3.5425580707386528</v>
      </c>
      <c r="J46" s="184">
        <f>F46*Gamma*Delta_ystar</f>
        <v>0.55957099999999993</v>
      </c>
      <c r="K46" s="131">
        <f t="shared" si="11"/>
        <v>1.1519817927573994</v>
      </c>
      <c r="L46" s="118">
        <f t="shared" si="11"/>
        <v>1.4227905236184193</v>
      </c>
      <c r="M46" s="119">
        <f t="shared" si="11"/>
        <v>1.9377378904216012</v>
      </c>
    </row>
  </sheetData>
  <mergeCells count="10">
    <mergeCell ref="A4:A5"/>
    <mergeCell ref="A6:A15"/>
    <mergeCell ref="A16:A25"/>
    <mergeCell ref="A26:A35"/>
    <mergeCell ref="A36:A45"/>
    <mergeCell ref="G3:I3"/>
    <mergeCell ref="G1:I1"/>
    <mergeCell ref="K1:M1"/>
    <mergeCell ref="K3:M3"/>
    <mergeCell ref="C3:E3"/>
  </mergeCell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Input</vt:lpstr>
      <vt:lpstr>Coefficients (AvgSa) - Cloud</vt:lpstr>
      <vt:lpstr>Coefficients (Sa(T1))</vt:lpstr>
      <vt:lpstr>Output (Sa(T1))</vt:lpstr>
      <vt:lpstr>Coefficients (AvgSa) - IDA</vt:lpstr>
      <vt:lpstr>Output (AvgSa) - IDA</vt:lpstr>
      <vt:lpstr>D_ystar</vt:lpstr>
      <vt:lpstr>Delta_y</vt:lpstr>
      <vt:lpstr>Delta_ystar</vt:lpstr>
      <vt:lpstr>F_ystar</vt:lpstr>
      <vt:lpstr>Gamma</vt:lpstr>
      <vt:lpstr>m_star</vt:lpstr>
      <vt:lpstr>m_total</vt:lpstr>
      <vt:lpstr>Sa_y</vt:lpstr>
      <vt:lpstr>Say</vt:lpstr>
      <vt:lpstr>T_star</vt:lpstr>
      <vt:lpstr>V_by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Moayad Nafeaa</cp:lastModifiedBy>
  <dcterms:created xsi:type="dcterms:W3CDTF">2019-02-01T14:39:06Z</dcterms:created>
  <dcterms:modified xsi:type="dcterms:W3CDTF">2021-07-02T08:13:19Z</dcterms:modified>
</cp:coreProperties>
</file>