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https://d.docs.live.net/7c741cee80ec8cf3/Financieel/IndexFondsenOnderzoek/KeuzeWelkIndexFonds/OnderzoekPerFonds/NorthernTrust/"/>
    </mc:Choice>
  </mc:AlternateContent>
  <xr:revisionPtr revIDLastSave="1218" documentId="13_ncr:1_{0BEEB54A-A1B5-4808-9253-8C962E6DCC11}" xr6:coauthVersionLast="47" xr6:coauthVersionMax="47" xr10:uidLastSave="{83DDD94E-49D9-47F1-9CFE-EC7F1C33A09D}"/>
  <bookViews>
    <workbookView xWindow="25695" yWindow="0" windowWidth="26010" windowHeight="20985" activeTab="7" xr2:uid="{00000000-000D-0000-FFFF-FFFF00000000}"/>
  </bookViews>
  <sheets>
    <sheet name="Aannames" sheetId="4" r:id="rId1"/>
    <sheet name="World" sheetId="1" r:id="rId2"/>
    <sheet name="Emerging" sheetId="5" r:id="rId3"/>
    <sheet name="SmallCaps" sheetId="6" r:id="rId4"/>
    <sheet name="NA" sheetId="10" r:id="rId5"/>
    <sheet name="Europe" sheetId="11" r:id="rId6"/>
    <sheet name="Northern Trust Master fondsen" sheetId="2" r:id="rId7"/>
    <sheet name="Tracking Difference"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8" i="1" l="1"/>
  <c r="C38" i="1"/>
  <c r="C37" i="1"/>
  <c r="C15" i="1"/>
  <c r="C16" i="1" s="1"/>
  <c r="C25" i="1"/>
  <c r="L6" i="3"/>
  <c r="V23" i="3"/>
  <c r="W23" i="3"/>
  <c r="X23" i="3"/>
  <c r="Y23" i="3"/>
  <c r="Z23" i="3"/>
  <c r="AA23" i="3"/>
  <c r="AB23" i="3"/>
  <c r="U23" i="3"/>
  <c r="J13" i="1"/>
  <c r="J15" i="1" s="1"/>
  <c r="J16" i="1" s="1"/>
  <c r="AB27" i="3" s="1"/>
  <c r="I13" i="1"/>
  <c r="I14" i="1" s="1"/>
  <c r="H13" i="1"/>
  <c r="H14" i="1" s="1"/>
  <c r="G13" i="1"/>
  <c r="G14" i="1" s="1"/>
  <c r="F13" i="1"/>
  <c r="F14" i="1" s="1"/>
  <c r="E13" i="1"/>
  <c r="E15" i="1" s="1"/>
  <c r="E16" i="1" s="1"/>
  <c r="W27" i="3" s="1"/>
  <c r="D13" i="1"/>
  <c r="D15" i="1" s="1"/>
  <c r="D16" i="1" s="1"/>
  <c r="V27" i="3" s="1"/>
  <c r="C14" i="1"/>
  <c r="U27" i="3" l="1"/>
  <c r="D14" i="1"/>
  <c r="V28" i="3"/>
  <c r="E14" i="1"/>
  <c r="W28" i="3" s="1"/>
  <c r="J14" i="1"/>
  <c r="AB28" i="3" s="1"/>
  <c r="G15" i="1"/>
  <c r="G16" i="1" s="1"/>
  <c r="Y27" i="3" s="1"/>
  <c r="Y28" i="3" s="1"/>
  <c r="I15" i="1"/>
  <c r="I16" i="1" s="1"/>
  <c r="AA27" i="3" s="1"/>
  <c r="AA28" i="3" s="1"/>
  <c r="H15" i="1"/>
  <c r="H16" i="1" s="1"/>
  <c r="Z27" i="3" s="1"/>
  <c r="Z28" i="3" s="1"/>
  <c r="F15" i="1"/>
  <c r="F16" i="1" s="1"/>
  <c r="F17" i="3"/>
  <c r="G17" i="3"/>
  <c r="H17" i="3"/>
  <c r="I17" i="3"/>
  <c r="J17" i="3"/>
  <c r="K17" i="3"/>
  <c r="L17" i="3"/>
  <c r="E17" i="3"/>
  <c r="O17" i="3" s="1"/>
  <c r="F16" i="3"/>
  <c r="G16" i="3"/>
  <c r="H16" i="3"/>
  <c r="I16" i="3"/>
  <c r="J16" i="3"/>
  <c r="K16" i="3"/>
  <c r="L16" i="3"/>
  <c r="E16" i="3"/>
  <c r="J12" i="3"/>
  <c r="K12" i="3"/>
  <c r="L12" i="3"/>
  <c r="M12" i="3"/>
  <c r="I12" i="3"/>
  <c r="J11" i="3"/>
  <c r="K11" i="3"/>
  <c r="L11" i="3"/>
  <c r="M11" i="3"/>
  <c r="I11" i="3"/>
  <c r="V24" i="3"/>
  <c r="W24" i="3"/>
  <c r="X24" i="3"/>
  <c r="Y24" i="3"/>
  <c r="Z24" i="3"/>
  <c r="AA24" i="3"/>
  <c r="AB24" i="3"/>
  <c r="U24" i="3"/>
  <c r="C27" i="6"/>
  <c r="C28" i="6"/>
  <c r="C30" i="6"/>
  <c r="C24" i="5"/>
  <c r="C35" i="1"/>
  <c r="X27" i="3" l="1"/>
  <c r="X28" i="3" s="1"/>
  <c r="M16" i="1"/>
  <c r="C24" i="1" s="1"/>
  <c r="C27" i="1" s="1"/>
  <c r="C28" i="1" s="1"/>
  <c r="P16" i="3"/>
  <c r="O12" i="3"/>
  <c r="P11" i="3"/>
  <c r="M18" i="6"/>
  <c r="M16" i="6"/>
  <c r="M13" i="6"/>
  <c r="I7" i="6"/>
  <c r="J7" i="6"/>
  <c r="M14" i="5"/>
  <c r="M11" i="5"/>
  <c r="I8" i="5"/>
  <c r="J8" i="5"/>
  <c r="M22" i="1"/>
  <c r="M20" i="1"/>
  <c r="I7" i="1"/>
  <c r="J7" i="1"/>
  <c r="I8" i="6"/>
  <c r="J8" i="6"/>
  <c r="I8" i="1"/>
  <c r="J8" i="1"/>
  <c r="K20" i="2"/>
  <c r="K6" i="2"/>
  <c r="J20" i="2"/>
  <c r="J6" i="2"/>
  <c r="K46" i="3"/>
  <c r="L46" i="3"/>
  <c r="M46" i="3"/>
  <c r="K23" i="3"/>
  <c r="L23" i="3"/>
  <c r="M23" i="3"/>
  <c r="K22" i="3"/>
  <c r="L22" i="3"/>
  <c r="M22" i="3"/>
  <c r="K45" i="3"/>
  <c r="L45" i="3"/>
  <c r="M45" i="3"/>
  <c r="U25" i="3"/>
  <c r="U28" i="3" s="1"/>
  <c r="AC28" i="3" s="1"/>
  <c r="V25" i="3"/>
  <c r="W25" i="3"/>
  <c r="U22" i="3"/>
  <c r="V22" i="3"/>
  <c r="W22" i="3"/>
  <c r="Y25" i="3"/>
  <c r="Z25" i="3"/>
  <c r="AA25" i="3"/>
  <c r="AB25" i="3"/>
  <c r="X25" i="3"/>
  <c r="Y22" i="3"/>
  <c r="Z22" i="3"/>
  <c r="AA22" i="3"/>
  <c r="AB22" i="3"/>
  <c r="X22" i="3"/>
  <c r="M7" i="3"/>
  <c r="M6" i="3"/>
  <c r="K7" i="3"/>
  <c r="L7" i="3"/>
  <c r="K6" i="3"/>
  <c r="I20" i="2"/>
  <c r="H8" i="6" s="1"/>
  <c r="I6" i="2"/>
  <c r="H8" i="1" s="1"/>
  <c r="H7" i="6"/>
  <c r="H7" i="1"/>
  <c r="H8" i="5"/>
  <c r="J46" i="3"/>
  <c r="J45" i="3"/>
  <c r="J23" i="3"/>
  <c r="J22" i="3"/>
  <c r="J7" i="3"/>
  <c r="J6" i="3"/>
  <c r="C29" i="1" l="1"/>
  <c r="C23" i="5"/>
  <c r="C26" i="5" s="1"/>
  <c r="I10" i="6"/>
  <c r="J10" i="6"/>
  <c r="H10" i="1"/>
  <c r="J10" i="1"/>
  <c r="I10" i="1"/>
  <c r="H10" i="6"/>
  <c r="H20" i="2"/>
  <c r="G8" i="6" s="1"/>
  <c r="G7" i="6"/>
  <c r="G8" i="5"/>
  <c r="G7" i="1"/>
  <c r="I23" i="3"/>
  <c r="I22" i="3"/>
  <c r="I7" i="3"/>
  <c r="I6" i="3"/>
  <c r="C34" i="1" l="1"/>
  <c r="G10" i="6"/>
  <c r="M10" i="6" s="1"/>
  <c r="I45" i="3"/>
  <c r="P45" i="3" s="1"/>
  <c r="I46" i="3"/>
  <c r="O46" i="3" s="1"/>
  <c r="D30" i="6" s="1"/>
  <c r="F13" i="5" l="1"/>
  <c r="F19" i="1"/>
  <c r="F15" i="11"/>
  <c r="F15" i="10"/>
  <c r="F16" i="6"/>
  <c r="E13" i="5"/>
  <c r="E19" i="1"/>
  <c r="E15" i="11"/>
  <c r="E15" i="10"/>
  <c r="D13" i="5"/>
  <c r="D19" i="1"/>
  <c r="D15" i="11"/>
  <c r="D15" i="10"/>
  <c r="C15" i="11"/>
  <c r="C15" i="10"/>
  <c r="C19" i="1"/>
  <c r="C13" i="5"/>
  <c r="M13" i="5" s="1"/>
  <c r="M19" i="1" l="1"/>
  <c r="G24" i="2"/>
  <c r="C48" i="2"/>
  <c r="D48" i="2"/>
  <c r="E48" i="2"/>
  <c r="F48" i="2"/>
  <c r="G48" i="2"/>
  <c r="C35" i="2"/>
  <c r="D35" i="2"/>
  <c r="E35" i="2"/>
  <c r="F35" i="2"/>
  <c r="G35" i="2"/>
  <c r="C11" i="2"/>
  <c r="D11" i="2"/>
  <c r="E11" i="2"/>
  <c r="F11" i="2"/>
  <c r="G11" i="2"/>
  <c r="F37" i="3" l="1"/>
  <c r="G37" i="3"/>
  <c r="H37" i="3"/>
  <c r="E37" i="3"/>
  <c r="N37" i="3" s="1"/>
  <c r="F29" i="3"/>
  <c r="G29" i="3"/>
  <c r="H29" i="3"/>
  <c r="E29" i="3"/>
  <c r="N29" i="3" s="1"/>
  <c r="G44" i="2" l="1"/>
  <c r="F8" i="10" s="1"/>
  <c r="F44" i="2"/>
  <c r="E8" i="10" s="1"/>
  <c r="E44" i="2"/>
  <c r="D8" i="10" s="1"/>
  <c r="D44" i="2"/>
  <c r="C8" i="10" s="1"/>
  <c r="G31" i="2"/>
  <c r="F8" i="11" s="1"/>
  <c r="F31" i="2"/>
  <c r="E8" i="11" s="1"/>
  <c r="E31" i="2"/>
  <c r="D8" i="11" s="1"/>
  <c r="D31" i="2"/>
  <c r="C8" i="11" s="1"/>
  <c r="F12" i="10"/>
  <c r="F13" i="10" s="1"/>
  <c r="F12" i="11"/>
  <c r="F13" i="11" s="1"/>
  <c r="E12" i="10"/>
  <c r="E13" i="10" s="1"/>
  <c r="E12" i="11"/>
  <c r="E13" i="11" s="1"/>
  <c r="D12" i="11"/>
  <c r="D13" i="11" s="1"/>
  <c r="D12" i="10"/>
  <c r="D13" i="10" s="1"/>
  <c r="C12" i="10"/>
  <c r="C12" i="11"/>
  <c r="H10" i="11"/>
  <c r="F7" i="11"/>
  <c r="E7" i="11"/>
  <c r="D7" i="11"/>
  <c r="C7" i="11"/>
  <c r="H39" i="3"/>
  <c r="G39" i="3"/>
  <c r="F39" i="3"/>
  <c r="E39" i="3"/>
  <c r="H38" i="3"/>
  <c r="G38" i="3"/>
  <c r="F38" i="3"/>
  <c r="E38" i="3"/>
  <c r="F31" i="3"/>
  <c r="G31" i="3"/>
  <c r="H31" i="3"/>
  <c r="E31" i="3"/>
  <c r="F30" i="3"/>
  <c r="G30" i="3"/>
  <c r="H30" i="3"/>
  <c r="E30" i="3"/>
  <c r="H10" i="10"/>
  <c r="F7" i="10"/>
  <c r="E7" i="10"/>
  <c r="D7" i="10"/>
  <c r="C7" i="10"/>
  <c r="P30" i="3" l="1"/>
  <c r="O31" i="3"/>
  <c r="C18" i="10" s="1"/>
  <c r="D9" i="11"/>
  <c r="D9" i="10"/>
  <c r="E9" i="10"/>
  <c r="F9" i="11"/>
  <c r="C9" i="11"/>
  <c r="F9" i="10"/>
  <c r="C9" i="10"/>
  <c r="E9" i="11"/>
  <c r="C21" i="11" s="1"/>
  <c r="C13" i="10"/>
  <c r="C13" i="11"/>
  <c r="H13" i="11" s="1"/>
  <c r="O39" i="3"/>
  <c r="P38" i="3"/>
  <c r="H13" i="10"/>
  <c r="C18" i="11" l="1"/>
  <c r="C21" i="10"/>
  <c r="H9" i="10"/>
  <c r="C17" i="10" s="1"/>
  <c r="C19" i="10" s="1"/>
  <c r="H9" i="11"/>
  <c r="C17" i="11" s="1"/>
  <c r="C19" i="11" l="1"/>
  <c r="C23" i="11"/>
  <c r="C24" i="11" s="1"/>
  <c r="C23" i="10"/>
  <c r="C24" i="10" s="1"/>
  <c r="F7" i="6" l="1"/>
  <c r="F8" i="5"/>
  <c r="E8" i="5"/>
  <c r="D8" i="5"/>
  <c r="C8" i="5"/>
  <c r="H22" i="3"/>
  <c r="G22" i="3"/>
  <c r="F22" i="3"/>
  <c r="E22" i="3"/>
  <c r="H23" i="3"/>
  <c r="G23" i="3"/>
  <c r="F23" i="3"/>
  <c r="E23" i="3"/>
  <c r="H6" i="3"/>
  <c r="G6" i="3"/>
  <c r="F6" i="3"/>
  <c r="E6" i="3"/>
  <c r="P6" i="3" s="1"/>
  <c r="H7" i="3"/>
  <c r="G7" i="3"/>
  <c r="F7" i="3"/>
  <c r="E7" i="3"/>
  <c r="O23" i="3" l="1"/>
  <c r="D26" i="5" s="1"/>
  <c r="O7" i="3"/>
  <c r="P22" i="3"/>
  <c r="M8" i="5"/>
  <c r="C16" i="5" s="1"/>
  <c r="C17" i="5"/>
  <c r="D6" i="2"/>
  <c r="E6" i="2"/>
  <c r="F6" i="2"/>
  <c r="G20" i="2"/>
  <c r="F8" i="6" s="1"/>
  <c r="F7" i="1"/>
  <c r="E7" i="1"/>
  <c r="D7" i="1"/>
  <c r="C7" i="1"/>
  <c r="C20" i="6" l="1"/>
  <c r="C21" i="6" s="1"/>
  <c r="F10" i="6"/>
  <c r="G5" i="2"/>
  <c r="G6" i="2" l="1"/>
  <c r="H6" i="2"/>
  <c r="G8" i="1" s="1"/>
  <c r="G10" i="1" s="1"/>
  <c r="D8" i="1"/>
  <c r="D10" i="1" s="1"/>
  <c r="C8" i="1"/>
  <c r="E8" i="1"/>
  <c r="E10" i="1" s="1"/>
  <c r="C10" i="1" l="1"/>
  <c r="F8" i="1" l="1"/>
  <c r="F10" i="1" s="1"/>
  <c r="M1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Gerben</author>
    <author>Gerben van Loon</author>
  </authors>
  <commentList>
    <comment ref="B5" authorId="0" shapeId="0" xr:uid="{50241BA5-D145-4219-832D-BE1203AA7BBD}">
      <text>
        <r>
          <rPr>
            <b/>
            <sz val="9"/>
            <color indexed="81"/>
            <rFont val="Tahoma"/>
            <family val="2"/>
          </rPr>
          <t>Gerben:</t>
        </r>
        <r>
          <rPr>
            <sz val="9"/>
            <color indexed="81"/>
            <rFont val="Tahoma"/>
            <family val="2"/>
          </rPr>
          <t xml:space="preserve">
Uit statement of comprehensive incomeUit statement of comprehensive income</t>
        </r>
      </text>
    </comment>
    <comment ref="B6" authorId="0" shapeId="0" xr:uid="{DA8AC351-F0FF-44DC-8CB8-6245CA4D3929}">
      <text>
        <r>
          <rPr>
            <b/>
            <sz val="9"/>
            <color indexed="81"/>
            <rFont val="Tahoma"/>
            <family val="2"/>
          </rPr>
          <t>Gerben:</t>
        </r>
        <r>
          <rPr>
            <sz val="9"/>
            <color indexed="81"/>
            <rFont val="Tahoma"/>
            <family val="2"/>
          </rPr>
          <t xml:space="preserve">
Uit 22. Portfolio Turnover Rate</t>
        </r>
      </text>
    </comment>
    <comment ref="B13" authorId="0" shapeId="0" xr:uid="{47B59FE6-E559-49A1-B808-B9520AED0A7F}">
      <text>
        <r>
          <rPr>
            <b/>
            <sz val="9"/>
            <color indexed="81"/>
            <rFont val="Tahoma"/>
            <family val="2"/>
          </rPr>
          <t>Gerben:</t>
        </r>
        <r>
          <rPr>
            <sz val="9"/>
            <color indexed="81"/>
            <rFont val="Tahoma"/>
            <family val="2"/>
          </rPr>
          <t xml:space="preserve">
Uit statement of comprehensive income</t>
        </r>
      </text>
    </comment>
    <comment ref="B20" authorId="0" shapeId="0" xr:uid="{BD1C1B9C-3BAD-45A2-992F-6823089C5EEE}">
      <text>
        <r>
          <rPr>
            <b/>
            <sz val="9"/>
            <color indexed="81"/>
            <rFont val="Tahoma"/>
            <family val="2"/>
          </rPr>
          <t>https://www.assetmanagement.hsbc.nl/en/professional-clients/fund-centre/ie00b4x9l533</t>
        </r>
      </text>
    </comment>
    <comment ref="B22" authorId="1" shapeId="0" xr:uid="{0C1CBCCD-258E-4F5F-BE9F-D83596E2AAA6}">
      <text>
        <r>
          <rPr>
            <b/>
            <sz val="9"/>
            <color indexed="81"/>
            <rFont val="Tahoma"/>
            <family val="2"/>
          </rPr>
          <t>Gerben van Loon:</t>
        </r>
        <r>
          <rPr>
            <sz val="9"/>
            <color indexed="81"/>
            <rFont val="Tahoma"/>
            <family val="2"/>
          </rPr>
          <t xml:space="preserve">
Pagina 159 (2023)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Gerben</author>
  </authors>
  <commentList>
    <comment ref="B14" authorId="0" shapeId="0" xr:uid="{525B02DB-CF23-48B2-9EF4-9B279845D0C8}">
      <text>
        <r>
          <rPr>
            <b/>
            <sz val="9"/>
            <color indexed="81"/>
            <rFont val="Tahoma"/>
            <family val="2"/>
          </rPr>
          <t>Gerben:</t>
        </r>
        <r>
          <rPr>
            <sz val="9"/>
            <color indexed="81"/>
            <rFont val="Tahoma"/>
            <family val="2"/>
          </rPr>
          <t xml:space="preserve">
https://www.assetmanagement.hsbc.co.uk/en/intermediary/funds/ie00b4x9l533?t=6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Gerben van Loon</author>
  </authors>
  <commentList>
    <comment ref="B18" authorId="0" shapeId="0" xr:uid="{19166E4E-184D-453D-824D-6D7894A37242}">
      <text>
        <r>
          <rPr>
            <b/>
            <sz val="9"/>
            <color indexed="81"/>
            <rFont val="Tahoma"/>
            <family val="2"/>
          </rPr>
          <t>Gerben van Loon:</t>
        </r>
        <r>
          <rPr>
            <sz val="9"/>
            <color indexed="81"/>
            <rFont val="Tahoma"/>
            <family val="2"/>
          </rPr>
          <t xml:space="preserve">
Pagina 109 (2020)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Gerben</author>
  </authors>
  <commentList>
    <comment ref="B5" authorId="0" shapeId="0" xr:uid="{75BF0AFD-93F6-4D2B-85DC-AD02EA0A058C}">
      <text>
        <r>
          <rPr>
            <b/>
            <sz val="9"/>
            <color indexed="81"/>
            <rFont val="Tahoma"/>
            <family val="2"/>
          </rPr>
          <t>Gerben:</t>
        </r>
        <r>
          <rPr>
            <sz val="9"/>
            <color indexed="81"/>
            <rFont val="Tahoma"/>
            <family val="2"/>
          </rPr>
          <t xml:space="preserve">
"Net assets attributable to holders of redeemable participating
units" genomen uit "STATEMENT OF FINANCIAL POSITION"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Gerben</author>
    <author>Gerben van Loon</author>
  </authors>
  <commentList>
    <comment ref="O2" authorId="0" shapeId="0" xr:uid="{434CD842-3C43-4334-B2E1-FAF0941512B8}">
      <text>
        <r>
          <rPr>
            <b/>
            <sz val="9"/>
            <color indexed="81"/>
            <rFont val="Tahoma"/>
            <family val="2"/>
          </rPr>
          <t>Gerben:</t>
        </r>
        <r>
          <rPr>
            <sz val="9"/>
            <color indexed="81"/>
            <rFont val="Tahoma"/>
            <family val="2"/>
          </rPr>
          <t xml:space="preserve">
Tracking Difference</t>
        </r>
      </text>
    </comment>
    <comment ref="P2" authorId="0" shapeId="0" xr:uid="{EE1FF351-82F3-401D-BF5F-E210234F658F}">
      <text>
        <r>
          <rPr>
            <b/>
            <sz val="9"/>
            <color indexed="81"/>
            <rFont val="Tahoma"/>
            <family val="2"/>
          </rPr>
          <t>Gerben:</t>
        </r>
        <r>
          <rPr>
            <sz val="9"/>
            <color indexed="81"/>
            <rFont val="Tahoma"/>
            <family val="2"/>
          </rPr>
          <t xml:space="preserve">
Outperformance Netto Index</t>
        </r>
      </text>
    </comment>
    <comment ref="B4" authorId="0" shapeId="0" xr:uid="{D86328CD-638A-418E-A01A-FAE5B79F74B0}">
      <text>
        <r>
          <rPr>
            <b/>
            <sz val="9"/>
            <color indexed="81"/>
            <rFont val="Tahoma"/>
            <family val="2"/>
          </rPr>
          <t>Gerben:</t>
        </r>
        <r>
          <rPr>
            <sz val="9"/>
            <color indexed="81"/>
            <rFont val="Tahoma"/>
            <family val="2"/>
          </rPr>
          <t xml:space="preserve">
Zelf moeten opzoeken in: https://www.msci.com/end-of-day-data-search
Index suite: ESG Custom
</t>
        </r>
      </text>
    </comment>
    <comment ref="B15" authorId="1" shapeId="0" xr:uid="{43F0D582-9D09-41CC-BA24-2F8278F58333}">
      <text>
        <r>
          <rPr>
            <b/>
            <sz val="9"/>
            <color indexed="81"/>
            <rFont val="Tahoma"/>
            <charset val="1"/>
          </rPr>
          <t>Gerben</t>
        </r>
        <r>
          <rPr>
            <sz val="9"/>
            <color indexed="81"/>
            <rFont val="Tahoma"/>
            <charset val="1"/>
          </rPr>
          <t xml:space="preserve">
From "Sub-Fund Review" or "The returns posted by the Sub-Funds and their respective benchmarks for the year were as follows"
of the annual report</t>
        </r>
      </text>
    </comment>
    <comment ref="B20" authorId="0" shapeId="0" xr:uid="{491C301F-C58A-4556-8DFB-A3897F0CAD8E}">
      <text>
        <r>
          <rPr>
            <b/>
            <sz val="9"/>
            <color indexed="81"/>
            <rFont val="Tahoma"/>
            <family val="2"/>
          </rPr>
          <t>Gerben:</t>
        </r>
        <r>
          <rPr>
            <sz val="9"/>
            <color indexed="81"/>
            <rFont val="Tahoma"/>
            <family val="2"/>
          </rPr>
          <t xml:space="preserve">
Zelf moeten opzoeken in: https://www.msci.com/end-of-day-data-search
NT EM CUSTOM ESG INDEX heet hij daar
</t>
        </r>
      </text>
    </comment>
    <comment ref="B44" authorId="0" shapeId="0" xr:uid="{44AC9BF2-D406-4BD8-8416-B5B9C5DDFA7D}">
      <text>
        <r>
          <rPr>
            <b/>
            <sz val="9"/>
            <color indexed="81"/>
            <rFont val="Tahoma"/>
            <family val="2"/>
          </rPr>
          <t>Gerben:</t>
        </r>
        <r>
          <rPr>
            <sz val="9"/>
            <color indexed="81"/>
            <rFont val="Tahoma"/>
            <family val="2"/>
          </rPr>
          <t xml:space="preserve">
MSCI EOD. Suite: ESG Custom. Size: small cap</t>
        </r>
      </text>
    </comment>
  </commentList>
</comments>
</file>

<file path=xl/sharedStrings.xml><?xml version="1.0" encoding="utf-8"?>
<sst xmlns="http://schemas.openxmlformats.org/spreadsheetml/2006/main" count="251" uniqueCount="138">
  <si>
    <t>Transaction costs and interest expenses are excluded from the calculation.</t>
  </si>
  <si>
    <t>Transaction costs</t>
  </si>
  <si>
    <t>Northern Trust Emerging Markets Custom ESG Equity Index UCITS FGR Fund €</t>
  </si>
  <si>
    <t>Northern Trust World Custom ESG Equity Index UCITS FGR Feeder Fund €</t>
  </si>
  <si>
    <t>management</t>
  </si>
  <si>
    <t>investment management and administration of the Sub-Funds</t>
  </si>
  <si>
    <t>plus other running costs, such as depositary, audit and regulatory fees.</t>
  </si>
  <si>
    <t>Average net asset value</t>
  </si>
  <si>
    <t>% transactie kosten</t>
  </si>
  <si>
    <t>Northern Trust World Small Cap ESG Low Carbon Index FGR Fund €</t>
  </si>
  <si>
    <t>Northern Trust World Custom ESG Equity Index Fund US $</t>
  </si>
  <si>
    <t>Northern Trust World Small Cap ESG Low Carbon Index Fund €</t>
  </si>
  <si>
    <t>Vermogen einde jaar</t>
  </si>
  <si>
    <t>Gemiddelde</t>
  </si>
  <si>
    <t>Doe de aanname wat in het jaarverslag onder "other expenses" staat dus in de TER/OCF zit</t>
  </si>
  <si>
    <t>% transactie kosten feeder</t>
  </si>
  <si>
    <t>% transactie kosten master</t>
  </si>
  <si>
    <t>Neem dus aan dat het deze is. Gek, bij small caps is er wel gewoon een euro master fonds</t>
  </si>
  <si>
    <t>Deze getallen komen uit de "NORTHERN TRUST UCITS COMMON CONTRACTUAL FUND" jaarverslagen</t>
  </si>
  <si>
    <t>Er is ook een euro fonds world maar die is hedged en heeft dat ook in de naam, dat matched dus niet.</t>
  </si>
  <si>
    <t>Schatting kosten toekomst</t>
  </si>
  <si>
    <t>09-2015 gestart. Feeder naar: Northern Trust World Custom ESG Equity Index Fund</t>
  </si>
  <si>
    <t>12-2015 gestart. Geen feeder</t>
  </si>
  <si>
    <t>06-2019 gestart. Feeder naar Northern Trust World Small Cap ESG Low Carbon Index Fund</t>
  </si>
  <si>
    <t>Aannames</t>
  </si>
  <si>
    <t>Wat valt op</t>
  </si>
  <si>
    <t>% transactie kosten totaal</t>
  </si>
  <si>
    <t>Wel gek dat soms wel wat kosten bij de feeder worden gemeld</t>
  </si>
  <si>
    <t>Dat transactie en rentekosten van feeder en master fonds bij elkaar opgeteld moeten worden</t>
  </si>
  <si>
    <t>Geen securities lending inkomsten</t>
  </si>
  <si>
    <t xml:space="preserve">Jaarverslag: The OCF includes the cost of </t>
  </si>
  <si>
    <t>Via BND geeft NT aan dat het sluitend is voor hun EM en SmallCap fondsen. Sluitend in EM vind BND zelf ook wel wat raar</t>
  </si>
  <si>
    <t>Transaction costs are costs incurred to acquire or dispose of financial assets or liabilities at fair value
 through profit or loss. They include fees and commissions paid to agents, brokers and dealers.
 Transaction costs for the year are disclosed in the Statement of Comprehensive Income.</t>
  </si>
  <si>
    <t>Lijkt wel te kloppen als ik alle kosten ex transactie optel. Kom dan wel bij de TER in de buurt</t>
  </si>
  <si>
    <t>Rente kosten neem ik niet mee, meestal weinig. En ook weer rente inkomsten.</t>
  </si>
  <si>
    <t>Is natuurlijk niet, maar heb niks anders</t>
  </si>
  <si>
    <t>Enkel deze naam matched volledig met de doorverwijzing vanuit het feeder fonds, wel $ is wat raar</t>
  </si>
  <si>
    <t>Geen gemiddeld vermogen te vinden. Dus maar gemiddelde van stand begin en einde jaar. Aanname dat lineair oploopt.</t>
  </si>
  <si>
    <t>Meesman geeft aan dicht tegen de 100% belasting terug te krijgen, is ook NT</t>
  </si>
  <si>
    <t>In de start jaren vaak wat hogere transactiekosten</t>
  </si>
  <si>
    <t>Bij iShares kan ik nog achteruit doordat de TER dagelijks in rekening wordt gebracht en er vermeld staat hoeveel er op jaarbasis</t>
  </si>
  <si>
    <t>TD</t>
  </si>
  <si>
    <t>OPNI</t>
  </si>
  <si>
    <t>MSCI custom ESG (EUR) gross</t>
  </si>
  <si>
    <t>MSCI custom ESG (EUR) net</t>
  </si>
  <si>
    <t>Vs gross</t>
  </si>
  <si>
    <t>Vs net</t>
  </si>
  <si>
    <t>De TER heeft veel gewisseld, world wordt duurder als er meer vermogen in zit. Raar</t>
  </si>
  <si>
    <t>Gat met kosten benadering</t>
  </si>
  <si>
    <t>Schatting tracking diff toekomst</t>
  </si>
  <si>
    <t>TER wisselingen</t>
  </si>
  <si>
    <t>Tussen de kosten benadering en tracking difference zit een kleiner gat als bij world</t>
  </si>
  <si>
    <t>2016-2019</t>
  </si>
  <si>
    <t>Of in begin gewoon goedkoop geweest om vermogen aan te trekken?</t>
  </si>
  <si>
    <t>De in rekening gebrachte TER lijkt soms anders als wat er in rekening gebracht had moeten worden</t>
  </si>
  <si>
    <t>MSCI North America Custom ESG Index Net EUR</t>
  </si>
  <si>
    <t>MSCI North America Custom ESG Index Gross EUR</t>
  </si>
  <si>
    <t>Northern Trust North America Custom ESG Equity Index UCITS FGR Feeder Fund €</t>
  </si>
  <si>
    <t>Northern Trust North America Custom ESG Equity Index UCITS FGR Feeder Fund</t>
  </si>
  <si>
    <t>Northern Trust Emerging Markets Custom ESG Equity Index UCITS FGR Fund</t>
  </si>
  <si>
    <t>Northern Trust Europe Custom ESG Equity Index UCITS FGR Feeder Fund</t>
  </si>
  <si>
    <t>MSCI Europe Custom ESG Index Net EUR</t>
  </si>
  <si>
    <t>MSCI Europe Custom ESG Index Gross EUR</t>
  </si>
  <si>
    <t>Northern Trust Europe Custom ESG Equity Index UCITS FGR Feeder Fund €</t>
  </si>
  <si>
    <t>12-2015 gestart.  Feeder naar: Northern Trust North America Custom ESG Equity Index Fund (the "Master Fund")</t>
  </si>
  <si>
    <t>Total operating exp - transaction</t>
  </si>
  <si>
    <t>10-2015 gestart. Feeder naar:  Northern Trust Europe Custom ESG Equity Index Fund ("het master-fonds")</t>
  </si>
  <si>
    <t>Northern Trust Europe ESG Equity Index Fund €</t>
  </si>
  <si>
    <t>Northern Trust North America Custom ESG Equity Index Fund US$</t>
  </si>
  <si>
    <t>TER gemeld</t>
  </si>
  <si>
    <t>% TER in rekening gebracht</t>
  </si>
  <si>
    <t>Bij de feeders worden er namelijk bijna geen transactiekosten gemeld</t>
  </si>
  <si>
    <t>In emerging markets wat hogere transactiekosten</t>
  </si>
  <si>
    <t>Transactiekosten ietwat aan de hoge kant voor europa</t>
  </si>
  <si>
    <t>Bruto - netto index</t>
  </si>
  <si>
    <t>Dividend income</t>
  </si>
  <si>
    <t>Withholding taxes</t>
  </si>
  <si>
    <t>Percentage</t>
  </si>
  <si>
    <t>in rekening is gebracht, bij NT is de TER van de master fondsen niet los te vinden</t>
  </si>
  <si>
    <t>Allen maar 1x per jaar dividend uitkering, lopende dividenden worden wel meteen netto geinvesteerd?</t>
  </si>
  <si>
    <t>Kosten gemiddeld verleden</t>
  </si>
  <si>
    <t>Tracking difference verleden</t>
  </si>
  <si>
    <t>De cash/tax drag valt hier extra op omdat de master veel lekt, NL belasdienst nodig om de boel terug te krijgen via ons</t>
  </si>
  <si>
    <t>De cash/tax drag valt hier minder op omdat het lek in europa kleiner is</t>
  </si>
  <si>
    <t>In het 2018 jaarverslag staat dat TER 0,42% zou zijn geweest in 2018</t>
  </si>
  <si>
    <t>In het 2019 jaarverslag staat dat TER 0,25% zou zijn geweest in 2018</t>
  </si>
  <si>
    <t>0,29% is er gerekend</t>
  </si>
  <si>
    <t>Kosten verschil toekomst en verleden</t>
  </si>
  <si>
    <t>Aaname: kalender perf geen last van swing pricing</t>
  </si>
  <si>
    <t>Turnover rate</t>
  </si>
  <si>
    <t>The dealing net asset value per unit for the Sub-Funds did not include</t>
  </si>
  <si>
    <t>any dilution adjustment at 31 December 2019, 31 December 2018 or 31 December 2017 and correspond to their net asset value per unit disclosed in Note 21.</t>
  </si>
  <si>
    <t>US drijft het dividend lek op, niet europa</t>
  </si>
  <si>
    <t>Derivatives</t>
  </si>
  <si>
    <t>HSBC MSCI World turnover (vergelijk)</t>
  </si>
  <si>
    <t>Transactiekosten wel heel erg laag gezien turnover en in vergelijking met iShares/Vanguard</t>
  </si>
  <si>
    <t>HSBC MSCI EM turnover (vergelijk)</t>
  </si>
  <si>
    <t>NORTHERN TRUST WORLD SMALL CAP ESG LOW CARBON INDEX FGR FUND</t>
  </si>
  <si>
    <t>WORLD SMALL CAP CUST ESG LOW CARBON Gross Eur</t>
  </si>
  <si>
    <t>WORLD SMALL CAP CUST ESG LOW CARBON Net Eur</t>
  </si>
  <si>
    <t>Aanname 100% dividend efficient? NT antwoord daar niet op aan mij.</t>
  </si>
  <si>
    <t>Kosten master fonds nog los op de TER tellen of niet?</t>
  </si>
  <si>
    <t>Master:Northern Trust World Custom ESG Equity Index Fund: Class F</t>
  </si>
  <si>
    <t>Master: Northern Trust World Small Cap ESG Low Carbon Index FGR Fund Class F</t>
  </si>
  <si>
    <t>TD ruimte</t>
  </si>
  <si>
    <t>Op de 2017 factsheet adverteerde men wel met een 0.15% TER, maar factsheet TER blijft indicatie, jaarverslag is de accounting waarheid</t>
  </si>
  <si>
    <t>De master fondsen lekken gewoon, de Nederlandse feeders maken dat goed. Dit zijn fiscaal transparante fondsen dus. (CCF)</t>
  </si>
  <si>
    <t>gek, een gat?</t>
  </si>
  <si>
    <t>Fund return</t>
  </si>
  <si>
    <t>TER</t>
  </si>
  <si>
    <t>Transactie kosten KIID</t>
  </si>
  <si>
    <t>Estimated future costs</t>
  </si>
  <si>
    <t>Dividend leakage</t>
  </si>
  <si>
    <t>Lending</t>
  </si>
  <si>
    <t>Total costs</t>
  </si>
  <si>
    <t>Northern Trust World Custom ESG Equity Index UCITS FGR Feeder Fund A</t>
  </si>
  <si>
    <t>Northern Trust World Custom ESG Equity Index UCITS FGR Feeder Fund I</t>
  </si>
  <si>
    <t>Costs</t>
  </si>
  <si>
    <t>A class</t>
  </si>
  <si>
    <t>gek, een gat, wel beperkter</t>
  </si>
  <si>
    <t>Cost range: 0,288% - 0,334%</t>
  </si>
  <si>
    <t>Cost range: 0,328% - 0,420%</t>
  </si>
  <si>
    <t>Bruto index return</t>
  </si>
  <si>
    <t>Bruto tracking diff</t>
  </si>
  <si>
    <t>Gap</t>
  </si>
  <si>
    <t>Northern Trust World Custom ESG Equity Index UCITS FGR Feeder Fund</t>
  </si>
  <si>
    <t>Kosten</t>
  </si>
  <si>
    <t>Gemiddelde TER</t>
  </si>
  <si>
    <t>Totale kosten</t>
  </si>
  <si>
    <t>2016-2023</t>
  </si>
  <si>
    <t>Costs (I class)</t>
  </si>
  <si>
    <t>Estimated TD</t>
  </si>
  <si>
    <t>TD gap</t>
  </si>
  <si>
    <t>TD gap minus assumed dividend leak</t>
  </si>
  <si>
    <t>Costs master fund</t>
  </si>
  <si>
    <t>TD gap minus assumed dividend leak and master fund costs</t>
  </si>
  <si>
    <t>Cost range: 0,164% - 0,174%</t>
  </si>
  <si>
    <t>TER + transaction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</si>
</sst>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64" formatCode="_(&quot;$&quot;* #,##0.00_);_(&quot;$&quot;* \(#,##0.00\);_(&quot;$&quot;* &quot;-&quot;??_);_(@_)"/>
    <numFmt numFmtId="165" formatCode="_(* #,##0.00_);_(* \(#,##0.00\);_(* &quot;-&quot;??_);_(@_)"/>
    <numFmt numFmtId="166" formatCode="_ &quot;$&quot;\ * #,##0_ ;_ &quot;$&quot;\ * \-#,##0_ ;_ &quot;$&quot;\ * &quot;-&quot;??_ ;_ @_ "/>
    <numFmt numFmtId="167" formatCode="0.000%"/>
    <numFmt numFmtId="168" formatCode="0.0000%"/>
    <numFmt numFmtId="169" formatCode="0.0%"/>
    <numFmt numFmtId="170" formatCode="_ * #,##0_ ;_ * \-#,##0_ ;_ * &quot;-&quot;??_ ;_ @_ "/>
    <numFmt numFmtId="171" formatCode="_ * #,##0.0_ ;_ * \-#,##0.0_ ;_ * &quot;-&quot;?_ ;_ @_ "/>
  </numFmts>
  <fonts count="12"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sz val="11"/>
      <color rgb="FF000000"/>
      <name val="Calibri"/>
      <family val="2"/>
      <scheme val="minor"/>
    </font>
    <font>
      <b/>
      <sz val="11"/>
      <color rgb="FF000000"/>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4" tint="0.59999389629810485"/>
        <bgColor indexed="64"/>
      </patternFill>
    </fill>
    <fill>
      <patternFill patternType="solid">
        <fgColor theme="9"/>
        <bgColor indexed="64"/>
      </patternFill>
    </fill>
  </fills>
  <borders count="1">
    <border>
      <left/>
      <right/>
      <top/>
      <bottom/>
      <diagonal/>
    </border>
  </borders>
  <cellStyleXfs count="5">
    <xf numFmtId="0" fontId="0" fillId="0" borderId="0"/>
    <xf numFmtId="9"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cellStyleXfs>
  <cellXfs count="40">
    <xf numFmtId="0" fontId="0" fillId="0" borderId="0" xfId="0"/>
    <xf numFmtId="0" fontId="2" fillId="0" borderId="0" xfId="0" applyFont="1"/>
    <xf numFmtId="166" fontId="0" fillId="0" borderId="0" xfId="0" applyNumberFormat="1"/>
    <xf numFmtId="10" fontId="0" fillId="0" borderId="0" xfId="1" applyNumberFormat="1" applyFont="1"/>
    <xf numFmtId="167" fontId="0" fillId="0" borderId="0" xfId="1" applyNumberFormat="1" applyFont="1"/>
    <xf numFmtId="167" fontId="0" fillId="0" borderId="0" xfId="0" applyNumberFormat="1"/>
    <xf numFmtId="10" fontId="0" fillId="0" borderId="0" xfId="0" applyNumberFormat="1"/>
    <xf numFmtId="168" fontId="0" fillId="0" borderId="0" xfId="1" applyNumberFormat="1" applyFont="1"/>
    <xf numFmtId="0" fontId="3" fillId="0" borderId="0" xfId="0" applyFont="1"/>
    <xf numFmtId="0" fontId="0" fillId="2" borderId="0" xfId="0" applyFill="1"/>
    <xf numFmtId="0" fontId="2" fillId="2" borderId="0" xfId="0" applyFont="1" applyFill="1"/>
    <xf numFmtId="166" fontId="0" fillId="0" borderId="0" xfId="2" applyNumberFormat="1" applyFont="1"/>
    <xf numFmtId="167" fontId="3" fillId="0" borderId="0" xfId="0" applyNumberFormat="1" applyFont="1"/>
    <xf numFmtId="168" fontId="3" fillId="0" borderId="0" xfId="0" applyNumberFormat="1" applyFont="1"/>
    <xf numFmtId="0" fontId="0" fillId="0" borderId="0" xfId="0" applyAlignment="1">
      <alignment vertical="top" wrapText="1"/>
    </xf>
    <xf numFmtId="166" fontId="0" fillId="0" borderId="0" xfId="1" applyNumberFormat="1" applyFont="1"/>
    <xf numFmtId="0" fontId="4" fillId="0" borderId="0" xfId="0" applyFont="1"/>
    <xf numFmtId="0" fontId="5" fillId="0" borderId="0" xfId="0" applyFont="1" applyAlignment="1">
      <alignment horizontal="right"/>
    </xf>
    <xf numFmtId="0" fontId="5" fillId="0" borderId="0" xfId="0" applyFont="1"/>
    <xf numFmtId="2" fontId="4" fillId="0" borderId="0" xfId="0" applyNumberFormat="1" applyFont="1"/>
    <xf numFmtId="0" fontId="8" fillId="0" borderId="0" xfId="0" applyFont="1"/>
    <xf numFmtId="0" fontId="9" fillId="0" borderId="0" xfId="0" applyFont="1"/>
    <xf numFmtId="2" fontId="8" fillId="0" borderId="0" xfId="0" applyNumberFormat="1" applyFont="1"/>
    <xf numFmtId="169" fontId="0" fillId="0" borderId="0" xfId="1" applyNumberFormat="1" applyFont="1"/>
    <xf numFmtId="9" fontId="0" fillId="0" borderId="0" xfId="1" applyFont="1"/>
    <xf numFmtId="10" fontId="2" fillId="0" borderId="0" xfId="0" applyNumberFormat="1" applyFont="1"/>
    <xf numFmtId="2" fontId="0" fillId="0" borderId="0" xfId="0" applyNumberFormat="1"/>
    <xf numFmtId="2" fontId="8" fillId="3" borderId="0" xfId="0" applyNumberFormat="1" applyFont="1" applyFill="1"/>
    <xf numFmtId="2" fontId="0" fillId="3" borderId="0" xfId="0" applyNumberFormat="1" applyFill="1"/>
    <xf numFmtId="2" fontId="4" fillId="3" borderId="0" xfId="0" applyNumberFormat="1" applyFont="1" applyFill="1"/>
    <xf numFmtId="10" fontId="1" fillId="0" borderId="0" xfId="1" applyNumberFormat="1" applyFont="1"/>
    <xf numFmtId="167" fontId="1" fillId="0" borderId="0" xfId="1" applyNumberFormat="1" applyFont="1"/>
    <xf numFmtId="170" fontId="0" fillId="0" borderId="0" xfId="3" applyNumberFormat="1" applyFont="1"/>
    <xf numFmtId="170" fontId="1" fillId="0" borderId="0" xfId="3" applyNumberFormat="1" applyFont="1"/>
    <xf numFmtId="169" fontId="0" fillId="0" borderId="0" xfId="0" applyNumberFormat="1"/>
    <xf numFmtId="171" fontId="0" fillId="0" borderId="0" xfId="0" applyNumberFormat="1"/>
    <xf numFmtId="10" fontId="3" fillId="0" borderId="0" xfId="1" applyNumberFormat="1" applyFont="1"/>
    <xf numFmtId="9" fontId="0" fillId="0" borderId="0" xfId="0" applyNumberFormat="1"/>
    <xf numFmtId="10" fontId="0" fillId="0" borderId="0" xfId="3" applyNumberFormat="1" applyFont="1"/>
    <xf numFmtId="0" fontId="3" fillId="0" borderId="0" xfId="0" applyFont="1" applyAlignment="1">
      <alignment horizontal="left" vertical="top" wrapText="1"/>
    </xf>
  </cellXfs>
  <cellStyles count="5">
    <cellStyle name="Comma" xfId="3" builtinId="3"/>
    <cellStyle name="Comma 2" xfId="4" xr:uid="{7186CE27-4497-4A88-B95D-AB698CEA7C1A}"/>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ECACD-21DA-4904-B85E-A64A90D22818}">
  <dimension ref="B2:B28"/>
  <sheetViews>
    <sheetView workbookViewId="0">
      <selection activeCell="B43" sqref="B43"/>
    </sheetView>
  </sheetViews>
  <sheetFormatPr defaultRowHeight="15" x14ac:dyDescent="0.25"/>
  <cols>
    <col min="2" max="2" width="114.28515625" customWidth="1"/>
  </cols>
  <sheetData>
    <row r="2" spans="2:2" x14ac:dyDescent="0.25">
      <c r="B2" s="1" t="s">
        <v>24</v>
      </c>
    </row>
    <row r="3" spans="2:2" x14ac:dyDescent="0.25">
      <c r="B3" s="8" t="s">
        <v>30</v>
      </c>
    </row>
    <row r="4" spans="2:2" x14ac:dyDescent="0.25">
      <c r="B4" s="8" t="s">
        <v>4</v>
      </c>
    </row>
    <row r="5" spans="2:2" x14ac:dyDescent="0.25">
      <c r="B5" s="8" t="s">
        <v>5</v>
      </c>
    </row>
    <row r="6" spans="2:2" x14ac:dyDescent="0.25">
      <c r="B6" s="8" t="s">
        <v>6</v>
      </c>
    </row>
    <row r="7" spans="2:2" x14ac:dyDescent="0.25">
      <c r="B7" s="8" t="s">
        <v>0</v>
      </c>
    </row>
    <row r="8" spans="2:2" x14ac:dyDescent="0.25">
      <c r="B8" s="8"/>
    </row>
    <row r="9" spans="2:2" x14ac:dyDescent="0.25">
      <c r="B9" s="39" t="s">
        <v>32</v>
      </c>
    </row>
    <row r="10" spans="2:2" x14ac:dyDescent="0.25">
      <c r="B10" s="39"/>
    </row>
    <row r="11" spans="2:2" x14ac:dyDescent="0.25">
      <c r="B11" s="39"/>
    </row>
    <row r="12" spans="2:2" x14ac:dyDescent="0.25">
      <c r="B12" s="14"/>
    </row>
    <row r="13" spans="2:2" x14ac:dyDescent="0.25">
      <c r="B13" t="s">
        <v>14</v>
      </c>
    </row>
    <row r="14" spans="2:2" x14ac:dyDescent="0.25">
      <c r="B14" t="s">
        <v>33</v>
      </c>
    </row>
    <row r="15" spans="2:2" x14ac:dyDescent="0.25">
      <c r="B15" t="s">
        <v>34</v>
      </c>
    </row>
    <row r="17" spans="2:2" x14ac:dyDescent="0.25">
      <c r="B17" t="s">
        <v>28</v>
      </c>
    </row>
    <row r="18" spans="2:2" x14ac:dyDescent="0.25">
      <c r="B18" t="s">
        <v>71</v>
      </c>
    </row>
    <row r="19" spans="2:2" x14ac:dyDescent="0.25">
      <c r="B19" t="s">
        <v>27</v>
      </c>
    </row>
    <row r="21" spans="2:2" x14ac:dyDescent="0.25">
      <c r="B21" t="s">
        <v>29</v>
      </c>
    </row>
    <row r="23" spans="2:2" x14ac:dyDescent="0.25">
      <c r="B23" t="s">
        <v>100</v>
      </c>
    </row>
    <row r="25" spans="2:2" x14ac:dyDescent="0.25">
      <c r="B25" t="s">
        <v>38</v>
      </c>
    </row>
    <row r="26" spans="2:2" x14ac:dyDescent="0.25">
      <c r="B26" t="s">
        <v>31</v>
      </c>
    </row>
    <row r="28" spans="2:2" x14ac:dyDescent="0.25">
      <c r="B28" t="s">
        <v>79</v>
      </c>
    </row>
  </sheetData>
  <mergeCells count="1">
    <mergeCell ref="B9:B11"/>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49"/>
  <sheetViews>
    <sheetView zoomScale="115" zoomScaleNormal="115" workbookViewId="0"/>
  </sheetViews>
  <sheetFormatPr defaultRowHeight="15" x14ac:dyDescent="0.25"/>
  <cols>
    <col min="2" max="2" width="54.42578125" customWidth="1"/>
    <col min="3" max="11" width="17.7109375" customWidth="1"/>
    <col min="12" max="12" width="6.140625" customWidth="1"/>
    <col min="13" max="13" width="13.28515625" customWidth="1"/>
    <col min="14" max="14" width="18" customWidth="1"/>
    <col min="15" max="15" width="122.140625" customWidth="1"/>
  </cols>
  <sheetData>
    <row r="2" spans="2:15" x14ac:dyDescent="0.25">
      <c r="B2" s="10" t="s">
        <v>3</v>
      </c>
      <c r="C2" s="9"/>
      <c r="D2" s="9"/>
      <c r="E2" s="9"/>
      <c r="F2" s="9"/>
      <c r="G2" s="9"/>
      <c r="H2" s="9"/>
      <c r="I2" s="9"/>
      <c r="J2" s="9"/>
      <c r="K2" s="9"/>
      <c r="L2" s="9"/>
      <c r="M2" s="9"/>
      <c r="O2" s="1" t="s">
        <v>25</v>
      </c>
    </row>
    <row r="3" spans="2:15" x14ac:dyDescent="0.25">
      <c r="B3" t="s">
        <v>21</v>
      </c>
      <c r="O3" t="s">
        <v>47</v>
      </c>
    </row>
    <row r="4" spans="2:15" x14ac:dyDescent="0.25">
      <c r="C4" s="1">
        <v>2016</v>
      </c>
      <c r="D4" s="1">
        <v>2017</v>
      </c>
      <c r="E4" s="1">
        <v>2018</v>
      </c>
      <c r="F4" s="1">
        <v>2019</v>
      </c>
      <c r="G4" s="1">
        <v>2020</v>
      </c>
      <c r="H4" s="1">
        <v>2021</v>
      </c>
      <c r="I4" s="1">
        <v>2022</v>
      </c>
      <c r="J4" s="1">
        <v>2023</v>
      </c>
      <c r="K4" s="1">
        <v>2024</v>
      </c>
      <c r="L4" s="1"/>
      <c r="M4" s="1" t="s">
        <v>13</v>
      </c>
      <c r="O4" t="s">
        <v>53</v>
      </c>
    </row>
    <row r="5" spans="2:15" x14ac:dyDescent="0.25">
      <c r="B5" t="s">
        <v>1</v>
      </c>
      <c r="C5" s="11">
        <v>0</v>
      </c>
      <c r="D5" s="11">
        <v>0</v>
      </c>
      <c r="E5" s="11">
        <v>0</v>
      </c>
      <c r="F5" s="11">
        <v>22294</v>
      </c>
      <c r="G5" s="11">
        <v>1057177</v>
      </c>
      <c r="H5" s="11">
        <v>526476</v>
      </c>
      <c r="I5" s="11">
        <v>835008</v>
      </c>
      <c r="J5" s="11">
        <v>581562</v>
      </c>
      <c r="K5" s="11"/>
      <c r="L5" s="2"/>
      <c r="O5" t="s">
        <v>105</v>
      </c>
    </row>
    <row r="6" spans="2:15" x14ac:dyDescent="0.25">
      <c r="B6" t="s">
        <v>7</v>
      </c>
      <c r="C6" s="11">
        <v>607319449</v>
      </c>
      <c r="D6" s="11">
        <v>1151302913</v>
      </c>
      <c r="E6" s="11">
        <v>1781058053</v>
      </c>
      <c r="F6" s="11">
        <v>2673847808</v>
      </c>
      <c r="G6" s="11">
        <v>2699037265</v>
      </c>
      <c r="H6" s="11">
        <v>4671196104</v>
      </c>
      <c r="I6" s="11">
        <v>5274685078</v>
      </c>
      <c r="J6" s="11">
        <v>5720790174</v>
      </c>
      <c r="K6" s="11"/>
      <c r="L6" s="2"/>
    </row>
    <row r="7" spans="2:15" x14ac:dyDescent="0.25">
      <c r="B7" t="s">
        <v>15</v>
      </c>
      <c r="C7" s="4">
        <f>C5/C6</f>
        <v>0</v>
      </c>
      <c r="D7" s="4">
        <f t="shared" ref="D7:J7" si="0">D5/D6</f>
        <v>0</v>
      </c>
      <c r="E7" s="4">
        <f t="shared" si="0"/>
        <v>0</v>
      </c>
      <c r="F7" s="4">
        <f t="shared" si="0"/>
        <v>8.3377969132340379E-6</v>
      </c>
      <c r="G7" s="4">
        <f t="shared" si="0"/>
        <v>3.9168670018344484E-4</v>
      </c>
      <c r="H7" s="4">
        <f t="shared" si="0"/>
        <v>1.1270689311227427E-4</v>
      </c>
      <c r="I7" s="4">
        <f t="shared" si="0"/>
        <v>1.5830480638222473E-4</v>
      </c>
      <c r="J7" s="4">
        <f t="shared" si="0"/>
        <v>1.0165763510137087E-4</v>
      </c>
      <c r="K7" s="4"/>
      <c r="L7" s="4"/>
      <c r="M7" s="5"/>
      <c r="N7" s="3"/>
      <c r="O7" t="s">
        <v>39</v>
      </c>
    </row>
    <row r="8" spans="2:15" ht="15" customHeight="1" x14ac:dyDescent="0.25">
      <c r="B8" t="s">
        <v>16</v>
      </c>
      <c r="C8" s="4">
        <f>'Northern Trust Master fondsen'!D6</f>
        <v>1.3528648432442348E-4</v>
      </c>
      <c r="D8" s="4">
        <f>'Northern Trust Master fondsen'!E6</f>
        <v>4.4782844092559127E-5</v>
      </c>
      <c r="E8" s="4">
        <f>'Northern Trust Master fondsen'!F6</f>
        <v>4.2300110328596436E-5</v>
      </c>
      <c r="F8" s="4">
        <f>'Northern Trust Master fondsen'!G6</f>
        <v>4.6130035609743487E-5</v>
      </c>
      <c r="G8" s="4">
        <f>'Northern Trust Master fondsen'!H6</f>
        <v>6.2120793946397634E-5</v>
      </c>
      <c r="H8" s="4">
        <f>'Northern Trust Master fondsen'!I6</f>
        <v>1.7136259660773064E-5</v>
      </c>
      <c r="I8" s="4">
        <f>'Northern Trust Master fondsen'!J6</f>
        <v>1.8719590320836442E-5</v>
      </c>
      <c r="J8" s="4">
        <f>'Northern Trust Master fondsen'!K6</f>
        <v>4.2184479860732762E-5</v>
      </c>
      <c r="K8" s="4"/>
      <c r="L8" s="4"/>
      <c r="M8" s="5"/>
    </row>
    <row r="9" spans="2:15" ht="15" customHeight="1" x14ac:dyDescent="0.25">
      <c r="C9" s="4"/>
      <c r="D9" s="4"/>
      <c r="E9" s="4"/>
      <c r="F9" s="4"/>
      <c r="G9" s="4"/>
      <c r="H9" s="4"/>
      <c r="I9" s="4"/>
      <c r="J9" s="4"/>
      <c r="K9" s="4"/>
      <c r="L9" s="4"/>
      <c r="M9" s="5"/>
    </row>
    <row r="10" spans="2:15" ht="15" customHeight="1" x14ac:dyDescent="0.25">
      <c r="B10" t="s">
        <v>26</v>
      </c>
      <c r="C10" s="4">
        <f>SUM(C7:C8)</f>
        <v>1.3528648432442348E-4</v>
      </c>
      <c r="D10" s="4">
        <f t="shared" ref="D10:J10" si="1">SUM(D7:D8)</f>
        <v>4.4782844092559127E-5</v>
      </c>
      <c r="E10" s="4">
        <f t="shared" si="1"/>
        <v>4.2300110328596436E-5</v>
      </c>
      <c r="F10" s="4">
        <f t="shared" si="1"/>
        <v>5.4467832522977523E-5</v>
      </c>
      <c r="G10" s="4">
        <f t="shared" si="1"/>
        <v>4.5380749412984249E-4</v>
      </c>
      <c r="H10" s="4">
        <f t="shared" si="1"/>
        <v>1.2984315277304734E-4</v>
      </c>
      <c r="I10" s="4">
        <f t="shared" si="1"/>
        <v>1.7702439670306118E-4</v>
      </c>
      <c r="J10" s="4">
        <f t="shared" si="1"/>
        <v>1.4384211496210362E-4</v>
      </c>
      <c r="K10" s="4"/>
      <c r="L10" s="4"/>
      <c r="M10" s="5">
        <f>AVERAGE(C10:J10)</f>
        <v>1.4766930372957641E-4</v>
      </c>
      <c r="O10" t="s">
        <v>101</v>
      </c>
    </row>
    <row r="11" spans="2:15" ht="15" customHeight="1" x14ac:dyDescent="0.25">
      <c r="B11" t="s">
        <v>110</v>
      </c>
      <c r="C11" s="4"/>
      <c r="D11" s="4"/>
      <c r="E11" s="4"/>
      <c r="F11" s="4"/>
      <c r="G11" s="4"/>
      <c r="H11" s="4"/>
      <c r="I11" s="4"/>
      <c r="J11" s="4"/>
      <c r="K11" s="4">
        <v>1E-4</v>
      </c>
      <c r="L11" s="4"/>
      <c r="M11" s="5"/>
    </row>
    <row r="12" spans="2:15" ht="15" customHeight="1" x14ac:dyDescent="0.25">
      <c r="C12" s="4"/>
      <c r="D12" s="4"/>
      <c r="E12" s="4"/>
      <c r="F12" s="4"/>
      <c r="G12" s="4"/>
      <c r="H12" s="4"/>
      <c r="I12" s="4"/>
      <c r="J12" s="4"/>
      <c r="K12" s="4"/>
      <c r="L12" s="4"/>
      <c r="M12" s="5"/>
    </row>
    <row r="13" spans="2:15" ht="15" customHeight="1" x14ac:dyDescent="0.25">
      <c r="B13" t="s">
        <v>65</v>
      </c>
      <c r="C13" s="15">
        <v>159521</v>
      </c>
      <c r="D13" s="15">
        <f>323257-D5</f>
        <v>323257</v>
      </c>
      <c r="E13" s="15">
        <f>2280765-E5</f>
        <v>2280765</v>
      </c>
      <c r="F13" s="15">
        <f>3265001-F5</f>
        <v>3242707</v>
      </c>
      <c r="G13" s="15">
        <f>3763438-G5</f>
        <v>2706261</v>
      </c>
      <c r="H13" s="15">
        <f>4740622-H5</f>
        <v>4214146</v>
      </c>
      <c r="I13" s="15">
        <f>4765035-I5</f>
        <v>3930027</v>
      </c>
      <c r="J13" s="15">
        <f>2371401-J5</f>
        <v>1789839</v>
      </c>
      <c r="K13" s="4"/>
      <c r="L13" s="4"/>
      <c r="M13" s="5"/>
    </row>
    <row r="14" spans="2:15" ht="15" customHeight="1" x14ac:dyDescent="0.25">
      <c r="B14" t="s">
        <v>127</v>
      </c>
      <c r="C14" s="3">
        <f>C13/C6</f>
        <v>2.6266407285764366E-4</v>
      </c>
      <c r="D14" s="3">
        <f t="shared" ref="D14:J14" si="2">D13/D6</f>
        <v>2.8077493451108816E-4</v>
      </c>
      <c r="E14" s="3">
        <f t="shared" si="2"/>
        <v>1.2805674672750266E-3</v>
      </c>
      <c r="F14" s="3">
        <f t="shared" si="2"/>
        <v>1.212749278510918E-3</v>
      </c>
      <c r="G14" s="3">
        <f t="shared" si="2"/>
        <v>1.0026764117315734E-3</v>
      </c>
      <c r="H14" s="3">
        <f t="shared" si="2"/>
        <v>9.0215565910225376E-4</v>
      </c>
      <c r="I14" s="3">
        <f t="shared" si="2"/>
        <v>7.4507329667729597E-4</v>
      </c>
      <c r="J14" s="3">
        <f t="shared" si="2"/>
        <v>3.1286569609465979E-4</v>
      </c>
      <c r="K14" s="4"/>
      <c r="L14" s="4"/>
      <c r="M14" s="5"/>
    </row>
    <row r="15" spans="2:15" ht="15" customHeight="1" x14ac:dyDescent="0.25">
      <c r="B15" t="s">
        <v>126</v>
      </c>
      <c r="C15" s="15">
        <f>C13+C5</f>
        <v>159521</v>
      </c>
      <c r="D15" s="15">
        <f>D13+D5</f>
        <v>323257</v>
      </c>
      <c r="E15" s="15">
        <f t="shared" ref="E15:J15" si="3">E13+E5</f>
        <v>2280765</v>
      </c>
      <c r="F15" s="15">
        <f t="shared" si="3"/>
        <v>3265001</v>
      </c>
      <c r="G15" s="15">
        <f t="shared" si="3"/>
        <v>3763438</v>
      </c>
      <c r="H15" s="15">
        <f t="shared" si="3"/>
        <v>4740622</v>
      </c>
      <c r="I15" s="15">
        <f t="shared" si="3"/>
        <v>4765035</v>
      </c>
      <c r="J15" s="15">
        <f t="shared" si="3"/>
        <v>2371401</v>
      </c>
      <c r="K15" s="4"/>
      <c r="L15" s="4"/>
      <c r="M15" s="5"/>
    </row>
    <row r="16" spans="2:15" ht="15" customHeight="1" x14ac:dyDescent="0.25">
      <c r="B16" t="s">
        <v>128</v>
      </c>
      <c r="C16" s="3">
        <f>C15/C6</f>
        <v>2.6266407285764366E-4</v>
      </c>
      <c r="D16" s="3">
        <f>D15/D6</f>
        <v>2.8077493451108816E-4</v>
      </c>
      <c r="E16" s="3">
        <f t="shared" ref="E16:J16" si="4">E15/E6</f>
        <v>1.2805674672750266E-3</v>
      </c>
      <c r="F16" s="3">
        <f t="shared" si="4"/>
        <v>1.2210870754241522E-3</v>
      </c>
      <c r="G16" s="3">
        <f t="shared" si="4"/>
        <v>1.3943631119150183E-3</v>
      </c>
      <c r="H16" s="3">
        <f t="shared" si="4"/>
        <v>1.0148625522145281E-3</v>
      </c>
      <c r="I16" s="3">
        <f t="shared" si="4"/>
        <v>9.033781030595207E-4</v>
      </c>
      <c r="J16" s="3">
        <f t="shared" si="4"/>
        <v>4.145233311960307E-4</v>
      </c>
      <c r="K16" s="4"/>
      <c r="L16" s="4"/>
      <c r="M16" s="5">
        <f>AVERAGE(C16:J16)</f>
        <v>8.4652758105662612E-4</v>
      </c>
    </row>
    <row r="17" spans="2:14" x14ac:dyDescent="0.25">
      <c r="C17" s="3"/>
      <c r="D17" s="3"/>
      <c r="E17" s="3"/>
      <c r="F17" s="3"/>
      <c r="G17" s="3"/>
      <c r="H17" s="3"/>
      <c r="I17" s="3"/>
      <c r="J17" s="3"/>
      <c r="K17" s="3"/>
      <c r="L17" s="4"/>
      <c r="M17" s="6"/>
    </row>
    <row r="18" spans="2:14" ht="15" customHeight="1" x14ac:dyDescent="0.25">
      <c r="C18" s="3"/>
      <c r="D18" s="3"/>
      <c r="E18" s="3"/>
      <c r="F18" s="3"/>
      <c r="G18" s="3"/>
      <c r="H18" s="3"/>
      <c r="I18" s="3"/>
      <c r="J18" s="3"/>
      <c r="K18" s="3"/>
      <c r="L18" s="4"/>
      <c r="M18" s="6"/>
    </row>
    <row r="19" spans="2:14" ht="15" customHeight="1" x14ac:dyDescent="0.25">
      <c r="B19" t="s">
        <v>89</v>
      </c>
      <c r="C19" s="24">
        <f>0.07</f>
        <v>7.0000000000000007E-2</v>
      </c>
      <c r="D19" s="24">
        <f>0.01</f>
        <v>0.01</v>
      </c>
      <c r="E19" s="24">
        <f>0.09</f>
        <v>0.09</v>
      </c>
      <c r="F19" s="24">
        <f>0.26</f>
        <v>0.26</v>
      </c>
      <c r="G19" s="24">
        <v>0.19</v>
      </c>
      <c r="H19" s="24">
        <v>0.08</v>
      </c>
      <c r="I19" s="24">
        <v>0.02</v>
      </c>
      <c r="J19" s="24">
        <v>0.01</v>
      </c>
      <c r="K19" s="24"/>
      <c r="L19" s="4"/>
      <c r="M19" s="37">
        <f>AVERAGE(E19:J19)</f>
        <v>0.10833333333333334</v>
      </c>
      <c r="N19" s="4"/>
    </row>
    <row r="20" spans="2:14" ht="15" customHeight="1" x14ac:dyDescent="0.25">
      <c r="B20" t="s">
        <v>94</v>
      </c>
      <c r="C20" s="24">
        <v>0.1464</v>
      </c>
      <c r="D20" s="24">
        <v>5.3100000000000001E-2</v>
      </c>
      <c r="E20" s="24">
        <v>0.1013</v>
      </c>
      <c r="F20" s="24">
        <v>9.2600000000000002E-2</v>
      </c>
      <c r="G20" s="24">
        <v>3.32E-2</v>
      </c>
      <c r="H20" s="24">
        <v>7.9200000000000007E-2</v>
      </c>
      <c r="I20" s="24">
        <v>5.3999999999999999E-2</v>
      </c>
      <c r="J20" s="24">
        <v>4.4999999999999998E-2</v>
      </c>
      <c r="K20" s="24"/>
      <c r="L20" s="4"/>
      <c r="M20" s="37">
        <f>AVERAGE(E20:J20)</f>
        <v>6.7549999999999999E-2</v>
      </c>
    </row>
    <row r="21" spans="2:14" ht="15" customHeight="1" x14ac:dyDescent="0.25">
      <c r="D21" s="4"/>
      <c r="E21" s="4"/>
      <c r="F21" s="4"/>
      <c r="G21" s="4"/>
      <c r="H21" s="4"/>
      <c r="I21" s="4"/>
      <c r="J21" s="4"/>
      <c r="K21" s="4"/>
      <c r="L21" s="4"/>
      <c r="M21" s="5"/>
    </row>
    <row r="22" spans="2:14" x14ac:dyDescent="0.25">
      <c r="B22" t="s">
        <v>102</v>
      </c>
      <c r="C22" s="25"/>
      <c r="D22" s="4"/>
      <c r="F22" s="3">
        <v>2.9999999999999997E-4</v>
      </c>
      <c r="G22" s="3">
        <v>2.9999999999999997E-4</v>
      </c>
      <c r="H22" s="3">
        <v>2.9999999999999997E-4</v>
      </c>
      <c r="I22" s="3">
        <v>2.9999999999999997E-4</v>
      </c>
      <c r="J22" s="3">
        <v>2.9999999999999997E-4</v>
      </c>
      <c r="K22" s="3"/>
      <c r="L22" s="4"/>
      <c r="M22" s="5">
        <f>AVERAGE(F22:J22)</f>
        <v>2.9999999999999997E-4</v>
      </c>
    </row>
    <row r="23" spans="2:14" x14ac:dyDescent="0.25">
      <c r="C23" s="3"/>
      <c r="D23" s="4"/>
      <c r="E23" s="4"/>
      <c r="F23" s="4"/>
      <c r="G23" s="4"/>
      <c r="H23" s="4"/>
      <c r="I23" s="4"/>
      <c r="J23" s="4"/>
      <c r="K23" s="4"/>
      <c r="L23" s="4"/>
      <c r="M23" s="5"/>
    </row>
    <row r="24" spans="2:14" x14ac:dyDescent="0.25">
      <c r="B24" t="s">
        <v>80</v>
      </c>
      <c r="C24" s="6">
        <f>M16</f>
        <v>8.4652758105662612E-4</v>
      </c>
      <c r="D24" t="s">
        <v>129</v>
      </c>
      <c r="E24" s="4"/>
      <c r="F24" s="4"/>
      <c r="G24" s="4"/>
      <c r="H24" s="4"/>
      <c r="I24" s="4"/>
      <c r="J24" s="4"/>
      <c r="K24" s="4"/>
      <c r="L24" s="4"/>
      <c r="M24" s="5"/>
    </row>
    <row r="25" spans="2:14" x14ac:dyDescent="0.25">
      <c r="B25" t="s">
        <v>41</v>
      </c>
      <c r="C25" s="6">
        <f>AVERAGE('Tracking Difference'!E17:L17)/100</f>
        <v>1.4250000000000029E-3</v>
      </c>
      <c r="D25" t="s">
        <v>129</v>
      </c>
      <c r="E25" s="4"/>
      <c r="F25" s="4"/>
      <c r="G25" s="4"/>
      <c r="H25" s="4"/>
      <c r="I25" s="4"/>
      <c r="J25" s="4"/>
      <c r="K25" s="4"/>
      <c r="L25" s="4"/>
      <c r="M25" s="5"/>
    </row>
    <row r="26" spans="2:14" x14ac:dyDescent="0.25">
      <c r="C26" s="6"/>
      <c r="E26" s="4"/>
      <c r="F26" s="4"/>
      <c r="G26" s="4"/>
      <c r="H26" s="4"/>
      <c r="I26" s="4"/>
      <c r="J26" s="4"/>
      <c r="K26" s="4"/>
      <c r="L26" s="4"/>
      <c r="M26" s="5"/>
    </row>
    <row r="27" spans="2:14" x14ac:dyDescent="0.25">
      <c r="B27" t="s">
        <v>132</v>
      </c>
      <c r="C27" s="6">
        <f>C25-C24</f>
        <v>5.7847241894337675E-4</v>
      </c>
      <c r="E27" s="4"/>
      <c r="F27" s="4"/>
      <c r="G27" s="4"/>
      <c r="H27" s="4"/>
      <c r="I27" s="4"/>
      <c r="J27" s="4"/>
      <c r="K27" s="4"/>
      <c r="L27" s="4"/>
      <c r="M27" s="5"/>
    </row>
    <row r="28" spans="2:14" x14ac:dyDescent="0.25">
      <c r="B28" t="s">
        <v>133</v>
      </c>
      <c r="C28" s="6">
        <f>C27-C35</f>
        <v>3.9472241894337675E-4</v>
      </c>
      <c r="E28" s="4"/>
      <c r="F28" s="4"/>
      <c r="G28" s="4"/>
      <c r="H28" s="4"/>
      <c r="I28" s="4"/>
      <c r="J28" s="4"/>
      <c r="K28" s="4"/>
      <c r="L28" s="4"/>
      <c r="M28" s="5"/>
    </row>
    <row r="29" spans="2:14" x14ac:dyDescent="0.25">
      <c r="B29" t="s">
        <v>135</v>
      </c>
      <c r="C29" s="6">
        <f>C28-M22</f>
        <v>9.4722418943376781E-5</v>
      </c>
      <c r="E29" s="4"/>
      <c r="F29" s="4"/>
      <c r="G29" s="4"/>
      <c r="H29" s="4"/>
      <c r="I29" s="4"/>
      <c r="J29" s="4"/>
      <c r="K29" s="4"/>
      <c r="L29" s="4"/>
      <c r="M29" s="5"/>
    </row>
    <row r="30" spans="2:14" x14ac:dyDescent="0.25">
      <c r="C30" s="6"/>
      <c r="E30" s="4"/>
      <c r="F30" s="4"/>
      <c r="G30" s="4"/>
      <c r="H30" s="4"/>
      <c r="I30" s="4"/>
      <c r="J30" s="4"/>
      <c r="K30" s="4"/>
      <c r="L30" s="4"/>
      <c r="M30" s="5"/>
    </row>
    <row r="31" spans="2:14" x14ac:dyDescent="0.25">
      <c r="E31" s="4"/>
      <c r="F31" s="4"/>
      <c r="G31" s="4"/>
      <c r="H31" s="4"/>
      <c r="I31" s="4"/>
      <c r="J31" s="4"/>
      <c r="K31" s="4"/>
      <c r="L31" s="4"/>
      <c r="M31" s="5"/>
    </row>
    <row r="32" spans="2:14" x14ac:dyDescent="0.25">
      <c r="B32" s="1" t="s">
        <v>111</v>
      </c>
      <c r="C32" s="1" t="s">
        <v>130</v>
      </c>
      <c r="D32" s="1" t="s">
        <v>131</v>
      </c>
      <c r="E32" s="4"/>
      <c r="F32" s="4"/>
      <c r="G32" s="4"/>
      <c r="H32" s="4"/>
      <c r="I32" s="4"/>
      <c r="J32" s="4"/>
      <c r="K32" s="4"/>
      <c r="L32" s="4"/>
      <c r="M32" s="5"/>
    </row>
    <row r="33" spans="2:15" x14ac:dyDescent="0.25">
      <c r="B33" t="s">
        <v>109</v>
      </c>
      <c r="C33" s="6">
        <v>1E-3</v>
      </c>
      <c r="F33" s="4"/>
      <c r="G33" s="4"/>
      <c r="H33" s="4"/>
      <c r="I33" s="4"/>
      <c r="J33" s="4"/>
      <c r="K33" s="4"/>
      <c r="L33" s="4"/>
      <c r="M33" s="5"/>
    </row>
    <row r="34" spans="2:15" x14ac:dyDescent="0.25">
      <c r="B34" t="s">
        <v>1</v>
      </c>
      <c r="C34" s="5">
        <f>AVERAGE(I10:J10)</f>
        <v>1.6043325583258241E-4</v>
      </c>
      <c r="E34" s="4"/>
      <c r="F34" s="4"/>
      <c r="G34" s="4"/>
      <c r="H34" s="4"/>
      <c r="I34" s="4"/>
      <c r="J34" s="4"/>
      <c r="K34" s="4"/>
      <c r="L34" s="4"/>
      <c r="M34" s="5"/>
    </row>
    <row r="35" spans="2:15" x14ac:dyDescent="0.25">
      <c r="B35" t="s">
        <v>112</v>
      </c>
      <c r="C35" s="6">
        <f>AVERAGE(0.42%,1.05%)*2.5%</f>
        <v>1.8375000000000002E-4</v>
      </c>
      <c r="E35" s="4"/>
      <c r="F35" s="4"/>
      <c r="G35" s="4"/>
      <c r="H35" s="4"/>
      <c r="I35" s="4"/>
      <c r="J35" s="4"/>
      <c r="K35" s="4"/>
      <c r="L35" s="4"/>
      <c r="M35" s="5"/>
    </row>
    <row r="36" spans="2:15" x14ac:dyDescent="0.25">
      <c r="B36" t="s">
        <v>113</v>
      </c>
      <c r="C36" s="6">
        <v>0</v>
      </c>
      <c r="D36" s="4"/>
      <c r="E36" s="4"/>
      <c r="F36" s="4"/>
      <c r="G36" s="4"/>
      <c r="H36" s="4"/>
      <c r="I36" s="4"/>
      <c r="J36" s="4"/>
      <c r="K36" s="4"/>
      <c r="L36" s="4"/>
      <c r="M36" s="5"/>
      <c r="O36" s="3"/>
    </row>
    <row r="37" spans="2:15" x14ac:dyDescent="0.25">
      <c r="B37" t="s">
        <v>134</v>
      </c>
      <c r="C37" s="6">
        <f>J22</f>
        <v>2.9999999999999997E-4</v>
      </c>
      <c r="D37" s="4"/>
      <c r="E37" s="4"/>
      <c r="F37" s="4"/>
      <c r="G37" s="4"/>
      <c r="H37" s="4"/>
      <c r="I37" s="4"/>
      <c r="J37" s="4"/>
      <c r="K37" s="4"/>
      <c r="L37" s="4"/>
      <c r="M37" s="5"/>
      <c r="O37" s="3"/>
    </row>
    <row r="38" spans="2:15" x14ac:dyDescent="0.25">
      <c r="B38" t="s">
        <v>114</v>
      </c>
      <c r="C38" s="5">
        <f>SUM(C33:C37)</f>
        <v>1.6441832558325823E-3</v>
      </c>
      <c r="D38" s="4">
        <f>C38+C29</f>
        <v>1.7389056747759591E-3</v>
      </c>
      <c r="L38" s="4"/>
      <c r="M38" s="5"/>
    </row>
    <row r="39" spans="2:15" x14ac:dyDescent="0.25">
      <c r="E39" s="4"/>
      <c r="F39" s="4"/>
      <c r="G39" s="4"/>
      <c r="H39" s="4"/>
      <c r="I39" s="4"/>
      <c r="J39" s="4"/>
      <c r="K39" s="4"/>
      <c r="L39" s="4"/>
      <c r="M39" s="5"/>
    </row>
    <row r="40" spans="2:15" x14ac:dyDescent="0.25">
      <c r="B40" t="s">
        <v>136</v>
      </c>
      <c r="E40" s="4"/>
      <c r="F40" s="4"/>
      <c r="G40" s="4"/>
      <c r="H40" s="4"/>
      <c r="I40" s="4"/>
      <c r="J40" s="4"/>
      <c r="K40" s="4"/>
      <c r="L40" s="4"/>
      <c r="M40" s="5"/>
    </row>
    <row r="41" spans="2:15" x14ac:dyDescent="0.25">
      <c r="C41" s="6"/>
      <c r="E41" s="4"/>
      <c r="F41" s="4"/>
      <c r="G41" s="4"/>
      <c r="H41" s="4"/>
      <c r="I41" s="4"/>
      <c r="J41" s="4"/>
      <c r="K41" s="4"/>
      <c r="L41" s="4"/>
      <c r="M41" s="5"/>
    </row>
    <row r="42" spans="2:15" x14ac:dyDescent="0.25">
      <c r="C42" s="6"/>
      <c r="E42" s="4"/>
      <c r="F42" s="4"/>
      <c r="G42" s="4"/>
      <c r="H42" s="4"/>
      <c r="I42" s="4"/>
      <c r="J42" s="4"/>
      <c r="K42" s="4"/>
      <c r="L42" s="4"/>
      <c r="M42" s="5"/>
      <c r="N42" s="5"/>
    </row>
    <row r="43" spans="2:15" x14ac:dyDescent="0.25">
      <c r="C43" s="32"/>
      <c r="D43" s="32"/>
      <c r="E43" s="32"/>
      <c r="F43" s="32"/>
      <c r="G43" s="32"/>
      <c r="H43" s="32"/>
      <c r="I43" s="32"/>
      <c r="J43" s="32"/>
      <c r="K43" s="32"/>
    </row>
    <row r="44" spans="2:15" x14ac:dyDescent="0.25">
      <c r="C44" s="6"/>
      <c r="E44" s="32"/>
      <c r="F44" s="32"/>
      <c r="G44" s="32"/>
      <c r="H44" s="32"/>
      <c r="I44" s="32"/>
      <c r="J44" s="32"/>
      <c r="K44" s="32"/>
    </row>
    <row r="45" spans="2:15" x14ac:dyDescent="0.25">
      <c r="C45" s="3"/>
      <c r="D45" s="3"/>
      <c r="E45" s="32"/>
      <c r="F45" s="32"/>
      <c r="G45" s="32"/>
      <c r="H45" s="32"/>
      <c r="I45" s="32"/>
      <c r="J45" s="32"/>
      <c r="K45" s="32"/>
    </row>
    <row r="46" spans="2:15" x14ac:dyDescent="0.25">
      <c r="C46" s="38"/>
      <c r="D46" s="38"/>
      <c r="E46" s="32"/>
      <c r="F46" s="32"/>
      <c r="G46" s="32"/>
      <c r="H46" s="32"/>
      <c r="I46" s="32"/>
      <c r="J46" s="32"/>
      <c r="K46" s="32"/>
    </row>
    <row r="47" spans="2:15" x14ac:dyDescent="0.25">
      <c r="C47" s="6"/>
      <c r="D47" s="6"/>
    </row>
    <row r="48" spans="2:15" x14ac:dyDescent="0.25">
      <c r="C48" s="6"/>
      <c r="D48" s="3"/>
    </row>
    <row r="49" spans="3:4" x14ac:dyDescent="0.25">
      <c r="C49" s="24"/>
      <c r="D49" s="6"/>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B4C98-CE28-4015-A5EF-F840D4E9DB1C}">
  <dimension ref="B2:O34"/>
  <sheetViews>
    <sheetView zoomScale="130" zoomScaleNormal="130" workbookViewId="0"/>
  </sheetViews>
  <sheetFormatPr defaultRowHeight="15" x14ac:dyDescent="0.25"/>
  <cols>
    <col min="2" max="2" width="37.7109375" customWidth="1"/>
    <col min="3" max="11" width="17.7109375" customWidth="1"/>
    <col min="12" max="12" width="6.140625" customWidth="1"/>
    <col min="13" max="13" width="13.28515625" customWidth="1"/>
    <col min="14" max="14" width="18" customWidth="1"/>
    <col min="15" max="15" width="91.85546875" customWidth="1"/>
  </cols>
  <sheetData>
    <row r="2" spans="2:15" x14ac:dyDescent="0.25">
      <c r="B2" s="10" t="s">
        <v>2</v>
      </c>
      <c r="C2" s="9"/>
      <c r="D2" s="9"/>
      <c r="E2" s="9"/>
      <c r="F2" s="9"/>
      <c r="G2" s="9"/>
      <c r="H2" s="9"/>
      <c r="I2" s="9"/>
      <c r="J2" s="9"/>
      <c r="K2" s="9"/>
      <c r="L2" s="9"/>
      <c r="M2" s="9"/>
      <c r="O2" s="1" t="s">
        <v>25</v>
      </c>
    </row>
    <row r="3" spans="2:15" x14ac:dyDescent="0.25">
      <c r="B3" t="s">
        <v>22</v>
      </c>
      <c r="O3" t="s">
        <v>50</v>
      </c>
    </row>
    <row r="4" spans="2:15" x14ac:dyDescent="0.25">
      <c r="C4" s="1">
        <v>2016</v>
      </c>
      <c r="D4" s="1">
        <v>2017</v>
      </c>
      <c r="E4" s="1">
        <v>2018</v>
      </c>
      <c r="F4" s="1">
        <v>2019</v>
      </c>
      <c r="G4" s="1">
        <v>2020</v>
      </c>
      <c r="H4" s="1">
        <v>2021</v>
      </c>
      <c r="I4" s="1">
        <v>2022</v>
      </c>
      <c r="J4" s="1">
        <v>2023</v>
      </c>
      <c r="K4" s="1">
        <v>2024</v>
      </c>
      <c r="L4" s="1"/>
      <c r="M4" s="1" t="s">
        <v>13</v>
      </c>
      <c r="O4" t="s">
        <v>39</v>
      </c>
    </row>
    <row r="5" spans="2:15" x14ac:dyDescent="0.25">
      <c r="B5" t="s">
        <v>1</v>
      </c>
      <c r="C5" s="2">
        <v>48346</v>
      </c>
      <c r="D5" s="2">
        <v>276690</v>
      </c>
      <c r="E5" s="2">
        <v>234574</v>
      </c>
      <c r="F5" s="2">
        <v>672683</v>
      </c>
      <c r="G5" s="2">
        <v>1289282</v>
      </c>
      <c r="H5" s="2">
        <v>1944889</v>
      </c>
      <c r="I5" s="2">
        <v>2383697</v>
      </c>
      <c r="J5" s="2">
        <v>3009690</v>
      </c>
      <c r="K5" s="2"/>
      <c r="L5" s="2"/>
    </row>
    <row r="6" spans="2:15" x14ac:dyDescent="0.25">
      <c r="B6" t="s">
        <v>7</v>
      </c>
      <c r="C6" s="2">
        <v>72832569</v>
      </c>
      <c r="D6" s="2">
        <v>280855994</v>
      </c>
      <c r="E6" s="2">
        <v>798617793</v>
      </c>
      <c r="F6" s="2">
        <v>1521930963</v>
      </c>
      <c r="G6" s="2">
        <v>2450916010</v>
      </c>
      <c r="H6" s="2">
        <v>3883272002</v>
      </c>
      <c r="I6" s="2">
        <v>4414212937</v>
      </c>
      <c r="J6" s="2">
        <v>4551400032</v>
      </c>
      <c r="K6" s="2"/>
      <c r="L6" s="2"/>
      <c r="O6" t="s">
        <v>51</v>
      </c>
    </row>
    <row r="7" spans="2:15" x14ac:dyDescent="0.25">
      <c r="C7" s="2"/>
      <c r="D7" s="2"/>
      <c r="E7" s="2"/>
      <c r="F7" s="2"/>
      <c r="G7" s="2"/>
      <c r="H7" s="2"/>
      <c r="I7" s="2"/>
      <c r="J7" s="2"/>
      <c r="K7" s="2"/>
      <c r="L7" s="2"/>
    </row>
    <row r="8" spans="2:15" x14ac:dyDescent="0.25">
      <c r="B8" t="s">
        <v>8</v>
      </c>
      <c r="C8" s="3">
        <f>C5/C6</f>
        <v>6.6379643974936542E-4</v>
      </c>
      <c r="D8" s="3">
        <f t="shared" ref="D8:J8" si="0">D5/D6</f>
        <v>9.8516679690304203E-4</v>
      </c>
      <c r="E8" s="3">
        <f t="shared" si="0"/>
        <v>2.9372498591450741E-4</v>
      </c>
      <c r="F8" s="3">
        <f t="shared" si="0"/>
        <v>4.4199311030115364E-4</v>
      </c>
      <c r="G8" s="4">
        <f t="shared" si="0"/>
        <v>5.26040873999595E-4</v>
      </c>
      <c r="H8" s="4">
        <f t="shared" si="0"/>
        <v>5.008376953760449E-4</v>
      </c>
      <c r="I8" s="4">
        <f t="shared" si="0"/>
        <v>5.4000498707704279E-4</v>
      </c>
      <c r="J8" s="4">
        <f t="shared" si="0"/>
        <v>6.6126685829403272E-4</v>
      </c>
      <c r="K8" s="4"/>
      <c r="L8" s="4"/>
      <c r="M8" s="6">
        <f>AVERAGE(C8:J8)</f>
        <v>5.7660396845184809E-4</v>
      </c>
      <c r="N8" s="3"/>
    </row>
    <row r="9" spans="2:15" x14ac:dyDescent="0.25">
      <c r="B9" t="s">
        <v>110</v>
      </c>
      <c r="C9" s="3"/>
      <c r="D9" s="3"/>
      <c r="E9" s="3"/>
      <c r="F9" s="3"/>
      <c r="G9" s="4"/>
      <c r="H9" s="4"/>
      <c r="I9" s="4"/>
      <c r="J9" s="4"/>
      <c r="K9" s="4">
        <v>6.9999999999999999E-4</v>
      </c>
      <c r="L9" s="4"/>
      <c r="M9" s="6"/>
      <c r="N9" s="3"/>
    </row>
    <row r="10" spans="2:15" x14ac:dyDescent="0.25">
      <c r="C10" s="3"/>
      <c r="D10" s="3"/>
      <c r="E10" s="3"/>
      <c r="F10" s="3"/>
      <c r="G10" s="4"/>
      <c r="H10" s="4"/>
      <c r="I10" s="4"/>
      <c r="J10" s="4"/>
      <c r="K10" s="4"/>
      <c r="L10" s="4"/>
      <c r="M10" s="6"/>
      <c r="N10" s="3"/>
    </row>
    <row r="11" spans="2:15" ht="15" customHeight="1" x14ac:dyDescent="0.25">
      <c r="B11" t="s">
        <v>69</v>
      </c>
      <c r="C11" s="6">
        <v>2.8E-3</v>
      </c>
      <c r="D11" s="6">
        <v>2E-3</v>
      </c>
      <c r="E11" s="6">
        <v>2.5000000000000001E-3</v>
      </c>
      <c r="F11" s="6">
        <v>2.5000000000000001E-3</v>
      </c>
      <c r="G11" s="6">
        <v>2.5000000000000001E-3</v>
      </c>
      <c r="H11" s="6">
        <v>2.5000000000000001E-3</v>
      </c>
      <c r="I11" s="6">
        <v>2.5000000000000001E-3</v>
      </c>
      <c r="J11" s="6">
        <v>2.5000000000000001E-3</v>
      </c>
      <c r="K11" s="6"/>
      <c r="L11" s="2"/>
      <c r="M11" s="6">
        <f>AVERAGE(C11:J11)</f>
        <v>2.4750000000000002E-3</v>
      </c>
      <c r="O11" t="s">
        <v>72</v>
      </c>
    </row>
    <row r="12" spans="2:15" ht="15" customHeight="1" x14ac:dyDescent="0.25">
      <c r="C12" s="6"/>
      <c r="D12" s="6"/>
      <c r="E12" s="6"/>
      <c r="F12" s="6"/>
      <c r="G12" s="6"/>
      <c r="H12" s="6"/>
      <c r="I12" s="6"/>
      <c r="J12" s="6"/>
      <c r="K12" s="6"/>
      <c r="L12" s="2"/>
      <c r="M12" s="6"/>
    </row>
    <row r="13" spans="2:15" x14ac:dyDescent="0.25">
      <c r="B13" t="s">
        <v>89</v>
      </c>
      <c r="C13" s="24">
        <f>1.53</f>
        <v>1.53</v>
      </c>
      <c r="D13" s="24">
        <f>1.09</f>
        <v>1.0900000000000001</v>
      </c>
      <c r="E13" s="24">
        <f>0.46</f>
        <v>0.46</v>
      </c>
      <c r="F13" s="24">
        <f>0.13</f>
        <v>0.13</v>
      </c>
      <c r="G13" s="24">
        <v>0.56999999999999995</v>
      </c>
      <c r="H13" s="24">
        <v>0.02</v>
      </c>
      <c r="I13" s="37">
        <v>0.56999999999999995</v>
      </c>
      <c r="J13" s="24">
        <v>0.01</v>
      </c>
      <c r="K13" s="24"/>
      <c r="L13" s="2"/>
      <c r="M13" s="37">
        <f>AVERAGE(C13:J13)</f>
        <v>0.54749999999999999</v>
      </c>
      <c r="N13" s="3"/>
      <c r="O13" t="s">
        <v>84</v>
      </c>
    </row>
    <row r="14" spans="2:15" x14ac:dyDescent="0.25">
      <c r="B14" t="s">
        <v>96</v>
      </c>
      <c r="C14" s="24">
        <v>0.1845</v>
      </c>
      <c r="D14" s="24">
        <v>2.6200000000000001E-2</v>
      </c>
      <c r="E14" s="24">
        <v>7.3300000000000004E-2</v>
      </c>
      <c r="F14" s="24">
        <v>0.2301</v>
      </c>
      <c r="G14" s="24">
        <v>1.7081</v>
      </c>
      <c r="H14" s="24">
        <v>0.2447</v>
      </c>
      <c r="I14" s="24">
        <v>8.6999999999999994E-3</v>
      </c>
      <c r="J14" s="6">
        <v>0.1177</v>
      </c>
      <c r="K14" s="6"/>
      <c r="L14" s="2"/>
      <c r="M14" s="37">
        <f>AVERAGE(C14:J14)</f>
        <v>0.32416250000000002</v>
      </c>
      <c r="O14" t="s">
        <v>85</v>
      </c>
    </row>
    <row r="15" spans="2:15" x14ac:dyDescent="0.25">
      <c r="C15" s="6"/>
      <c r="D15" s="6"/>
      <c r="E15" s="6"/>
      <c r="F15" s="6"/>
      <c r="G15" s="6"/>
      <c r="H15" s="6"/>
      <c r="I15" s="6"/>
      <c r="J15" s="6"/>
      <c r="K15" s="6"/>
      <c r="L15" s="2"/>
      <c r="M15" s="5"/>
      <c r="O15" t="s">
        <v>86</v>
      </c>
    </row>
    <row r="16" spans="2:15" ht="15" customHeight="1" x14ac:dyDescent="0.25">
      <c r="B16" t="s">
        <v>80</v>
      </c>
      <c r="C16" s="6">
        <f>M8+M11</f>
        <v>3.0516039684518482E-3</v>
      </c>
    </row>
    <row r="17" spans="2:15" ht="15" customHeight="1" x14ac:dyDescent="0.25">
      <c r="B17" t="s">
        <v>104</v>
      </c>
      <c r="C17" s="6">
        <f>('Tracking Difference'!O23/100)-C16</f>
        <v>1.1483960315481524E-3</v>
      </c>
      <c r="D17" t="s">
        <v>107</v>
      </c>
      <c r="O17" t="s">
        <v>95</v>
      </c>
    </row>
    <row r="18" spans="2:15" ht="15" customHeight="1" x14ac:dyDescent="0.25">
      <c r="C18" s="6"/>
    </row>
    <row r="19" spans="2:15" ht="15" customHeight="1" x14ac:dyDescent="0.25">
      <c r="C19" s="6"/>
      <c r="D19" s="4"/>
    </row>
    <row r="20" spans="2:15" ht="15" customHeight="1" x14ac:dyDescent="0.25">
      <c r="B20" s="1" t="s">
        <v>111</v>
      </c>
      <c r="E20" s="4"/>
    </row>
    <row r="21" spans="2:15" ht="15" customHeight="1" x14ac:dyDescent="0.25">
      <c r="B21" s="1"/>
      <c r="C21" s="1" t="s">
        <v>117</v>
      </c>
      <c r="D21" s="1" t="s">
        <v>41</v>
      </c>
      <c r="E21" s="4"/>
    </row>
    <row r="22" spans="2:15" x14ac:dyDescent="0.25">
      <c r="B22" t="s">
        <v>109</v>
      </c>
      <c r="C22" s="6">
        <v>2.5000000000000001E-3</v>
      </c>
      <c r="E22" t="s">
        <v>118</v>
      </c>
      <c r="F22" s="4"/>
      <c r="G22" s="4"/>
      <c r="H22" s="4"/>
      <c r="I22" s="4"/>
      <c r="J22" s="4"/>
      <c r="K22" s="4"/>
      <c r="L22" s="4"/>
      <c r="M22" s="5"/>
    </row>
    <row r="23" spans="2:15" x14ac:dyDescent="0.25">
      <c r="B23" t="s">
        <v>1</v>
      </c>
      <c r="C23" s="5">
        <f>AVERAGE(I8:J8)</f>
        <v>6.0063592268553775E-4</v>
      </c>
      <c r="E23" s="4"/>
    </row>
    <row r="24" spans="2:15" x14ac:dyDescent="0.25">
      <c r="B24" t="s">
        <v>112</v>
      </c>
      <c r="C24" s="6">
        <f>AVERAGE(0.42%,1.05%)*2.5%</f>
        <v>1.8375000000000002E-4</v>
      </c>
      <c r="E24" s="4"/>
    </row>
    <row r="25" spans="2:15" x14ac:dyDescent="0.25">
      <c r="B25" t="s">
        <v>113</v>
      </c>
      <c r="C25" s="5">
        <v>0</v>
      </c>
      <c r="D25" s="4"/>
      <c r="E25" s="4"/>
    </row>
    <row r="26" spans="2:15" x14ac:dyDescent="0.25">
      <c r="B26" t="s">
        <v>114</v>
      </c>
      <c r="C26" s="5">
        <f>SUM(C22:C25)</f>
        <v>3.2843859226855377E-3</v>
      </c>
      <c r="D26" s="4">
        <f>'Tracking Difference'!O23/100</f>
        <v>4.2000000000000006E-3</v>
      </c>
      <c r="F26" s="32"/>
      <c r="G26" s="32"/>
      <c r="H26" s="32"/>
      <c r="I26" s="32"/>
      <c r="J26" s="32"/>
      <c r="K26" s="32"/>
    </row>
    <row r="27" spans="2:15" x14ac:dyDescent="0.25">
      <c r="E27" s="4"/>
      <c r="F27" s="32"/>
      <c r="G27" s="32"/>
      <c r="H27" s="32"/>
      <c r="I27" s="32"/>
      <c r="J27" s="32"/>
      <c r="K27" s="32"/>
    </row>
    <row r="28" spans="2:15" x14ac:dyDescent="0.25">
      <c r="B28" t="s">
        <v>121</v>
      </c>
      <c r="E28" s="4"/>
    </row>
    <row r="29" spans="2:15" x14ac:dyDescent="0.25">
      <c r="C29" s="32"/>
      <c r="D29" s="32"/>
      <c r="E29" s="32"/>
      <c r="F29" s="32"/>
      <c r="G29" s="32"/>
      <c r="H29" s="32"/>
      <c r="I29" s="32"/>
      <c r="J29" s="32"/>
      <c r="K29" s="32"/>
    </row>
    <row r="30" spans="2:15" x14ac:dyDescent="0.25">
      <c r="C30" s="32"/>
      <c r="D30" s="32"/>
      <c r="E30" s="32"/>
      <c r="F30" s="32"/>
      <c r="G30" s="32"/>
      <c r="H30" s="32"/>
      <c r="I30" s="32"/>
      <c r="J30" s="32"/>
      <c r="K30" s="32"/>
    </row>
    <row r="31" spans="2:15" x14ac:dyDescent="0.25">
      <c r="C31" s="32"/>
      <c r="D31" s="32"/>
      <c r="E31" s="32"/>
      <c r="F31" s="32"/>
      <c r="G31" s="32"/>
      <c r="H31" s="32"/>
      <c r="I31" s="32"/>
      <c r="J31" s="32"/>
      <c r="K31" s="32"/>
    </row>
    <row r="34" spans="3:3" x14ac:dyDescent="0.25">
      <c r="C34" s="24"/>
    </row>
  </sheetData>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3B064-D487-424B-955E-970CD2CDF897}">
  <dimension ref="B2:O34"/>
  <sheetViews>
    <sheetView zoomScale="130" zoomScaleNormal="130" workbookViewId="0"/>
  </sheetViews>
  <sheetFormatPr defaultRowHeight="15" x14ac:dyDescent="0.25"/>
  <cols>
    <col min="2" max="2" width="36.42578125" customWidth="1"/>
    <col min="3" max="11" width="17.7109375" customWidth="1"/>
    <col min="12" max="12" width="6.140625" customWidth="1"/>
    <col min="13" max="13" width="13.28515625" customWidth="1"/>
    <col min="14" max="14" width="18" customWidth="1"/>
    <col min="15" max="15" width="91.85546875" customWidth="1"/>
  </cols>
  <sheetData>
    <row r="2" spans="2:15" x14ac:dyDescent="0.25">
      <c r="B2" s="10" t="s">
        <v>9</v>
      </c>
      <c r="C2" s="9"/>
      <c r="D2" s="9"/>
      <c r="E2" s="9"/>
      <c r="F2" s="9"/>
      <c r="G2" s="9"/>
      <c r="H2" s="9"/>
      <c r="I2" s="9"/>
      <c r="J2" s="9"/>
      <c r="K2" s="9"/>
      <c r="L2" s="9"/>
      <c r="M2" s="9"/>
      <c r="O2" s="1" t="s">
        <v>25</v>
      </c>
    </row>
    <row r="3" spans="2:15" x14ac:dyDescent="0.25">
      <c r="B3" t="s">
        <v>23</v>
      </c>
    </row>
    <row r="4" spans="2:15" x14ac:dyDescent="0.25">
      <c r="C4" s="1">
        <v>2016</v>
      </c>
      <c r="D4" s="1">
        <v>2017</v>
      </c>
      <c r="E4" s="1">
        <v>2018</v>
      </c>
      <c r="F4" s="1">
        <v>2019</v>
      </c>
      <c r="G4" s="1">
        <v>2020</v>
      </c>
      <c r="H4" s="1">
        <v>2021</v>
      </c>
      <c r="I4" s="1">
        <v>2022</v>
      </c>
      <c r="J4" s="1">
        <v>2023</v>
      </c>
      <c r="K4" s="1">
        <v>2024</v>
      </c>
      <c r="L4" s="1"/>
      <c r="M4" s="1" t="s">
        <v>13</v>
      </c>
    </row>
    <row r="5" spans="2:15" x14ac:dyDescent="0.25">
      <c r="B5" t="s">
        <v>1</v>
      </c>
      <c r="C5" s="2"/>
      <c r="D5" s="2"/>
      <c r="E5" s="2"/>
      <c r="F5" s="2">
        <v>2131</v>
      </c>
      <c r="G5" s="2">
        <v>139778</v>
      </c>
      <c r="H5" s="2">
        <v>203240</v>
      </c>
      <c r="I5" s="2">
        <v>176525</v>
      </c>
      <c r="J5" s="2">
        <v>225040</v>
      </c>
      <c r="K5" s="2"/>
      <c r="L5" s="2"/>
    </row>
    <row r="6" spans="2:15" x14ac:dyDescent="0.25">
      <c r="B6" t="s">
        <v>7</v>
      </c>
      <c r="C6" s="2"/>
      <c r="D6" s="2"/>
      <c r="E6" s="2"/>
      <c r="F6" s="2">
        <v>134685073</v>
      </c>
      <c r="G6" s="2">
        <v>209928765</v>
      </c>
      <c r="H6" s="2">
        <v>536989210</v>
      </c>
      <c r="I6" s="2">
        <v>637533337</v>
      </c>
      <c r="J6" s="2">
        <v>881262286</v>
      </c>
      <c r="K6" s="2"/>
      <c r="L6" s="2"/>
    </row>
    <row r="7" spans="2:15" x14ac:dyDescent="0.25">
      <c r="B7" t="s">
        <v>8</v>
      </c>
      <c r="D7" s="3"/>
      <c r="E7" s="3"/>
      <c r="F7" s="4">
        <f>F5/F6</f>
        <v>1.582209485085255E-5</v>
      </c>
      <c r="G7" s="4">
        <f>G5/G6</f>
        <v>6.6583538468394262E-4</v>
      </c>
      <c r="H7" s="4">
        <f>H5/H6</f>
        <v>3.7848060299014202E-4</v>
      </c>
      <c r="I7" s="4">
        <f t="shared" ref="I7:J7" si="0">I5/I6</f>
        <v>2.7688748141495225E-4</v>
      </c>
      <c r="J7" s="4">
        <f t="shared" si="0"/>
        <v>2.5536097887661111E-4</v>
      </c>
      <c r="K7" s="4"/>
      <c r="L7" s="4"/>
      <c r="M7" s="6"/>
      <c r="N7" s="3"/>
    </row>
    <row r="8" spans="2:15" ht="15" customHeight="1" x14ac:dyDescent="0.25">
      <c r="B8" t="s">
        <v>16</v>
      </c>
      <c r="D8" s="3"/>
      <c r="E8" s="3"/>
      <c r="F8" s="3">
        <f>'Northern Trust Master fondsen'!G20</f>
        <v>8.9319673455790307E-4</v>
      </c>
      <c r="G8" s="3">
        <f>'Northern Trust Master fondsen'!H20</f>
        <v>3.2934847239067549E-4</v>
      </c>
      <c r="H8" s="3">
        <f>'Northern Trust Master fondsen'!I20</f>
        <v>1.5612069852104837E-4</v>
      </c>
      <c r="I8" s="3">
        <f>'Northern Trust Master fondsen'!J20</f>
        <v>1.6460527385106098E-4</v>
      </c>
      <c r="J8" s="3">
        <f>'Northern Trust Master fondsen'!K20</f>
        <v>1.0025390999295887E-4</v>
      </c>
      <c r="K8" s="3"/>
      <c r="L8" s="4"/>
      <c r="M8" s="6"/>
    </row>
    <row r="9" spans="2:15" ht="15" customHeight="1" x14ac:dyDescent="0.25">
      <c r="D9" s="3"/>
      <c r="E9" s="3"/>
      <c r="F9" s="3"/>
      <c r="G9" s="3"/>
      <c r="H9" s="3"/>
      <c r="I9" s="3"/>
      <c r="J9" s="3"/>
      <c r="K9" s="3"/>
      <c r="L9" s="4"/>
      <c r="M9" s="6"/>
    </row>
    <row r="10" spans="2:15" ht="15" customHeight="1" x14ac:dyDescent="0.25">
      <c r="B10" t="s">
        <v>26</v>
      </c>
      <c r="D10" s="3"/>
      <c r="E10" s="3"/>
      <c r="F10" s="3">
        <f>SUM(F7:F8)</f>
        <v>9.0901882940875559E-4</v>
      </c>
      <c r="G10" s="4">
        <f>SUM(G7:G8)</f>
        <v>9.9518385707461805E-4</v>
      </c>
      <c r="H10" s="4">
        <f>SUM(H7:H8)</f>
        <v>5.3460130151119036E-4</v>
      </c>
      <c r="I10" s="4">
        <f t="shared" ref="I10:J10" si="1">SUM(I7:I8)</f>
        <v>4.4149275526601323E-4</v>
      </c>
      <c r="J10" s="4">
        <f t="shared" si="1"/>
        <v>3.5561488886956999E-4</v>
      </c>
      <c r="K10" s="4"/>
      <c r="L10" s="4"/>
      <c r="M10" s="6">
        <f>AVERAGE(G10:J10)</f>
        <v>5.8172320068034791E-4</v>
      </c>
    </row>
    <row r="11" spans="2:15" ht="15" customHeight="1" x14ac:dyDescent="0.25">
      <c r="B11" t="s">
        <v>110</v>
      </c>
      <c r="D11" s="3"/>
      <c r="E11" s="3"/>
      <c r="F11" s="3"/>
      <c r="G11" s="4"/>
      <c r="H11" s="4"/>
      <c r="I11" s="4"/>
      <c r="J11" s="4"/>
      <c r="K11" s="4">
        <v>5.0000000000000001E-4</v>
      </c>
      <c r="L11" s="4"/>
      <c r="M11" s="6"/>
    </row>
    <row r="12" spans="2:15" ht="15" customHeight="1" x14ac:dyDescent="0.25">
      <c r="D12" s="3"/>
      <c r="E12" s="3"/>
      <c r="F12" s="3"/>
      <c r="G12" s="4"/>
      <c r="H12" s="4"/>
      <c r="I12" s="4"/>
      <c r="J12" s="4"/>
      <c r="K12" s="4"/>
      <c r="L12" s="4"/>
      <c r="M12" s="6"/>
    </row>
    <row r="13" spans="2:15" x14ac:dyDescent="0.25">
      <c r="B13" t="s">
        <v>69</v>
      </c>
      <c r="D13" s="2"/>
      <c r="E13" s="2"/>
      <c r="F13" s="6">
        <v>2.3E-3</v>
      </c>
      <c r="G13" s="6">
        <v>2.3E-3</v>
      </c>
      <c r="H13" s="6">
        <v>2.2000000000000001E-3</v>
      </c>
      <c r="I13" s="6">
        <v>2.3E-3</v>
      </c>
      <c r="J13" s="6">
        <v>2.3E-3</v>
      </c>
      <c r="K13" s="6"/>
      <c r="M13" s="6">
        <f>AVERAGE(G13:J13)</f>
        <v>2.2750000000000001E-3</v>
      </c>
    </row>
    <row r="14" spans="2:15" x14ac:dyDescent="0.25">
      <c r="D14" s="2"/>
      <c r="E14" s="2"/>
      <c r="F14" s="6"/>
      <c r="G14" s="6"/>
      <c r="H14" s="6"/>
      <c r="I14" s="6"/>
      <c r="J14" s="6"/>
      <c r="K14" s="6"/>
      <c r="M14" s="6"/>
    </row>
    <row r="16" spans="2:15" x14ac:dyDescent="0.25">
      <c r="B16" t="s">
        <v>89</v>
      </c>
      <c r="F16" s="37">
        <f>0.01</f>
        <v>0.01</v>
      </c>
      <c r="G16" s="37">
        <v>0.17</v>
      </c>
      <c r="H16" s="37">
        <v>0.1</v>
      </c>
      <c r="I16" s="37">
        <v>0.09</v>
      </c>
      <c r="J16" s="37">
        <v>0.05</v>
      </c>
      <c r="K16" s="37"/>
      <c r="M16" s="37">
        <f>AVERAGE(G16:J16)</f>
        <v>0.10249999999999999</v>
      </c>
    </row>
    <row r="17" spans="2:13" x14ac:dyDescent="0.25">
      <c r="F17" s="37"/>
      <c r="G17" s="37"/>
      <c r="H17" s="37"/>
      <c r="I17" s="37"/>
      <c r="J17" s="37"/>
      <c r="K17" s="37"/>
    </row>
    <row r="18" spans="2:13" x14ac:dyDescent="0.25">
      <c r="B18" s="1" t="s">
        <v>103</v>
      </c>
      <c r="F18" s="6">
        <v>6.9999999999999999E-4</v>
      </c>
      <c r="G18" s="6">
        <v>4.0000000000000002E-4</v>
      </c>
      <c r="H18" s="6">
        <v>2.9999999999999997E-4</v>
      </c>
      <c r="I18" s="6">
        <v>4.0000000000000002E-4</v>
      </c>
      <c r="J18" s="6">
        <v>2.9999999999999997E-4</v>
      </c>
      <c r="K18" s="6"/>
      <c r="M18" s="6">
        <f>AVERAGE(G18:J18)</f>
        <v>3.5E-4</v>
      </c>
    </row>
    <row r="20" spans="2:13" x14ac:dyDescent="0.25">
      <c r="B20" t="s">
        <v>80</v>
      </c>
      <c r="C20" s="6">
        <f>M10+M13</f>
        <v>2.856723200680348E-3</v>
      </c>
    </row>
    <row r="21" spans="2:13" x14ac:dyDescent="0.25">
      <c r="B21" t="s">
        <v>104</v>
      </c>
      <c r="C21" s="6">
        <f>('Tracking Difference'!O46/100)-C20</f>
        <v>4.8327679931965163E-4</v>
      </c>
      <c r="D21" t="s">
        <v>119</v>
      </c>
    </row>
    <row r="22" spans="2:13" x14ac:dyDescent="0.25">
      <c r="C22" s="3"/>
      <c r="D22" s="4"/>
    </row>
    <row r="24" spans="2:13" x14ac:dyDescent="0.25">
      <c r="B24" s="1" t="s">
        <v>111</v>
      </c>
      <c r="E24" s="4"/>
    </row>
    <row r="25" spans="2:13" x14ac:dyDescent="0.25">
      <c r="B25" s="1"/>
      <c r="C25" s="1" t="s">
        <v>117</v>
      </c>
      <c r="D25" s="1" t="s">
        <v>41</v>
      </c>
      <c r="E25" s="4"/>
    </row>
    <row r="26" spans="2:13" x14ac:dyDescent="0.25">
      <c r="B26" t="s">
        <v>109</v>
      </c>
      <c r="C26" s="6">
        <v>2.3E-3</v>
      </c>
      <c r="E26" t="s">
        <v>118</v>
      </c>
    </row>
    <row r="27" spans="2:13" x14ac:dyDescent="0.25">
      <c r="B27" t="s">
        <v>1</v>
      </c>
      <c r="C27" s="5">
        <f>AVERAGE(I10:J10)</f>
        <v>3.9855382206779161E-4</v>
      </c>
      <c r="E27" s="4"/>
    </row>
    <row r="28" spans="2:13" x14ac:dyDescent="0.25">
      <c r="B28" t="s">
        <v>112</v>
      </c>
      <c r="C28" s="6">
        <f>AVERAGE(0.42%,1.05%)*2.5%</f>
        <v>1.8375000000000002E-4</v>
      </c>
      <c r="E28" s="4"/>
    </row>
    <row r="29" spans="2:13" x14ac:dyDescent="0.25">
      <c r="B29" t="s">
        <v>113</v>
      </c>
      <c r="C29" s="5">
        <v>0</v>
      </c>
      <c r="D29" s="4"/>
      <c r="E29" s="4"/>
    </row>
    <row r="30" spans="2:13" x14ac:dyDescent="0.25">
      <c r="B30" t="s">
        <v>114</v>
      </c>
      <c r="C30" s="5">
        <f>SUM(C26:C29)</f>
        <v>2.8823038220677916E-3</v>
      </c>
      <c r="D30" s="4">
        <f>'Tracking Difference'!O46/100</f>
        <v>3.3399999999999997E-3</v>
      </c>
    </row>
    <row r="31" spans="2:13" x14ac:dyDescent="0.25">
      <c r="E31" s="4"/>
    </row>
    <row r="32" spans="2:13" x14ac:dyDescent="0.25">
      <c r="B32" t="s">
        <v>120</v>
      </c>
      <c r="E32" s="4"/>
    </row>
    <row r="33" spans="2:2" x14ac:dyDescent="0.25">
      <c r="B33" s="12"/>
    </row>
    <row r="34" spans="2:2" x14ac:dyDescent="0.25">
      <c r="B34" s="36"/>
    </row>
  </sheetData>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13B5-3E66-4D6C-8B83-264808508A91}">
  <dimension ref="B2:J32"/>
  <sheetViews>
    <sheetView zoomScaleNormal="100" workbookViewId="0"/>
  </sheetViews>
  <sheetFormatPr defaultRowHeight="15" x14ac:dyDescent="0.25"/>
  <cols>
    <col min="2" max="2" width="35.85546875" customWidth="1"/>
    <col min="3" max="6" width="17.7109375" customWidth="1"/>
    <col min="7" max="7" width="6.140625" customWidth="1"/>
    <col min="8" max="8" width="13.28515625" customWidth="1"/>
    <col min="9" max="9" width="18" customWidth="1"/>
    <col min="10" max="10" width="91.85546875" customWidth="1"/>
  </cols>
  <sheetData>
    <row r="2" spans="2:10" x14ac:dyDescent="0.25">
      <c r="B2" s="10" t="s">
        <v>57</v>
      </c>
      <c r="C2" s="9"/>
      <c r="D2" s="9"/>
      <c r="E2" s="9"/>
      <c r="F2" s="9"/>
      <c r="G2" s="9"/>
      <c r="H2" s="9"/>
      <c r="J2" s="1" t="s">
        <v>25</v>
      </c>
    </row>
    <row r="3" spans="2:10" x14ac:dyDescent="0.25">
      <c r="B3" t="s">
        <v>64</v>
      </c>
      <c r="J3" t="s">
        <v>54</v>
      </c>
    </row>
    <row r="4" spans="2:10" x14ac:dyDescent="0.25">
      <c r="C4" s="1">
        <v>2016</v>
      </c>
      <c r="D4" s="1">
        <v>2017</v>
      </c>
      <c r="E4" s="1">
        <v>2018</v>
      </c>
      <c r="F4" s="1">
        <v>2019</v>
      </c>
      <c r="G4" s="1"/>
      <c r="H4" s="1" t="s">
        <v>13</v>
      </c>
    </row>
    <row r="5" spans="2:10" x14ac:dyDescent="0.25">
      <c r="B5" t="s">
        <v>1</v>
      </c>
      <c r="C5" s="11">
        <v>244</v>
      </c>
      <c r="D5" s="11">
        <v>200</v>
      </c>
      <c r="E5" s="11">
        <v>0</v>
      </c>
      <c r="F5" s="11">
        <v>151</v>
      </c>
      <c r="G5" s="2"/>
      <c r="J5" t="s">
        <v>82</v>
      </c>
    </row>
    <row r="6" spans="2:10" x14ac:dyDescent="0.25">
      <c r="B6" t="s">
        <v>7</v>
      </c>
      <c r="C6" s="11">
        <v>35377446</v>
      </c>
      <c r="D6" s="11">
        <v>337614438</v>
      </c>
      <c r="E6" s="11">
        <v>620074712</v>
      </c>
      <c r="F6" s="11">
        <v>1000756145</v>
      </c>
      <c r="G6" s="2"/>
    </row>
    <row r="7" spans="2:10" x14ac:dyDescent="0.25">
      <c r="B7" t="s">
        <v>15</v>
      </c>
      <c r="C7" s="4">
        <f>C5/C6</f>
        <v>6.8970496061247611E-6</v>
      </c>
      <c r="D7" s="4">
        <f t="shared" ref="D7:F7" si="0">D5/D6</f>
        <v>5.9239172703864047E-7</v>
      </c>
      <c r="E7" s="4">
        <f t="shared" si="0"/>
        <v>0</v>
      </c>
      <c r="F7" s="4">
        <f t="shared" si="0"/>
        <v>1.5088590837481192E-7</v>
      </c>
      <c r="G7" s="4"/>
      <c r="H7" s="5"/>
      <c r="I7" s="3"/>
    </row>
    <row r="8" spans="2:10" ht="15" customHeight="1" x14ac:dyDescent="0.25">
      <c r="B8" t="s">
        <v>16</v>
      </c>
      <c r="C8" s="4">
        <f>'Northern Trust Master fondsen'!D44</f>
        <v>1.4240200701548999E-4</v>
      </c>
      <c r="D8" s="4">
        <f>'Northern Trust Master fondsen'!E44</f>
        <v>1.8879294676940906E-4</v>
      </c>
      <c r="E8" s="4">
        <f>'Northern Trust Master fondsen'!F44</f>
        <v>5.4497376783190948E-5</v>
      </c>
      <c r="F8" s="4">
        <f>'Northern Trust Master fondsen'!G44</f>
        <v>4.2326604352244424E-5</v>
      </c>
      <c r="G8" s="4"/>
      <c r="H8" s="5"/>
    </row>
    <row r="9" spans="2:10" ht="15" customHeight="1" x14ac:dyDescent="0.25">
      <c r="B9" t="s">
        <v>26</v>
      </c>
      <c r="C9" s="4">
        <f>SUM(C7:C8)</f>
        <v>1.4929905662161474E-4</v>
      </c>
      <c r="D9" s="4">
        <f t="shared" ref="D9:F9" si="1">SUM(D7:D8)</f>
        <v>1.893853384964477E-4</v>
      </c>
      <c r="E9" s="4">
        <f t="shared" si="1"/>
        <v>5.4497376783190948E-5</v>
      </c>
      <c r="F9" s="4">
        <f t="shared" si="1"/>
        <v>4.2477490260619238E-5</v>
      </c>
      <c r="G9" s="4"/>
      <c r="H9" s="6">
        <f>AVERAGE(C9:G9)</f>
        <v>1.0891481554046815E-4</v>
      </c>
    </row>
    <row r="10" spans="2:10" x14ac:dyDescent="0.25">
      <c r="B10" t="s">
        <v>69</v>
      </c>
      <c r="C10" s="3">
        <v>1.4E-3</v>
      </c>
      <c r="D10" s="3">
        <v>2.9999999999999997E-4</v>
      </c>
      <c r="E10" s="3">
        <v>1.1999999999999999E-3</v>
      </c>
      <c r="F10" s="3">
        <v>1.4E-3</v>
      </c>
      <c r="G10" s="4"/>
      <c r="H10" s="6">
        <f t="shared" ref="H10" si="2">AVERAGE(C10:F10)</f>
        <v>1.075E-3</v>
      </c>
    </row>
    <row r="11" spans="2:10" x14ac:dyDescent="0.25">
      <c r="C11" s="3"/>
      <c r="D11" s="3"/>
      <c r="E11" s="3"/>
      <c r="F11" s="3"/>
      <c r="G11" s="4"/>
      <c r="H11" s="6"/>
    </row>
    <row r="12" spans="2:10" x14ac:dyDescent="0.25">
      <c r="B12" t="s">
        <v>65</v>
      </c>
      <c r="C12" s="15">
        <f>49806-C5</f>
        <v>49562</v>
      </c>
      <c r="D12" s="15">
        <f>101119-D5</f>
        <v>100919</v>
      </c>
      <c r="E12" s="15">
        <f>724855-E5</f>
        <v>724855</v>
      </c>
      <c r="F12" s="15">
        <f>1049269-F5</f>
        <v>1049118</v>
      </c>
      <c r="G12" s="4"/>
      <c r="H12" s="6"/>
      <c r="J12" s="1"/>
    </row>
    <row r="13" spans="2:10" x14ac:dyDescent="0.25">
      <c r="B13" t="s">
        <v>70</v>
      </c>
      <c r="C13" s="3">
        <f>C12/C6</f>
        <v>1.4009490679457188E-3</v>
      </c>
      <c r="D13" s="3">
        <f t="shared" ref="D13:F13" si="3">D12/D6</f>
        <v>2.9891790350506276E-4</v>
      </c>
      <c r="E13" s="3">
        <f t="shared" si="3"/>
        <v>1.1689801018687567E-3</v>
      </c>
      <c r="F13" s="3">
        <f t="shared" si="3"/>
        <v>1.0483253140554036E-3</v>
      </c>
      <c r="G13" s="4"/>
      <c r="H13" s="6">
        <f>AVERAGE(C13:F13)</f>
        <v>9.7929309684373551E-4</v>
      </c>
    </row>
    <row r="14" spans="2:10" ht="15" customHeight="1" x14ac:dyDescent="0.25">
      <c r="C14" s="3"/>
      <c r="E14" s="3"/>
      <c r="F14" s="3"/>
      <c r="G14" s="4"/>
      <c r="H14" s="6"/>
    </row>
    <row r="15" spans="2:10" ht="15" customHeight="1" x14ac:dyDescent="0.25">
      <c r="B15" t="s">
        <v>89</v>
      </c>
      <c r="C15" s="24">
        <f>0.03</f>
        <v>0.03</v>
      </c>
      <c r="D15" s="24">
        <f>0.13</f>
        <v>0.13</v>
      </c>
      <c r="E15" s="24">
        <f>0.09</f>
        <v>0.09</v>
      </c>
      <c r="F15" s="24">
        <f>0.18</f>
        <v>0.18</v>
      </c>
      <c r="G15" s="4"/>
      <c r="H15" s="6"/>
    </row>
    <row r="16" spans="2:10" ht="15" customHeight="1" x14ac:dyDescent="0.25">
      <c r="D16" s="4"/>
      <c r="E16" s="4"/>
      <c r="F16" s="4"/>
      <c r="G16" s="4"/>
      <c r="H16" s="5"/>
    </row>
    <row r="17" spans="2:9" x14ac:dyDescent="0.25">
      <c r="B17" t="s">
        <v>80</v>
      </c>
      <c r="C17" s="6">
        <f>H9+H13</f>
        <v>1.0882079123842037E-3</v>
      </c>
      <c r="D17" s="4" t="s">
        <v>52</v>
      </c>
      <c r="E17" s="4"/>
      <c r="F17" s="4"/>
      <c r="G17" s="4"/>
      <c r="H17" s="5"/>
    </row>
    <row r="18" spans="2:9" x14ac:dyDescent="0.25">
      <c r="B18" t="s">
        <v>81</v>
      </c>
      <c r="C18" s="3">
        <f>'Tracking Difference'!O31/100</f>
        <v>3.274999999999998E-3</v>
      </c>
      <c r="D18" s="4" t="s">
        <v>52</v>
      </c>
      <c r="E18" s="4"/>
      <c r="F18" s="4"/>
      <c r="G18" s="4"/>
      <c r="H18" s="5"/>
    </row>
    <row r="19" spans="2:9" x14ac:dyDescent="0.25">
      <c r="B19" t="s">
        <v>48</v>
      </c>
      <c r="C19" s="3">
        <f>C18-C17</f>
        <v>2.1867920876157943E-3</v>
      </c>
      <c r="D19" s="4" t="s">
        <v>52</v>
      </c>
      <c r="E19" s="4"/>
      <c r="F19" s="4"/>
      <c r="G19" s="4"/>
      <c r="H19" s="5"/>
    </row>
    <row r="20" spans="2:9" x14ac:dyDescent="0.25">
      <c r="C20" s="3"/>
      <c r="D20" s="4"/>
      <c r="E20" s="4"/>
      <c r="F20" s="4"/>
      <c r="G20" s="4"/>
      <c r="H20" s="5"/>
    </row>
    <row r="21" spans="2:9" x14ac:dyDescent="0.25">
      <c r="B21" s="1" t="s">
        <v>20</v>
      </c>
      <c r="C21" s="25">
        <f>0.15%+AVERAGE(E9:F9)</f>
        <v>1.5484874335219051E-3</v>
      </c>
      <c r="D21" s="4"/>
      <c r="E21" s="4"/>
      <c r="F21" s="4"/>
      <c r="G21" s="4"/>
      <c r="H21" s="5"/>
      <c r="I21" s="5"/>
    </row>
    <row r="22" spans="2:9" x14ac:dyDescent="0.25">
      <c r="B22" s="1"/>
      <c r="C22" s="25"/>
      <c r="D22" s="4"/>
      <c r="E22" s="4"/>
      <c r="F22" s="4"/>
      <c r="G22" s="4"/>
      <c r="H22" s="5"/>
      <c r="I22" s="5"/>
    </row>
    <row r="23" spans="2:9" x14ac:dyDescent="0.25">
      <c r="B23" t="s">
        <v>87</v>
      </c>
      <c r="C23" s="25">
        <f>C21-C17</f>
        <v>4.6027952113770142E-4</v>
      </c>
      <c r="D23" s="4"/>
      <c r="E23" s="4"/>
      <c r="F23" s="4"/>
      <c r="G23" s="4"/>
      <c r="H23" s="5"/>
      <c r="I23" s="5"/>
    </row>
    <row r="24" spans="2:9" x14ac:dyDescent="0.25">
      <c r="B24" s="1" t="s">
        <v>49</v>
      </c>
      <c r="C24" s="25">
        <f>C23+C18</f>
        <v>3.7352795211376992E-3</v>
      </c>
    </row>
    <row r="27" spans="2:9" x14ac:dyDescent="0.25">
      <c r="C27" s="32"/>
      <c r="D27" s="32"/>
      <c r="E27" s="32"/>
      <c r="F27" s="32"/>
    </row>
    <row r="28" spans="2:9" x14ac:dyDescent="0.25">
      <c r="C28" s="32"/>
      <c r="D28" s="32"/>
      <c r="E28" s="32"/>
      <c r="F28" s="32"/>
    </row>
    <row r="29" spans="2:9" x14ac:dyDescent="0.25">
      <c r="C29" s="32"/>
      <c r="D29" s="32"/>
      <c r="E29" s="32"/>
      <c r="F29" s="32"/>
    </row>
    <row r="30" spans="2:9" x14ac:dyDescent="0.25">
      <c r="C30" s="32"/>
      <c r="D30" s="32"/>
      <c r="E30" s="32"/>
      <c r="F30" s="32"/>
    </row>
    <row r="32" spans="2:9" x14ac:dyDescent="0.25">
      <c r="E32" s="3"/>
      <c r="F32" s="3"/>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897E0-E1C1-4730-BED2-A508F1C09841}">
  <dimension ref="B2:J40"/>
  <sheetViews>
    <sheetView zoomScaleNormal="100" workbookViewId="0"/>
  </sheetViews>
  <sheetFormatPr defaultRowHeight="15" x14ac:dyDescent="0.25"/>
  <cols>
    <col min="2" max="2" width="35.42578125" customWidth="1"/>
    <col min="3" max="6" width="17.7109375" customWidth="1"/>
    <col min="7" max="7" width="6.140625" customWidth="1"/>
    <col min="8" max="8" width="13.28515625" customWidth="1"/>
    <col min="9" max="9" width="18" customWidth="1"/>
    <col min="10" max="10" width="91.85546875" customWidth="1"/>
  </cols>
  <sheetData>
    <row r="2" spans="2:10" x14ac:dyDescent="0.25">
      <c r="B2" s="10" t="s">
        <v>63</v>
      </c>
      <c r="C2" s="9"/>
      <c r="D2" s="9"/>
      <c r="E2" s="9"/>
      <c r="F2" s="9"/>
      <c r="G2" s="9"/>
      <c r="H2" s="9"/>
      <c r="J2" s="1" t="s">
        <v>25</v>
      </c>
    </row>
    <row r="3" spans="2:10" x14ac:dyDescent="0.25">
      <c r="B3" t="s">
        <v>66</v>
      </c>
      <c r="J3" t="s">
        <v>54</v>
      </c>
    </row>
    <row r="4" spans="2:10" x14ac:dyDescent="0.25">
      <c r="C4" s="1">
        <v>2016</v>
      </c>
      <c r="D4" s="1">
        <v>2017</v>
      </c>
      <c r="E4" s="1">
        <v>2018</v>
      </c>
      <c r="F4" s="1">
        <v>2019</v>
      </c>
      <c r="G4" s="1"/>
      <c r="H4" s="1" t="s">
        <v>13</v>
      </c>
    </row>
    <row r="5" spans="2:10" x14ac:dyDescent="0.25">
      <c r="B5" t="s">
        <v>1</v>
      </c>
      <c r="C5" s="11">
        <v>739</v>
      </c>
      <c r="D5" s="11">
        <v>0</v>
      </c>
      <c r="E5" s="11">
        <v>1729</v>
      </c>
      <c r="F5" s="11">
        <v>331</v>
      </c>
      <c r="G5" s="2"/>
      <c r="J5" t="s">
        <v>73</v>
      </c>
    </row>
    <row r="6" spans="2:10" x14ac:dyDescent="0.25">
      <c r="B6" t="s">
        <v>7</v>
      </c>
      <c r="C6" s="11">
        <v>116633513</v>
      </c>
      <c r="D6" s="11">
        <v>256166911</v>
      </c>
      <c r="E6" s="11">
        <v>421319041</v>
      </c>
      <c r="F6" s="11">
        <v>609141396</v>
      </c>
      <c r="G6" s="2"/>
    </row>
    <row r="7" spans="2:10" x14ac:dyDescent="0.25">
      <c r="B7" t="s">
        <v>15</v>
      </c>
      <c r="C7" s="4">
        <f>C5/C6</f>
        <v>6.3360862670748841E-6</v>
      </c>
      <c r="D7" s="4">
        <f t="shared" ref="D7:F7" si="0">D5/D6</f>
        <v>0</v>
      </c>
      <c r="E7" s="4">
        <f t="shared" si="0"/>
        <v>4.1037784475541898E-6</v>
      </c>
      <c r="F7" s="4">
        <f t="shared" si="0"/>
        <v>5.4338779497428868E-7</v>
      </c>
      <c r="G7" s="4"/>
      <c r="H7" s="5"/>
      <c r="I7" s="3"/>
      <c r="J7" t="s">
        <v>83</v>
      </c>
    </row>
    <row r="8" spans="2:10" ht="15" customHeight="1" x14ac:dyDescent="0.25">
      <c r="B8" t="s">
        <v>16</v>
      </c>
      <c r="C8" s="3">
        <f>'Northern Trust Master fondsen'!D31</f>
        <v>4.0880326741039955E-4</v>
      </c>
      <c r="D8" s="3">
        <f>'Northern Trust Master fondsen'!E31</f>
        <v>3.2333263888189987E-4</v>
      </c>
      <c r="E8" s="3">
        <f>'Northern Trust Master fondsen'!F31</f>
        <v>1.4029800153593462E-4</v>
      </c>
      <c r="F8" s="3">
        <f>'Northern Trust Master fondsen'!G31</f>
        <v>1.0903789686451616E-4</v>
      </c>
      <c r="G8" s="4"/>
      <c r="H8" s="5"/>
    </row>
    <row r="9" spans="2:10" ht="15" customHeight="1" x14ac:dyDescent="0.25">
      <c r="B9" t="s">
        <v>26</v>
      </c>
      <c r="C9" s="3">
        <f>SUM(C7:C8)</f>
        <v>4.1513935367747443E-4</v>
      </c>
      <c r="D9" s="3">
        <f t="shared" ref="D9:F9" si="1">SUM(D7:D8)</f>
        <v>3.2333263888189987E-4</v>
      </c>
      <c r="E9" s="3">
        <f t="shared" si="1"/>
        <v>1.444017799834888E-4</v>
      </c>
      <c r="F9" s="3">
        <f t="shared" si="1"/>
        <v>1.0958128465949044E-4</v>
      </c>
      <c r="G9" s="4"/>
      <c r="H9" s="6">
        <f>AVERAGE(C9:G9)</f>
        <v>2.4811376430058837E-4</v>
      </c>
    </row>
    <row r="10" spans="2:10" x14ac:dyDescent="0.25">
      <c r="B10" t="s">
        <v>69</v>
      </c>
      <c r="C10" s="3">
        <v>6.9999999999999999E-4</v>
      </c>
      <c r="D10" s="3">
        <v>4.0000000000000002E-4</v>
      </c>
      <c r="E10" s="3">
        <v>1.1000000000000001E-3</v>
      </c>
      <c r="F10" s="3">
        <v>1.5E-3</v>
      </c>
      <c r="G10" s="4"/>
      <c r="H10" s="6">
        <f t="shared" ref="H10" si="2">AVERAGE(C10:F10)</f>
        <v>9.2500000000000004E-4</v>
      </c>
    </row>
    <row r="11" spans="2:10" x14ac:dyDescent="0.25">
      <c r="C11" s="3"/>
      <c r="D11" s="3"/>
      <c r="E11" s="3"/>
      <c r="F11" s="3"/>
      <c r="G11" s="4"/>
      <c r="H11" s="6"/>
    </row>
    <row r="12" spans="2:10" x14ac:dyDescent="0.25">
      <c r="B12" t="s">
        <v>65</v>
      </c>
      <c r="C12" s="15">
        <f>73959-C5</f>
        <v>73220</v>
      </c>
      <c r="D12" s="15">
        <f>102247-D5</f>
        <v>102247</v>
      </c>
      <c r="E12" s="15">
        <f>593572-E5</f>
        <v>591843</v>
      </c>
      <c r="F12" s="15">
        <f>737120-F5</f>
        <v>736789</v>
      </c>
      <c r="G12" s="4"/>
      <c r="H12" s="6"/>
      <c r="J12" s="1"/>
    </row>
    <row r="13" spans="2:10" x14ac:dyDescent="0.25">
      <c r="B13" t="s">
        <v>70</v>
      </c>
      <c r="C13" s="3">
        <f>C12/C6</f>
        <v>6.2777839847797431E-4</v>
      </c>
      <c r="D13" s="3">
        <f t="shared" ref="D13:F13" si="3">D12/D6</f>
        <v>3.9914210465691254E-4</v>
      </c>
      <c r="E13" s="3">
        <f t="shared" si="3"/>
        <v>1.4047383156366769E-3</v>
      </c>
      <c r="F13" s="3">
        <f t="shared" si="3"/>
        <v>1.2095533234782816E-3</v>
      </c>
      <c r="G13" s="4"/>
      <c r="H13" s="6">
        <f>AVERAGE(C13:F13)</f>
        <v>9.1030303556246129E-4</v>
      </c>
    </row>
    <row r="14" spans="2:10" ht="15" customHeight="1" x14ac:dyDescent="0.25">
      <c r="C14" s="3"/>
      <c r="D14" s="3"/>
      <c r="E14" s="3"/>
      <c r="F14" s="3"/>
      <c r="G14" s="4"/>
      <c r="H14" s="6"/>
    </row>
    <row r="15" spans="2:10" ht="15" customHeight="1" x14ac:dyDescent="0.25">
      <c r="B15" t="s">
        <v>89</v>
      </c>
      <c r="C15" s="24">
        <f>0.03</f>
        <v>0.03</v>
      </c>
      <c r="D15" s="24">
        <f>0.02</f>
        <v>0.02</v>
      </c>
      <c r="E15" s="24">
        <f>0.04</f>
        <v>0.04</v>
      </c>
      <c r="F15" s="24">
        <f>0.09</f>
        <v>0.09</v>
      </c>
      <c r="G15" s="4"/>
      <c r="H15" s="6"/>
    </row>
    <row r="16" spans="2:10" ht="15" customHeight="1" x14ac:dyDescent="0.25">
      <c r="D16" s="4"/>
      <c r="E16" s="4"/>
      <c r="F16" s="4"/>
      <c r="G16" s="4"/>
      <c r="H16" s="5"/>
    </row>
    <row r="17" spans="2:9" x14ac:dyDescent="0.25">
      <c r="B17" t="s">
        <v>80</v>
      </c>
      <c r="C17" s="6">
        <f>H9+H13</f>
        <v>1.1584167998630497E-3</v>
      </c>
      <c r="D17" s="4" t="s">
        <v>52</v>
      </c>
      <c r="E17" s="4"/>
      <c r="F17" s="4"/>
      <c r="G17" s="4"/>
      <c r="H17" s="5"/>
    </row>
    <row r="18" spans="2:9" x14ac:dyDescent="0.25">
      <c r="B18" t="s">
        <v>81</v>
      </c>
      <c r="C18" s="3">
        <f>'Tracking Difference'!O39/100</f>
        <v>1.6499999999999959E-3</v>
      </c>
      <c r="D18" s="4" t="s">
        <v>52</v>
      </c>
      <c r="E18" s="4"/>
      <c r="F18" s="4"/>
      <c r="G18" s="4"/>
      <c r="H18" s="5"/>
    </row>
    <row r="19" spans="2:9" x14ac:dyDescent="0.25">
      <c r="B19" t="s">
        <v>48</v>
      </c>
      <c r="C19" s="3">
        <f>C18-C17</f>
        <v>4.9158320013694616E-4</v>
      </c>
      <c r="D19" s="4" t="s">
        <v>52</v>
      </c>
      <c r="E19" s="4"/>
      <c r="F19" s="4"/>
      <c r="G19" s="4"/>
      <c r="H19" s="5"/>
    </row>
    <row r="20" spans="2:9" x14ac:dyDescent="0.25">
      <c r="C20" s="3"/>
      <c r="D20" s="4"/>
      <c r="E20" s="4"/>
      <c r="F20" s="4"/>
      <c r="G20" s="4"/>
      <c r="H20" s="5"/>
    </row>
    <row r="21" spans="2:9" x14ac:dyDescent="0.25">
      <c r="B21" s="1" t="s">
        <v>20</v>
      </c>
      <c r="C21" s="25">
        <f>0.15%+AVERAGE(E9:F9)</f>
        <v>1.6269915323214896E-3</v>
      </c>
      <c r="D21" s="4"/>
      <c r="E21" s="4"/>
      <c r="F21" s="4"/>
      <c r="G21" s="4"/>
      <c r="H21" s="5"/>
      <c r="I21" s="5"/>
    </row>
    <row r="22" spans="2:9" x14ac:dyDescent="0.25">
      <c r="B22" s="1"/>
      <c r="C22" s="25"/>
      <c r="D22" s="4"/>
      <c r="E22" s="4"/>
      <c r="F22" s="4"/>
      <c r="G22" s="4"/>
      <c r="H22" s="5"/>
      <c r="I22" s="5"/>
    </row>
    <row r="23" spans="2:9" x14ac:dyDescent="0.25">
      <c r="B23" t="s">
        <v>87</v>
      </c>
      <c r="C23" s="25">
        <f>C21-C17</f>
        <v>4.6857473245843985E-4</v>
      </c>
      <c r="D23" s="4"/>
      <c r="E23" s="4"/>
      <c r="F23" s="4"/>
      <c r="G23" s="4"/>
      <c r="H23" s="5"/>
      <c r="I23" s="5"/>
    </row>
    <row r="24" spans="2:9" x14ac:dyDescent="0.25">
      <c r="B24" s="1" t="s">
        <v>49</v>
      </c>
      <c r="C24" s="25">
        <f>C23+C18</f>
        <v>2.1185747324584357E-3</v>
      </c>
    </row>
    <row r="27" spans="2:9" x14ac:dyDescent="0.25">
      <c r="C27" s="32"/>
      <c r="D27" s="32"/>
      <c r="E27" s="32"/>
      <c r="F27" s="32"/>
    </row>
    <row r="28" spans="2:9" x14ac:dyDescent="0.25">
      <c r="C28" s="32"/>
      <c r="D28" s="32"/>
      <c r="E28" s="32"/>
      <c r="F28" s="32"/>
    </row>
    <row r="29" spans="2:9" x14ac:dyDescent="0.25">
      <c r="C29" s="32"/>
      <c r="D29" s="32"/>
      <c r="E29" s="32"/>
      <c r="F29" s="32"/>
    </row>
    <row r="30" spans="2:9" x14ac:dyDescent="0.25">
      <c r="C30" s="32"/>
      <c r="D30" s="32"/>
      <c r="E30" s="32"/>
      <c r="F30" s="32"/>
    </row>
    <row r="31" spans="2:9" x14ac:dyDescent="0.25">
      <c r="C31" s="23"/>
      <c r="D31" s="23"/>
      <c r="E31" s="23"/>
      <c r="F31" s="23"/>
    </row>
    <row r="32" spans="2:9" x14ac:dyDescent="0.25">
      <c r="C32" s="34"/>
      <c r="D32" s="34"/>
      <c r="E32" s="34"/>
      <c r="F32" s="34"/>
      <c r="G32" s="34"/>
    </row>
    <row r="33" spans="3:6" x14ac:dyDescent="0.25">
      <c r="C33" s="3"/>
      <c r="D33" s="32"/>
      <c r="E33" s="32"/>
      <c r="F33" s="32"/>
    </row>
    <row r="34" spans="3:6" x14ac:dyDescent="0.25">
      <c r="C34" s="32"/>
      <c r="D34" s="32"/>
      <c r="E34" s="32"/>
      <c r="F34" s="32"/>
    </row>
    <row r="35" spans="3:6" x14ac:dyDescent="0.25">
      <c r="C35" s="32"/>
      <c r="D35" s="32"/>
      <c r="E35" s="32"/>
      <c r="F35" s="32"/>
    </row>
    <row r="36" spans="3:6" x14ac:dyDescent="0.25">
      <c r="C36" s="32"/>
      <c r="D36" s="32"/>
      <c r="E36" s="32"/>
      <c r="F36" s="32"/>
    </row>
    <row r="38" spans="3:6" x14ac:dyDescent="0.25">
      <c r="C38" s="35"/>
      <c r="D38" s="35"/>
      <c r="E38" s="35"/>
      <c r="F38" s="35"/>
    </row>
    <row r="40" spans="3:6" x14ac:dyDescent="0.25">
      <c r="C40" s="35"/>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5834D-4F6D-4A3C-9D7B-51919C891EFD}">
  <dimension ref="B2:P54"/>
  <sheetViews>
    <sheetView zoomScaleNormal="100" workbookViewId="0">
      <selection activeCell="J37" sqref="J37"/>
    </sheetView>
  </sheetViews>
  <sheetFormatPr defaultRowHeight="15" x14ac:dyDescent="0.25"/>
  <cols>
    <col min="2" max="2" width="28.140625" customWidth="1"/>
    <col min="3" max="3" width="24.85546875" customWidth="1"/>
    <col min="4" max="11" width="17.7109375" customWidth="1"/>
    <col min="13" max="13" width="10.140625" bestFit="1" customWidth="1"/>
  </cols>
  <sheetData>
    <row r="2" spans="2:13" x14ac:dyDescent="0.25">
      <c r="B2" s="10" t="s">
        <v>10</v>
      </c>
      <c r="C2" s="10"/>
      <c r="D2" s="9"/>
      <c r="E2" s="9"/>
      <c r="F2" s="9"/>
      <c r="G2" s="9"/>
      <c r="H2" s="9"/>
      <c r="I2" s="9"/>
      <c r="J2" s="9"/>
      <c r="K2" s="9"/>
      <c r="M2" s="8" t="s">
        <v>18</v>
      </c>
    </row>
    <row r="3" spans="2:13" x14ac:dyDescent="0.25">
      <c r="C3" s="1">
        <v>2015</v>
      </c>
      <c r="D3" s="1">
        <v>2016</v>
      </c>
      <c r="E3" s="1">
        <v>2017</v>
      </c>
      <c r="F3" s="1">
        <v>2018</v>
      </c>
      <c r="G3" s="1">
        <v>2019</v>
      </c>
      <c r="H3" s="1">
        <v>2020</v>
      </c>
      <c r="I3" s="1">
        <v>2021</v>
      </c>
      <c r="J3" s="1">
        <v>2022</v>
      </c>
      <c r="K3" s="1">
        <v>2023</v>
      </c>
    </row>
    <row r="4" spans="2:13" x14ac:dyDescent="0.25">
      <c r="B4" s="1" t="s">
        <v>1</v>
      </c>
      <c r="C4" s="1"/>
      <c r="D4" s="11">
        <v>200474</v>
      </c>
      <c r="E4" s="11">
        <v>116789</v>
      </c>
      <c r="F4" s="11">
        <v>159626</v>
      </c>
      <c r="G4" s="11">
        <v>261252</v>
      </c>
      <c r="H4" s="11">
        <v>477059</v>
      </c>
      <c r="I4" s="11">
        <v>168260</v>
      </c>
      <c r="J4" s="11">
        <v>192053</v>
      </c>
      <c r="K4" s="11">
        <v>441244</v>
      </c>
      <c r="M4" s="1" t="s">
        <v>24</v>
      </c>
    </row>
    <row r="5" spans="2:13" x14ac:dyDescent="0.25">
      <c r="B5" s="1" t="s">
        <v>12</v>
      </c>
      <c r="C5" s="11">
        <v>957946194</v>
      </c>
      <c r="D5" s="11">
        <v>2005749714</v>
      </c>
      <c r="E5" s="11">
        <v>3210042287</v>
      </c>
      <c r="F5" s="11">
        <v>4337266633</v>
      </c>
      <c r="G5" s="11">
        <f>6989496789</f>
        <v>6989496789</v>
      </c>
      <c r="H5" s="11">
        <v>8369579285</v>
      </c>
      <c r="I5" s="11">
        <v>11268311752</v>
      </c>
      <c r="J5" s="11">
        <v>9250620202</v>
      </c>
      <c r="K5" s="11">
        <v>11669111484</v>
      </c>
      <c r="M5" s="8" t="s">
        <v>19</v>
      </c>
    </row>
    <row r="6" spans="2:13" x14ac:dyDescent="0.25">
      <c r="B6" s="1" t="s">
        <v>8</v>
      </c>
      <c r="C6" s="7"/>
      <c r="D6" s="4">
        <f t="shared" ref="D6:F6" si="0">D4/AVERAGE(C5:D5)</f>
        <v>1.3528648432442348E-4</v>
      </c>
      <c r="E6" s="4">
        <f t="shared" si="0"/>
        <v>4.4782844092559127E-5</v>
      </c>
      <c r="F6" s="4">
        <f t="shared" si="0"/>
        <v>4.2300110328596436E-5</v>
      </c>
      <c r="G6" s="4">
        <f>G4/AVERAGE(F5:G5)</f>
        <v>4.6130035609743487E-5</v>
      </c>
      <c r="H6" s="4">
        <f>H4/AVERAGE(G5:H5)</f>
        <v>6.2120793946397634E-5</v>
      </c>
      <c r="I6" s="4">
        <f>I4/AVERAGE(H5:I5)</f>
        <v>1.7136259660773064E-5</v>
      </c>
      <c r="J6" s="4">
        <f>J4/AVERAGE(I5:J5)</f>
        <v>1.8719590320836442E-5</v>
      </c>
      <c r="K6" s="4">
        <f>K4/AVERAGE(J5:K5)</f>
        <v>4.2184479860732762E-5</v>
      </c>
      <c r="M6" s="8" t="s">
        <v>36</v>
      </c>
    </row>
    <row r="7" spans="2:13" x14ac:dyDescent="0.25">
      <c r="B7" s="1"/>
      <c r="C7" s="7"/>
      <c r="D7" s="4"/>
      <c r="E7" s="4"/>
      <c r="F7" s="4"/>
      <c r="G7" s="4"/>
      <c r="M7" s="8"/>
    </row>
    <row r="8" spans="2:13" x14ac:dyDescent="0.25">
      <c r="B8" s="1"/>
      <c r="C8" s="7"/>
      <c r="D8" s="4"/>
      <c r="E8" s="4"/>
      <c r="F8" s="4"/>
      <c r="G8" s="4"/>
      <c r="M8" s="8" t="s">
        <v>17</v>
      </c>
    </row>
    <row r="9" spans="2:13" x14ac:dyDescent="0.25">
      <c r="B9" s="1" t="s">
        <v>75</v>
      </c>
      <c r="C9" s="32">
        <v>9156794</v>
      </c>
      <c r="D9" s="32">
        <v>35680887</v>
      </c>
      <c r="E9" s="32">
        <v>59639049</v>
      </c>
      <c r="F9" s="32">
        <v>98224310</v>
      </c>
      <c r="G9" s="32">
        <v>140316975</v>
      </c>
      <c r="M9" s="8"/>
    </row>
    <row r="10" spans="2:13" x14ac:dyDescent="0.25">
      <c r="B10" s="1" t="s">
        <v>76</v>
      </c>
      <c r="C10" s="32">
        <v>723455</v>
      </c>
      <c r="D10" s="32">
        <v>3677107</v>
      </c>
      <c r="E10" s="32">
        <v>6076660</v>
      </c>
      <c r="F10" s="32">
        <v>10961948</v>
      </c>
      <c r="G10" s="32">
        <v>14258476</v>
      </c>
      <c r="M10" s="13" t="s">
        <v>37</v>
      </c>
    </row>
    <row r="11" spans="2:13" x14ac:dyDescent="0.25">
      <c r="B11" s="1" t="s">
        <v>77</v>
      </c>
      <c r="C11" s="23">
        <f t="shared" ref="C11:F11" si="1">C10/C9</f>
        <v>7.9007456103085863E-2</v>
      </c>
      <c r="D11" s="23">
        <f t="shared" si="1"/>
        <v>0.10305536967172368</v>
      </c>
      <c r="E11" s="23">
        <f t="shared" si="1"/>
        <v>0.10189062538539137</v>
      </c>
      <c r="F11" s="23">
        <f t="shared" si="1"/>
        <v>0.11160117083031686</v>
      </c>
      <c r="G11" s="23">
        <f>G10/G9</f>
        <v>0.10161618720757057</v>
      </c>
      <c r="M11" s="8" t="s">
        <v>35</v>
      </c>
    </row>
    <row r="12" spans="2:13" x14ac:dyDescent="0.25">
      <c r="B12" s="1"/>
      <c r="C12" s="23"/>
      <c r="D12" s="23"/>
      <c r="E12" s="23"/>
      <c r="F12" s="23"/>
      <c r="G12" s="23"/>
      <c r="H12" s="34"/>
      <c r="I12" s="34"/>
      <c r="J12" s="34"/>
      <c r="K12" s="34"/>
    </row>
    <row r="13" spans="2:13" x14ac:dyDescent="0.25">
      <c r="B13" s="1"/>
      <c r="C13" s="3"/>
      <c r="D13" s="3"/>
      <c r="E13" s="3"/>
      <c r="F13" s="3"/>
      <c r="G13" s="3"/>
      <c r="M13" s="8" t="s">
        <v>40</v>
      </c>
    </row>
    <row r="14" spans="2:13" x14ac:dyDescent="0.25">
      <c r="M14" s="8" t="s">
        <v>78</v>
      </c>
    </row>
    <row r="15" spans="2:13" x14ac:dyDescent="0.25">
      <c r="E15" s="2"/>
      <c r="F15" s="2"/>
      <c r="G15" s="2"/>
    </row>
    <row r="16" spans="2:13" x14ac:dyDescent="0.25">
      <c r="B16" s="10" t="s">
        <v>11</v>
      </c>
      <c r="C16" s="10"/>
      <c r="D16" s="9"/>
      <c r="E16" s="9"/>
      <c r="F16" s="9"/>
      <c r="G16" s="9"/>
      <c r="H16" s="9"/>
      <c r="I16" s="9"/>
      <c r="J16" s="9"/>
      <c r="K16" s="9"/>
      <c r="M16" s="1" t="s">
        <v>25</v>
      </c>
    </row>
    <row r="17" spans="2:16" x14ac:dyDescent="0.25">
      <c r="C17" s="1">
        <v>2015</v>
      </c>
      <c r="D17" s="1">
        <v>2016</v>
      </c>
      <c r="E17" s="1">
        <v>2017</v>
      </c>
      <c r="F17" s="1">
        <v>2018</v>
      </c>
      <c r="G17" s="1">
        <v>2019</v>
      </c>
      <c r="H17" s="1">
        <v>2020</v>
      </c>
      <c r="I17" s="1">
        <v>2021</v>
      </c>
      <c r="J17" s="1">
        <v>2022</v>
      </c>
      <c r="K17" s="1">
        <v>2023</v>
      </c>
      <c r="M17" t="s">
        <v>106</v>
      </c>
      <c r="N17" s="5"/>
      <c r="P17" s="5"/>
    </row>
    <row r="18" spans="2:16" x14ac:dyDescent="0.25">
      <c r="B18" s="1" t="s">
        <v>1</v>
      </c>
      <c r="E18" s="2"/>
      <c r="F18" s="2"/>
      <c r="G18" s="2">
        <v>63179</v>
      </c>
      <c r="H18" s="2">
        <v>78222</v>
      </c>
      <c r="I18" s="2">
        <v>88354</v>
      </c>
      <c r="J18" s="2">
        <v>154570</v>
      </c>
      <c r="K18" s="2">
        <v>127992</v>
      </c>
      <c r="M18" t="s">
        <v>92</v>
      </c>
      <c r="P18" s="3"/>
    </row>
    <row r="19" spans="2:16" x14ac:dyDescent="0.25">
      <c r="B19" s="1" t="s">
        <v>12</v>
      </c>
      <c r="D19" s="2"/>
      <c r="E19" s="2"/>
      <c r="F19" s="2">
        <v>0</v>
      </c>
      <c r="G19" s="2">
        <v>141467154</v>
      </c>
      <c r="H19" s="2">
        <v>333543399</v>
      </c>
      <c r="I19" s="2">
        <v>798324455</v>
      </c>
      <c r="J19" s="2">
        <v>1079744168</v>
      </c>
      <c r="K19" s="2">
        <v>1473612604</v>
      </c>
      <c r="P19" s="5"/>
    </row>
    <row r="20" spans="2:16" x14ac:dyDescent="0.25">
      <c r="B20" s="1" t="s">
        <v>8</v>
      </c>
      <c r="E20" s="30"/>
      <c r="F20" s="30"/>
      <c r="G20" s="31">
        <f>G18/AVERAGE(F19:G19)</f>
        <v>8.9319673455790307E-4</v>
      </c>
      <c r="H20" s="31">
        <f>H18/AVERAGE(G19:H19)</f>
        <v>3.2934847239067549E-4</v>
      </c>
      <c r="I20" s="31">
        <f>I18/AVERAGE(H19:I19)</f>
        <v>1.5612069852104837E-4</v>
      </c>
      <c r="J20" s="31">
        <f>J18/AVERAGE(I19:J19)</f>
        <v>1.6460527385106098E-4</v>
      </c>
      <c r="K20" s="31">
        <f>K18/AVERAGE(J19:K19)</f>
        <v>1.0025390999295887E-4</v>
      </c>
    </row>
    <row r="21" spans="2:16" x14ac:dyDescent="0.25">
      <c r="B21" s="1"/>
      <c r="E21" s="30"/>
      <c r="F21" s="30"/>
      <c r="G21" s="31"/>
    </row>
    <row r="22" spans="2:16" x14ac:dyDescent="0.25">
      <c r="B22" s="1" t="s">
        <v>75</v>
      </c>
      <c r="C22" s="32"/>
      <c r="D22" s="32"/>
      <c r="E22" s="33"/>
      <c r="F22" s="33"/>
      <c r="G22" s="33">
        <v>1485197</v>
      </c>
    </row>
    <row r="23" spans="2:16" x14ac:dyDescent="0.25">
      <c r="B23" s="1" t="s">
        <v>76</v>
      </c>
      <c r="C23" s="32"/>
      <c r="D23" s="32"/>
      <c r="E23" s="33"/>
      <c r="F23" s="33"/>
      <c r="G23" s="33">
        <v>195155</v>
      </c>
      <c r="M23" s="8"/>
    </row>
    <row r="24" spans="2:16" x14ac:dyDescent="0.25">
      <c r="B24" s="1" t="s">
        <v>77</v>
      </c>
      <c r="E24" s="30"/>
      <c r="F24" s="30"/>
      <c r="G24" s="30">
        <f>G23/G22</f>
        <v>0.13140007689215638</v>
      </c>
      <c r="M24" s="8"/>
    </row>
    <row r="25" spans="2:16" x14ac:dyDescent="0.25">
      <c r="B25" s="1"/>
      <c r="E25" s="30"/>
      <c r="F25" s="30"/>
      <c r="G25" s="31"/>
    </row>
    <row r="26" spans="2:16" x14ac:dyDescent="0.25">
      <c r="B26" s="1"/>
    </row>
    <row r="27" spans="2:16" x14ac:dyDescent="0.25">
      <c r="B27" s="10" t="s">
        <v>67</v>
      </c>
      <c r="C27" s="10"/>
      <c r="D27" s="9"/>
      <c r="E27" s="9"/>
      <c r="F27" s="9"/>
      <c r="G27" s="9"/>
      <c r="H27" s="9"/>
      <c r="I27" s="9"/>
      <c r="J27" s="9"/>
      <c r="K27" s="9"/>
    </row>
    <row r="28" spans="2:16" x14ac:dyDescent="0.25">
      <c r="B28" s="1" t="s">
        <v>1</v>
      </c>
      <c r="C28" s="1">
        <v>2015</v>
      </c>
      <c r="D28" s="1">
        <v>2016</v>
      </c>
      <c r="E28" s="1">
        <v>2017</v>
      </c>
      <c r="F28" s="1">
        <v>2018</v>
      </c>
      <c r="G28" s="1">
        <v>2019</v>
      </c>
      <c r="H28" s="1">
        <v>2020</v>
      </c>
      <c r="I28" s="1"/>
      <c r="J28" s="1"/>
      <c r="K28" s="1"/>
      <c r="N28" s="6"/>
    </row>
    <row r="29" spans="2:16" x14ac:dyDescent="0.25">
      <c r="B29" s="1" t="s">
        <v>1</v>
      </c>
      <c r="C29" s="2"/>
      <c r="D29" s="2">
        <v>45547</v>
      </c>
      <c r="E29" s="2">
        <v>119882</v>
      </c>
      <c r="F29" s="2">
        <v>97972</v>
      </c>
      <c r="G29" s="2">
        <v>119750</v>
      </c>
      <c r="M29" s="8"/>
      <c r="N29" s="6"/>
    </row>
    <row r="30" spans="2:16" x14ac:dyDescent="0.25">
      <c r="B30" s="1" t="s">
        <v>12</v>
      </c>
      <c r="C30" s="2">
        <v>25275750</v>
      </c>
      <c r="D30" s="2">
        <v>197555150</v>
      </c>
      <c r="E30" s="2">
        <v>543984587</v>
      </c>
      <c r="F30" s="2">
        <v>852642577</v>
      </c>
      <c r="G30" s="2">
        <v>1343841461</v>
      </c>
    </row>
    <row r="31" spans="2:16" x14ac:dyDescent="0.25">
      <c r="B31" s="1" t="s">
        <v>8</v>
      </c>
      <c r="C31" s="7"/>
      <c r="D31" s="4">
        <f t="shared" ref="D31" si="2">D29/AVERAGE(C30:D30)</f>
        <v>4.0880326741039955E-4</v>
      </c>
      <c r="E31" s="4">
        <f t="shared" ref="E31" si="3">E29/AVERAGE(D30:E30)</f>
        <v>3.2333263888189987E-4</v>
      </c>
      <c r="F31" s="4">
        <f t="shared" ref="F31" si="4">F29/AVERAGE(E30:F30)</f>
        <v>1.4029800153593462E-4</v>
      </c>
      <c r="G31" s="4">
        <f>G29/AVERAGE(F30:G30)</f>
        <v>1.0903789686451616E-4</v>
      </c>
    </row>
    <row r="32" spans="2:16" x14ac:dyDescent="0.25">
      <c r="B32" s="1"/>
      <c r="C32" s="7"/>
      <c r="D32" s="4"/>
      <c r="E32" s="4"/>
      <c r="F32" s="4"/>
      <c r="G32" s="4"/>
    </row>
    <row r="33" spans="2:11" x14ac:dyDescent="0.25">
      <c r="B33" s="1" t="s">
        <v>75</v>
      </c>
      <c r="C33" s="32">
        <v>4178257</v>
      </c>
      <c r="D33" s="32">
        <v>4523050</v>
      </c>
      <c r="E33" s="32">
        <v>11531574</v>
      </c>
      <c r="F33" s="32">
        <v>25060715</v>
      </c>
      <c r="G33" s="32">
        <v>36414801</v>
      </c>
    </row>
    <row r="34" spans="2:11" x14ac:dyDescent="0.25">
      <c r="B34" s="1" t="s">
        <v>76</v>
      </c>
      <c r="C34" s="32">
        <v>460172</v>
      </c>
      <c r="D34" s="32">
        <v>328239</v>
      </c>
      <c r="E34" s="32">
        <v>769172</v>
      </c>
      <c r="F34" s="32">
        <v>1404308</v>
      </c>
      <c r="G34" s="32">
        <v>1974860</v>
      </c>
    </row>
    <row r="35" spans="2:11" x14ac:dyDescent="0.25">
      <c r="B35" s="1" t="s">
        <v>77</v>
      </c>
      <c r="C35" s="23">
        <f t="shared" ref="C35:F35" si="5">C34/C33</f>
        <v>0.11013491989602363</v>
      </c>
      <c r="D35" s="23">
        <f t="shared" si="5"/>
        <v>7.2570278904721369E-2</v>
      </c>
      <c r="E35" s="23">
        <f t="shared" si="5"/>
        <v>6.6701388726291833E-2</v>
      </c>
      <c r="F35" s="23">
        <f t="shared" si="5"/>
        <v>5.603623041082427E-2</v>
      </c>
      <c r="G35" s="23">
        <f>G34/G33</f>
        <v>5.4232343601163711E-2</v>
      </c>
    </row>
    <row r="36" spans="2:11" x14ac:dyDescent="0.25">
      <c r="B36" s="1"/>
      <c r="C36" s="23"/>
      <c r="D36" s="23"/>
      <c r="E36" s="23"/>
      <c r="F36" s="23"/>
      <c r="G36" s="23"/>
    </row>
    <row r="37" spans="2:11" x14ac:dyDescent="0.25">
      <c r="B37" s="1" t="s">
        <v>93</v>
      </c>
      <c r="C37" s="3">
        <v>2.9999999999999997E-4</v>
      </c>
      <c r="D37" s="3">
        <v>1E-4</v>
      </c>
      <c r="E37" s="3">
        <v>0</v>
      </c>
      <c r="F37" s="3">
        <v>2.0000000000000001E-4</v>
      </c>
      <c r="G37" s="3">
        <v>0</v>
      </c>
    </row>
    <row r="38" spans="2:11" x14ac:dyDescent="0.25">
      <c r="B38" s="1"/>
      <c r="C38" s="3"/>
      <c r="D38" s="3"/>
      <c r="E38" s="3"/>
      <c r="F38" s="3"/>
      <c r="G38" s="3"/>
    </row>
    <row r="40" spans="2:11" x14ac:dyDescent="0.25">
      <c r="B40" s="10" t="s">
        <v>68</v>
      </c>
      <c r="C40" s="10"/>
      <c r="D40" s="9"/>
      <c r="E40" s="9"/>
      <c r="F40" s="9"/>
      <c r="G40" s="9"/>
      <c r="H40" s="9"/>
      <c r="I40" s="9"/>
      <c r="J40" s="9"/>
      <c r="K40" s="9"/>
    </row>
    <row r="41" spans="2:11" x14ac:dyDescent="0.25">
      <c r="B41" s="1" t="s">
        <v>1</v>
      </c>
      <c r="C41" s="1">
        <v>2015</v>
      </c>
      <c r="D41" s="1">
        <v>2016</v>
      </c>
      <c r="E41" s="1">
        <v>2017</v>
      </c>
      <c r="F41" s="1">
        <v>2018</v>
      </c>
      <c r="G41" s="1">
        <v>2019</v>
      </c>
      <c r="H41" s="1">
        <v>2020</v>
      </c>
      <c r="I41" s="1"/>
      <c r="J41" s="1"/>
      <c r="K41" s="1"/>
    </row>
    <row r="42" spans="2:11" x14ac:dyDescent="0.25">
      <c r="B42" s="1" t="s">
        <v>1</v>
      </c>
      <c r="C42" s="2"/>
      <c r="D42" s="2">
        <v>10837</v>
      </c>
      <c r="E42" s="2">
        <v>77254</v>
      </c>
      <c r="F42" s="2">
        <v>45684</v>
      </c>
      <c r="G42" s="2">
        <v>55573</v>
      </c>
    </row>
    <row r="43" spans="2:11" x14ac:dyDescent="0.25">
      <c r="B43" s="1" t="s">
        <v>12</v>
      </c>
      <c r="C43" s="2">
        <v>82931512</v>
      </c>
      <c r="D43" s="2">
        <v>69271399</v>
      </c>
      <c r="E43" s="2">
        <v>749127819</v>
      </c>
      <c r="F43" s="2">
        <v>927429942</v>
      </c>
      <c r="G43" s="2">
        <v>1698483516</v>
      </c>
    </row>
    <row r="44" spans="2:11" x14ac:dyDescent="0.25">
      <c r="B44" s="1" t="s">
        <v>8</v>
      </c>
      <c r="C44" s="7"/>
      <c r="D44" s="4">
        <f t="shared" ref="D44" si="6">D42/AVERAGE(C43:D43)</f>
        <v>1.4240200701548999E-4</v>
      </c>
      <c r="E44" s="4">
        <f t="shared" ref="E44" si="7">E42/AVERAGE(D43:E43)</f>
        <v>1.8879294676940906E-4</v>
      </c>
      <c r="F44" s="4">
        <f t="shared" ref="F44" si="8">F42/AVERAGE(E43:F43)</f>
        <v>5.4497376783190948E-5</v>
      </c>
      <c r="G44" s="4">
        <f>G42/AVERAGE(F43:G43)</f>
        <v>4.2326604352244424E-5</v>
      </c>
    </row>
    <row r="46" spans="2:11" x14ac:dyDescent="0.25">
      <c r="B46" s="1" t="s">
        <v>75</v>
      </c>
      <c r="C46" s="32">
        <v>13588</v>
      </c>
      <c r="D46" s="32">
        <v>812657</v>
      </c>
      <c r="E46" s="32">
        <v>9763753</v>
      </c>
      <c r="F46" s="32">
        <v>18127165</v>
      </c>
      <c r="G46" s="32">
        <v>28988001</v>
      </c>
    </row>
    <row r="47" spans="2:11" x14ac:dyDescent="0.25">
      <c r="B47" s="1" t="s">
        <v>76</v>
      </c>
      <c r="C47" s="32">
        <v>1921</v>
      </c>
      <c r="D47" s="32">
        <v>121637</v>
      </c>
      <c r="E47" s="32">
        <v>1181144</v>
      </c>
      <c r="F47" s="32">
        <v>2300880</v>
      </c>
      <c r="G47" s="32">
        <v>3641394</v>
      </c>
    </row>
    <row r="48" spans="2:11" x14ac:dyDescent="0.25">
      <c r="B48" s="1" t="s">
        <v>77</v>
      </c>
      <c r="C48" s="23">
        <f t="shared" ref="C48:F48" si="9">C47/C46</f>
        <v>0.14137474241978215</v>
      </c>
      <c r="D48" s="23">
        <f t="shared" si="9"/>
        <v>0.1496781544981462</v>
      </c>
      <c r="E48" s="23">
        <f t="shared" si="9"/>
        <v>0.12097233512564277</v>
      </c>
      <c r="F48" s="23">
        <f t="shared" si="9"/>
        <v>0.12692994188556236</v>
      </c>
      <c r="G48" s="23">
        <f>G47/G46</f>
        <v>0.1256172855796438</v>
      </c>
    </row>
    <row r="50" spans="2:7" x14ac:dyDescent="0.25">
      <c r="B50" s="1" t="s">
        <v>93</v>
      </c>
      <c r="C50" s="3">
        <v>0</v>
      </c>
      <c r="D50" s="3">
        <v>0</v>
      </c>
      <c r="E50" s="3">
        <v>0</v>
      </c>
      <c r="F50" s="3">
        <v>4.0000000000000002E-4</v>
      </c>
      <c r="G50" s="3">
        <v>1E-4</v>
      </c>
    </row>
    <row r="54" spans="2:7" x14ac:dyDescent="0.25">
      <c r="E54" s="3"/>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8616F-4365-4E03-AA99-F5C2282C78C2}">
  <dimension ref="B2:AI72"/>
  <sheetViews>
    <sheetView tabSelected="1" zoomScale="115" zoomScaleNormal="115" workbookViewId="0">
      <selection activeCell="I27" sqref="I27"/>
    </sheetView>
  </sheetViews>
  <sheetFormatPr defaultRowHeight="15" x14ac:dyDescent="0.25"/>
  <cols>
    <col min="2" max="2" width="73" bestFit="1" customWidth="1"/>
    <col min="20" max="20" width="21" customWidth="1"/>
    <col min="27" max="27" width="9.140625" customWidth="1"/>
  </cols>
  <sheetData>
    <row r="2" spans="2:19" x14ac:dyDescent="0.25">
      <c r="B2" s="16"/>
      <c r="C2" s="17">
        <v>2014</v>
      </c>
      <c r="D2" s="17">
        <v>2015</v>
      </c>
      <c r="E2" s="17">
        <v>2016</v>
      </c>
      <c r="F2" s="17">
        <v>2017</v>
      </c>
      <c r="G2" s="17">
        <v>2018</v>
      </c>
      <c r="H2" s="17">
        <v>2019</v>
      </c>
      <c r="I2" s="17">
        <v>2020</v>
      </c>
      <c r="J2" s="17">
        <v>2021</v>
      </c>
      <c r="K2" s="17">
        <v>2022</v>
      </c>
      <c r="L2" s="17">
        <v>2023</v>
      </c>
      <c r="M2" s="17">
        <v>2024</v>
      </c>
      <c r="N2" s="16"/>
      <c r="O2" s="18" t="s">
        <v>41</v>
      </c>
      <c r="P2" s="18" t="s">
        <v>42</v>
      </c>
      <c r="S2" t="s">
        <v>88</v>
      </c>
    </row>
    <row r="3" spans="2:19" x14ac:dyDescent="0.25">
      <c r="B3" s="18" t="s">
        <v>115</v>
      </c>
      <c r="C3" s="19"/>
      <c r="D3" s="19"/>
      <c r="E3" s="19">
        <v>10.55</v>
      </c>
      <c r="F3" s="19">
        <v>8.32</v>
      </c>
      <c r="G3" s="19">
        <v>-3.3</v>
      </c>
      <c r="H3" s="19">
        <v>30.93</v>
      </c>
      <c r="I3" s="19">
        <v>8.2200000000000006</v>
      </c>
      <c r="J3" s="19">
        <v>31.74</v>
      </c>
      <c r="K3" s="19">
        <v>-13.71</v>
      </c>
      <c r="L3" s="19">
        <v>20.51</v>
      </c>
      <c r="M3" s="19">
        <v>26.97</v>
      </c>
      <c r="N3" s="16"/>
      <c r="O3" s="16"/>
      <c r="P3" s="19"/>
      <c r="S3" s="8" t="s">
        <v>90</v>
      </c>
    </row>
    <row r="4" spans="2:19" x14ac:dyDescent="0.25">
      <c r="B4" s="18" t="s">
        <v>43</v>
      </c>
      <c r="C4" s="19">
        <v>20.76</v>
      </c>
      <c r="D4" s="19">
        <v>11.13</v>
      </c>
      <c r="E4" s="19">
        <v>10.72</v>
      </c>
      <c r="F4" s="19">
        <v>8.5399999999999991</v>
      </c>
      <c r="G4" s="19">
        <v>-3.12</v>
      </c>
      <c r="H4" s="19">
        <v>31.17</v>
      </c>
      <c r="I4" s="19">
        <v>8.5299999999999994</v>
      </c>
      <c r="J4" s="19">
        <v>31.99</v>
      </c>
      <c r="K4" s="19">
        <v>-13.59</v>
      </c>
      <c r="L4" s="19">
        <v>20.86</v>
      </c>
      <c r="M4" s="19">
        <v>27.4</v>
      </c>
      <c r="N4" s="16"/>
      <c r="O4" s="16"/>
      <c r="P4" s="16"/>
      <c r="S4" s="8" t="s">
        <v>91</v>
      </c>
    </row>
    <row r="5" spans="2:19" x14ac:dyDescent="0.25">
      <c r="B5" s="18" t="s">
        <v>44</v>
      </c>
      <c r="C5" s="19"/>
      <c r="D5" s="19"/>
      <c r="E5" s="19">
        <v>10.07</v>
      </c>
      <c r="F5" s="19">
        <v>7.95</v>
      </c>
      <c r="G5" s="19">
        <v>-3.65</v>
      </c>
      <c r="H5" s="19">
        <v>30.44</v>
      </c>
      <c r="I5" s="19">
        <v>7.98</v>
      </c>
      <c r="J5" s="19">
        <v>31.42</v>
      </c>
      <c r="K5" s="19">
        <v>-14.01</v>
      </c>
      <c r="L5" s="19">
        <v>20.260000000000002</v>
      </c>
      <c r="M5" s="19">
        <v>26.85</v>
      </c>
      <c r="N5" s="16"/>
      <c r="O5" s="16"/>
      <c r="P5" s="19"/>
    </row>
    <row r="6" spans="2:19" x14ac:dyDescent="0.25">
      <c r="B6" s="18" t="s">
        <v>46</v>
      </c>
      <c r="C6" s="19"/>
      <c r="D6" s="19"/>
      <c r="E6" s="19">
        <f t="shared" ref="E6:M6" si="0">E3-E5</f>
        <v>0.48000000000000043</v>
      </c>
      <c r="F6" s="19">
        <f t="shared" si="0"/>
        <v>0.37000000000000011</v>
      </c>
      <c r="G6" s="19">
        <f t="shared" si="0"/>
        <v>0.35000000000000009</v>
      </c>
      <c r="H6" s="19">
        <f t="shared" si="0"/>
        <v>0.48999999999999844</v>
      </c>
      <c r="I6" s="19">
        <f t="shared" si="0"/>
        <v>0.24000000000000021</v>
      </c>
      <c r="J6" s="19">
        <f t="shared" si="0"/>
        <v>0.31999999999999673</v>
      </c>
      <c r="K6" s="19">
        <f t="shared" si="0"/>
        <v>0.29999999999999893</v>
      </c>
      <c r="L6" s="19">
        <f>L3-L5</f>
        <v>0.25</v>
      </c>
      <c r="M6" s="19">
        <f t="shared" si="0"/>
        <v>0.11999999999999744</v>
      </c>
      <c r="N6" s="16"/>
      <c r="O6" s="16"/>
      <c r="P6" s="19">
        <f>AVERAGE(E6:M6)</f>
        <v>0.32444444444444359</v>
      </c>
    </row>
    <row r="7" spans="2:19" x14ac:dyDescent="0.25">
      <c r="B7" s="18" t="s">
        <v>45</v>
      </c>
      <c r="C7" s="19"/>
      <c r="D7" s="19"/>
      <c r="E7" s="19">
        <f t="shared" ref="E7:M7" si="1">E4-E3</f>
        <v>0.16999999999999993</v>
      </c>
      <c r="F7" s="19">
        <f t="shared" si="1"/>
        <v>0.21999999999999886</v>
      </c>
      <c r="G7" s="19">
        <f t="shared" si="1"/>
        <v>0.17999999999999972</v>
      </c>
      <c r="H7" s="19">
        <f t="shared" si="1"/>
        <v>0.24000000000000199</v>
      </c>
      <c r="I7" s="19">
        <f t="shared" si="1"/>
        <v>0.30999999999999872</v>
      </c>
      <c r="J7" s="19">
        <f t="shared" si="1"/>
        <v>0.25</v>
      </c>
      <c r="K7" s="19">
        <f t="shared" si="1"/>
        <v>0.12000000000000099</v>
      </c>
      <c r="L7" s="19">
        <f t="shared" si="1"/>
        <v>0.34999999999999787</v>
      </c>
      <c r="M7" s="19">
        <f t="shared" si="1"/>
        <v>0.42999999999999972</v>
      </c>
      <c r="N7" s="16"/>
      <c r="O7" s="29">
        <f>AVERAGE(E7:M7)</f>
        <v>0.25222222222222196</v>
      </c>
      <c r="P7" s="19"/>
    </row>
    <row r="8" spans="2:19" x14ac:dyDescent="0.25">
      <c r="B8" s="18"/>
      <c r="C8" s="19"/>
      <c r="D8" s="19"/>
      <c r="E8" s="19"/>
      <c r="F8" s="19"/>
      <c r="G8" s="19"/>
      <c r="H8" s="19"/>
      <c r="I8" s="19"/>
      <c r="J8" s="19"/>
      <c r="K8" s="19"/>
      <c r="L8" s="19"/>
      <c r="M8" s="19"/>
      <c r="N8" s="16"/>
      <c r="O8" s="19"/>
      <c r="P8" s="19"/>
    </row>
    <row r="10" spans="2:19" x14ac:dyDescent="0.25">
      <c r="B10" s="18" t="s">
        <v>116</v>
      </c>
      <c r="I10">
        <v>8.32</v>
      </c>
      <c r="J10">
        <v>31.84</v>
      </c>
      <c r="K10">
        <v>-13.64</v>
      </c>
      <c r="L10">
        <v>20.7</v>
      </c>
      <c r="M10">
        <v>26.57</v>
      </c>
    </row>
    <row r="11" spans="2:19" x14ac:dyDescent="0.25">
      <c r="B11" s="18" t="s">
        <v>46</v>
      </c>
      <c r="I11" s="19">
        <f>I10-I5</f>
        <v>0.33999999999999986</v>
      </c>
      <c r="J11" s="19">
        <f t="shared" ref="J11:M11" si="2">J10-J5</f>
        <v>0.41999999999999815</v>
      </c>
      <c r="K11" s="19">
        <f t="shared" si="2"/>
        <v>0.36999999999999922</v>
      </c>
      <c r="L11" s="19">
        <f t="shared" si="2"/>
        <v>0.43999999999999773</v>
      </c>
      <c r="M11" s="19">
        <f t="shared" si="2"/>
        <v>-0.28000000000000114</v>
      </c>
      <c r="P11" s="26">
        <f>AVERAGE(I11:M11)</f>
        <v>0.25799999999999879</v>
      </c>
    </row>
    <row r="12" spans="2:19" x14ac:dyDescent="0.25">
      <c r="B12" s="18" t="s">
        <v>45</v>
      </c>
      <c r="I12" s="19">
        <f>I4-I10</f>
        <v>0.20999999999999908</v>
      </c>
      <c r="J12" s="19">
        <f t="shared" ref="J12:M12" si="3">J4-J10</f>
        <v>0.14999999999999858</v>
      </c>
      <c r="K12" s="19">
        <f t="shared" si="3"/>
        <v>5.0000000000000711E-2</v>
      </c>
      <c r="L12" s="19">
        <f t="shared" si="3"/>
        <v>0.16000000000000014</v>
      </c>
      <c r="M12" s="19">
        <f t="shared" si="3"/>
        <v>0.82999999999999829</v>
      </c>
      <c r="O12" s="29">
        <f>AVERAGE(I12:M12)</f>
        <v>0.27999999999999936</v>
      </c>
    </row>
    <row r="13" spans="2:19" x14ac:dyDescent="0.25">
      <c r="B13" s="18"/>
      <c r="I13" s="19"/>
      <c r="J13" s="19"/>
      <c r="K13" s="19"/>
      <c r="L13" s="19"/>
      <c r="M13" s="19"/>
      <c r="O13" s="26"/>
    </row>
    <row r="14" spans="2:19" x14ac:dyDescent="0.25">
      <c r="B14" s="18"/>
      <c r="I14" s="19"/>
      <c r="J14" s="19"/>
      <c r="K14" s="19"/>
      <c r="L14" s="19"/>
      <c r="M14" s="19"/>
      <c r="O14" s="26"/>
    </row>
    <row r="15" spans="2:19" x14ac:dyDescent="0.25">
      <c r="B15" s="18" t="s">
        <v>125</v>
      </c>
      <c r="E15">
        <v>10.54</v>
      </c>
      <c r="F15">
        <v>8.32</v>
      </c>
      <c r="G15">
        <v>-3.21</v>
      </c>
      <c r="H15">
        <v>31.02</v>
      </c>
      <c r="I15" s="19">
        <v>8.2899999999999991</v>
      </c>
      <c r="J15" s="19">
        <v>31.9</v>
      </c>
      <c r="K15" s="19">
        <v>-13.6</v>
      </c>
      <c r="L15" s="19">
        <v>20.7</v>
      </c>
      <c r="M15" s="19"/>
      <c r="O15" s="26"/>
    </row>
    <row r="16" spans="2:19" x14ac:dyDescent="0.25">
      <c r="B16" s="18" t="s">
        <v>46</v>
      </c>
      <c r="E16" s="26">
        <f t="shared" ref="E16:L16" si="4">E15-E5</f>
        <v>0.46999999999999886</v>
      </c>
      <c r="F16" s="26">
        <f t="shared" si="4"/>
        <v>0.37000000000000011</v>
      </c>
      <c r="G16" s="26">
        <f t="shared" si="4"/>
        <v>0.43999999999999995</v>
      </c>
      <c r="H16" s="26">
        <f t="shared" si="4"/>
        <v>0.57999999999999829</v>
      </c>
      <c r="I16" s="26">
        <f t="shared" si="4"/>
        <v>0.30999999999999872</v>
      </c>
      <c r="J16" s="26">
        <f t="shared" si="4"/>
        <v>0.47999999999999687</v>
      </c>
      <c r="K16" s="26">
        <f t="shared" si="4"/>
        <v>0.41000000000000014</v>
      </c>
      <c r="L16" s="26">
        <f t="shared" si="4"/>
        <v>0.43999999999999773</v>
      </c>
      <c r="M16" s="19"/>
      <c r="O16" s="26"/>
      <c r="P16" s="26">
        <f>AVERAGE(E16:L16)</f>
        <v>0.43749999999999883</v>
      </c>
    </row>
    <row r="17" spans="2:29" x14ac:dyDescent="0.25">
      <c r="B17" s="18" t="s">
        <v>45</v>
      </c>
      <c r="E17" s="26">
        <f t="shared" ref="E17:L17" si="5">E4-E15</f>
        <v>0.18000000000000149</v>
      </c>
      <c r="F17" s="26">
        <f t="shared" si="5"/>
        <v>0.21999999999999886</v>
      </c>
      <c r="G17" s="26">
        <f t="shared" si="5"/>
        <v>8.9999999999999858E-2</v>
      </c>
      <c r="H17" s="26">
        <f t="shared" si="5"/>
        <v>0.15000000000000213</v>
      </c>
      <c r="I17" s="26">
        <f t="shared" si="5"/>
        <v>0.24000000000000021</v>
      </c>
      <c r="J17" s="26">
        <f t="shared" si="5"/>
        <v>8.9999999999999858E-2</v>
      </c>
      <c r="K17" s="26">
        <f t="shared" si="5"/>
        <v>9.9999999999997868E-3</v>
      </c>
      <c r="L17" s="26">
        <f t="shared" si="5"/>
        <v>0.16000000000000014</v>
      </c>
      <c r="M17" s="19"/>
      <c r="O17" s="29">
        <f>AVERAGE(E17:L17)</f>
        <v>0.14250000000000029</v>
      </c>
    </row>
    <row r="18" spans="2:29" x14ac:dyDescent="0.25">
      <c r="B18" s="18"/>
    </row>
    <row r="19" spans="2:29" x14ac:dyDescent="0.25">
      <c r="B19" s="21" t="s">
        <v>59</v>
      </c>
      <c r="C19" s="22"/>
      <c r="D19" s="22"/>
      <c r="E19" s="22">
        <v>12.94</v>
      </c>
      <c r="F19" s="22">
        <v>21.63</v>
      </c>
      <c r="G19" s="22">
        <v>-10.75</v>
      </c>
      <c r="H19" s="22">
        <v>20.82</v>
      </c>
      <c r="I19" s="22">
        <v>10.26</v>
      </c>
      <c r="J19" s="22">
        <v>3.81</v>
      </c>
      <c r="K19" s="22">
        <v>-15.57</v>
      </c>
      <c r="L19" s="22">
        <v>5.57</v>
      </c>
      <c r="M19" s="22">
        <v>15.02</v>
      </c>
      <c r="N19" s="22"/>
      <c r="O19" s="20"/>
      <c r="P19" s="22"/>
    </row>
    <row r="20" spans="2:29" x14ac:dyDescent="0.25">
      <c r="B20" s="21" t="s">
        <v>43</v>
      </c>
      <c r="C20" s="22">
        <v>12.03</v>
      </c>
      <c r="D20" s="22">
        <v>-3.64</v>
      </c>
      <c r="E20" s="22">
        <v>13.57</v>
      </c>
      <c r="F20" s="22">
        <v>21.71</v>
      </c>
      <c r="G20" s="22">
        <v>-10.25</v>
      </c>
      <c r="H20" s="22">
        <v>21.08</v>
      </c>
      <c r="I20" s="22">
        <v>10.72</v>
      </c>
      <c r="J20" s="22">
        <v>4.07</v>
      </c>
      <c r="K20" s="22">
        <v>-15.23</v>
      </c>
      <c r="L20" s="22">
        <v>6.3</v>
      </c>
      <c r="M20" s="22">
        <v>15.54</v>
      </c>
      <c r="N20" s="22"/>
      <c r="O20" s="20"/>
      <c r="P20" s="22"/>
    </row>
    <row r="21" spans="2:29" x14ac:dyDescent="0.25">
      <c r="B21" s="21" t="s">
        <v>44</v>
      </c>
      <c r="C21" s="22"/>
      <c r="D21" s="22"/>
      <c r="E21" s="22">
        <v>13.14</v>
      </c>
      <c r="F21" s="22">
        <v>21.3</v>
      </c>
      <c r="G21" s="22">
        <v>-10.6</v>
      </c>
      <c r="H21" s="22">
        <v>20.61</v>
      </c>
      <c r="I21" s="22">
        <v>10.37</v>
      </c>
      <c r="J21" s="22">
        <v>3.74</v>
      </c>
      <c r="K21" s="22">
        <v>-15.59</v>
      </c>
      <c r="L21" s="22">
        <v>5.89</v>
      </c>
      <c r="M21" s="22">
        <v>14.95</v>
      </c>
      <c r="N21" s="22"/>
      <c r="O21" s="20"/>
      <c r="P21" s="22"/>
    </row>
    <row r="22" spans="2:29" x14ac:dyDescent="0.25">
      <c r="B22" s="21" t="s">
        <v>46</v>
      </c>
      <c r="C22" s="22"/>
      <c r="D22" s="22"/>
      <c r="E22" s="22">
        <f t="shared" ref="E22:M22" si="6">E19-E21</f>
        <v>-0.20000000000000107</v>
      </c>
      <c r="F22" s="22">
        <f t="shared" si="6"/>
        <v>0.32999999999999829</v>
      </c>
      <c r="G22" s="22">
        <f t="shared" si="6"/>
        <v>-0.15000000000000036</v>
      </c>
      <c r="H22" s="22">
        <f t="shared" si="6"/>
        <v>0.21000000000000085</v>
      </c>
      <c r="I22" s="22">
        <f t="shared" si="6"/>
        <v>-0.10999999999999943</v>
      </c>
      <c r="J22" s="22">
        <f t="shared" si="6"/>
        <v>6.999999999999984E-2</v>
      </c>
      <c r="K22" s="22">
        <f t="shared" si="6"/>
        <v>1.9999999999999574E-2</v>
      </c>
      <c r="L22" s="22">
        <f t="shared" si="6"/>
        <v>-0.3199999999999994</v>
      </c>
      <c r="M22" s="22">
        <f t="shared" si="6"/>
        <v>7.0000000000000284E-2</v>
      </c>
      <c r="N22" s="22"/>
      <c r="O22" s="22"/>
      <c r="P22" s="22">
        <f>AVERAGE(E22:M22)</f>
        <v>-8.888888888889045E-3</v>
      </c>
      <c r="U22" s="1">
        <f t="shared" ref="U22:AB24" si="7">E2</f>
        <v>2016</v>
      </c>
      <c r="V22" s="1">
        <f t="shared" si="7"/>
        <v>2017</v>
      </c>
      <c r="W22" s="1">
        <f t="shared" si="7"/>
        <v>2018</v>
      </c>
      <c r="X22" s="1">
        <f t="shared" si="7"/>
        <v>2019</v>
      </c>
      <c r="Y22" s="1">
        <f t="shared" si="7"/>
        <v>2020</v>
      </c>
      <c r="Z22" s="1">
        <f t="shared" si="7"/>
        <v>2021</v>
      </c>
      <c r="AA22" s="1">
        <f t="shared" si="7"/>
        <v>2022</v>
      </c>
      <c r="AB22" s="1">
        <f t="shared" si="7"/>
        <v>2023</v>
      </c>
    </row>
    <row r="23" spans="2:29" x14ac:dyDescent="0.25">
      <c r="B23" s="21" t="s">
        <v>45</v>
      </c>
      <c r="C23" s="22"/>
      <c r="D23" s="22"/>
      <c r="E23" s="22">
        <f t="shared" ref="E23:M23" si="8">E20-E19</f>
        <v>0.63000000000000078</v>
      </c>
      <c r="F23" s="22">
        <f t="shared" si="8"/>
        <v>8.0000000000001847E-2</v>
      </c>
      <c r="G23" s="22">
        <f t="shared" si="8"/>
        <v>0.5</v>
      </c>
      <c r="H23" s="22">
        <f t="shared" si="8"/>
        <v>0.25999999999999801</v>
      </c>
      <c r="I23" s="22">
        <f t="shared" si="8"/>
        <v>0.46000000000000085</v>
      </c>
      <c r="J23" s="22">
        <f t="shared" si="8"/>
        <v>0.26000000000000023</v>
      </c>
      <c r="K23" s="22">
        <f t="shared" si="8"/>
        <v>0.33999999999999986</v>
      </c>
      <c r="L23" s="22">
        <f t="shared" si="8"/>
        <v>0.72999999999999954</v>
      </c>
      <c r="M23" s="22">
        <f t="shared" si="8"/>
        <v>0.51999999999999957</v>
      </c>
      <c r="N23" s="22"/>
      <c r="O23" s="27">
        <f>AVERAGE(E23:M23)</f>
        <v>0.4200000000000001</v>
      </c>
      <c r="P23" s="22"/>
      <c r="T23" t="s">
        <v>108</v>
      </c>
      <c r="U23" s="26">
        <f>E15</f>
        <v>10.54</v>
      </c>
      <c r="V23" s="26">
        <f t="shared" ref="V23:AB23" si="9">F15</f>
        <v>8.32</v>
      </c>
      <c r="W23" s="26">
        <f t="shared" si="9"/>
        <v>-3.21</v>
      </c>
      <c r="X23" s="26">
        <f t="shared" si="9"/>
        <v>31.02</v>
      </c>
      <c r="Y23" s="26">
        <f t="shared" si="9"/>
        <v>8.2899999999999991</v>
      </c>
      <c r="Z23" s="26">
        <f t="shared" si="9"/>
        <v>31.9</v>
      </c>
      <c r="AA23" s="26">
        <f t="shared" si="9"/>
        <v>-13.6</v>
      </c>
      <c r="AB23" s="26">
        <f t="shared" si="9"/>
        <v>20.7</v>
      </c>
    </row>
    <row r="24" spans="2:29" x14ac:dyDescent="0.25">
      <c r="T24" t="s">
        <v>122</v>
      </c>
      <c r="U24" s="26">
        <f t="shared" si="7"/>
        <v>10.72</v>
      </c>
      <c r="V24" s="26">
        <f t="shared" si="7"/>
        <v>8.5399999999999991</v>
      </c>
      <c r="W24" s="26">
        <f t="shared" si="7"/>
        <v>-3.12</v>
      </c>
      <c r="X24" s="26">
        <f t="shared" si="7"/>
        <v>31.17</v>
      </c>
      <c r="Y24" s="26">
        <f t="shared" si="7"/>
        <v>8.5299999999999994</v>
      </c>
      <c r="Z24" s="26">
        <f t="shared" si="7"/>
        <v>31.99</v>
      </c>
      <c r="AA24" s="26">
        <f t="shared" si="7"/>
        <v>-13.59</v>
      </c>
      <c r="AB24" s="26">
        <f t="shared" si="7"/>
        <v>20.86</v>
      </c>
    </row>
    <row r="25" spans="2:29" x14ac:dyDescent="0.25">
      <c r="T25" t="s">
        <v>123</v>
      </c>
      <c r="U25" s="26">
        <f>U24-U23</f>
        <v>0.18000000000000149</v>
      </c>
      <c r="V25" s="26">
        <f t="shared" ref="V25:AB25" si="10">V24-V23</f>
        <v>0.21999999999999886</v>
      </c>
      <c r="W25" s="26">
        <f t="shared" si="10"/>
        <v>8.9999999999999858E-2</v>
      </c>
      <c r="X25" s="26">
        <f t="shared" si="10"/>
        <v>0.15000000000000213</v>
      </c>
      <c r="Y25" s="26">
        <f t="shared" si="10"/>
        <v>0.24000000000000021</v>
      </c>
      <c r="Z25" s="26">
        <f t="shared" si="10"/>
        <v>8.9999999999999858E-2</v>
      </c>
      <c r="AA25" s="26">
        <f t="shared" si="10"/>
        <v>9.9999999999997868E-3</v>
      </c>
      <c r="AB25" s="26">
        <f t="shared" si="10"/>
        <v>0.16000000000000014</v>
      </c>
    </row>
    <row r="26" spans="2:29" x14ac:dyDescent="0.25">
      <c r="B26" s="21" t="s">
        <v>58</v>
      </c>
      <c r="E26">
        <v>14.75</v>
      </c>
      <c r="F26">
        <v>7.07</v>
      </c>
      <c r="G26">
        <v>0.35</v>
      </c>
      <c r="H26">
        <v>34.049999999999997</v>
      </c>
    </row>
    <row r="27" spans="2:29" x14ac:dyDescent="0.25">
      <c r="B27" s="21" t="s">
        <v>55</v>
      </c>
      <c r="E27">
        <v>14.47</v>
      </c>
      <c r="F27">
        <v>6.77</v>
      </c>
      <c r="G27">
        <v>0.02</v>
      </c>
      <c r="H27">
        <v>33.590000000000003</v>
      </c>
      <c r="T27" t="s">
        <v>137</v>
      </c>
      <c r="U27" s="26">
        <f>World!C16*100</f>
        <v>2.6266407285764366E-2</v>
      </c>
      <c r="V27" s="26">
        <f>World!D16*100</f>
        <v>2.8077493451108815E-2</v>
      </c>
      <c r="W27" s="26">
        <f>World!E16*100</f>
        <v>0.12805674672750267</v>
      </c>
      <c r="X27" s="26">
        <f>World!F16*100</f>
        <v>0.12210870754241522</v>
      </c>
      <c r="Y27" s="26">
        <f>World!G16*100</f>
        <v>0.13943631119150182</v>
      </c>
      <c r="Z27" s="26">
        <f>World!H16*100</f>
        <v>0.10148625522145281</v>
      </c>
      <c r="AA27" s="26">
        <f>World!I16*100</f>
        <v>9.0337810305952074E-2</v>
      </c>
      <c r="AB27" s="26">
        <f>World!J16*100</f>
        <v>4.1452333119603071E-2</v>
      </c>
    </row>
    <row r="28" spans="2:29" x14ac:dyDescent="0.25">
      <c r="B28" s="21" t="s">
        <v>56</v>
      </c>
      <c r="E28">
        <v>15.19</v>
      </c>
      <c r="F28">
        <v>7.39</v>
      </c>
      <c r="G28">
        <v>0.57999999999999996</v>
      </c>
      <c r="H28">
        <v>34.369999999999997</v>
      </c>
      <c r="T28" t="s">
        <v>124</v>
      </c>
      <c r="U28" s="26">
        <f>U27-U25</f>
        <v>-0.15373359271423712</v>
      </c>
      <c r="V28" s="26">
        <f t="shared" ref="V28:AB28" si="11">V27-V25</f>
        <v>-0.19192250654889004</v>
      </c>
      <c r="W28" s="26">
        <f t="shared" si="11"/>
        <v>3.805674672750281E-2</v>
      </c>
      <c r="X28" s="26">
        <f t="shared" si="11"/>
        <v>-2.7891292457586911E-2</v>
      </c>
      <c r="Y28" s="26">
        <f t="shared" si="11"/>
        <v>-0.10056368880849839</v>
      </c>
      <c r="Z28" s="26">
        <f t="shared" si="11"/>
        <v>1.1486255221452954E-2</v>
      </c>
      <c r="AA28" s="26">
        <f t="shared" si="11"/>
        <v>8.0337810305952287E-2</v>
      </c>
      <c r="AB28" s="26">
        <f t="shared" si="11"/>
        <v>-0.11854766688039707</v>
      </c>
      <c r="AC28" s="26">
        <f>AVERAGE(U28:AB28)</f>
        <v>-5.7847241894337688E-2</v>
      </c>
    </row>
    <row r="29" spans="2:29" x14ac:dyDescent="0.25">
      <c r="B29" s="21" t="s">
        <v>74</v>
      </c>
      <c r="E29">
        <f>E28-E27</f>
        <v>0.71999999999999886</v>
      </c>
      <c r="F29">
        <f t="shared" ref="F29:H29" si="12">F28-F27</f>
        <v>0.62000000000000011</v>
      </c>
      <c r="G29">
        <f t="shared" si="12"/>
        <v>0.55999999999999994</v>
      </c>
      <c r="H29">
        <f t="shared" si="12"/>
        <v>0.77999999999999403</v>
      </c>
      <c r="N29">
        <f>AVERAGE(E29:H29)</f>
        <v>0.66999999999999826</v>
      </c>
    </row>
    <row r="30" spans="2:29" x14ac:dyDescent="0.25">
      <c r="B30" s="21" t="s">
        <v>46</v>
      </c>
      <c r="E30">
        <f>E26-E27</f>
        <v>0.27999999999999936</v>
      </c>
      <c r="F30">
        <f t="shared" ref="F30:H30" si="13">F26-F27</f>
        <v>0.30000000000000071</v>
      </c>
      <c r="G30">
        <f t="shared" si="13"/>
        <v>0.32999999999999996</v>
      </c>
      <c r="H30">
        <f t="shared" si="13"/>
        <v>0.45999999999999375</v>
      </c>
      <c r="P30" s="26">
        <f>AVERAGE(E30:H30)</f>
        <v>0.34249999999999847</v>
      </c>
    </row>
    <row r="31" spans="2:29" x14ac:dyDescent="0.25">
      <c r="B31" s="21" t="s">
        <v>45</v>
      </c>
      <c r="E31">
        <f>E28-E26</f>
        <v>0.4399999999999995</v>
      </c>
      <c r="F31">
        <f t="shared" ref="F31:H31" si="14">F28-F26</f>
        <v>0.3199999999999994</v>
      </c>
      <c r="G31">
        <f t="shared" si="14"/>
        <v>0.22999999999999998</v>
      </c>
      <c r="H31">
        <f t="shared" si="14"/>
        <v>0.32000000000000028</v>
      </c>
      <c r="O31" s="28">
        <f>AVERAGE(E31:H31)</f>
        <v>0.32749999999999979</v>
      </c>
    </row>
    <row r="34" spans="2:35" x14ac:dyDescent="0.25">
      <c r="B34" s="21" t="s">
        <v>60</v>
      </c>
      <c r="E34">
        <v>1.81</v>
      </c>
      <c r="F34">
        <v>10.79</v>
      </c>
      <c r="G34">
        <v>-10.47</v>
      </c>
      <c r="H34">
        <v>26.76</v>
      </c>
    </row>
    <row r="35" spans="2:35" x14ac:dyDescent="0.25">
      <c r="B35" s="21" t="s">
        <v>61</v>
      </c>
      <c r="E35">
        <v>1.24</v>
      </c>
      <c r="F35">
        <v>10.3</v>
      </c>
      <c r="G35">
        <v>-10.89</v>
      </c>
      <c r="H35">
        <v>26.14</v>
      </c>
      <c r="AB35" s="26"/>
      <c r="AC35" s="26"/>
      <c r="AD35" s="26"/>
      <c r="AE35" s="26"/>
      <c r="AF35" s="26"/>
      <c r="AG35" s="26"/>
      <c r="AH35" s="26"/>
      <c r="AI35" s="26"/>
    </row>
    <row r="36" spans="2:35" x14ac:dyDescent="0.25">
      <c r="B36" s="21" t="s">
        <v>62</v>
      </c>
      <c r="E36">
        <v>1.9</v>
      </c>
      <c r="F36">
        <v>10.96</v>
      </c>
      <c r="G36">
        <v>-10.3</v>
      </c>
      <c r="H36">
        <v>26.99</v>
      </c>
    </row>
    <row r="37" spans="2:35" x14ac:dyDescent="0.25">
      <c r="B37" s="21" t="s">
        <v>74</v>
      </c>
      <c r="E37">
        <f>E36-E35</f>
        <v>0.65999999999999992</v>
      </c>
      <c r="F37">
        <f t="shared" ref="F37:H37" si="15">F36-F35</f>
        <v>0.66000000000000014</v>
      </c>
      <c r="G37">
        <f t="shared" si="15"/>
        <v>0.58999999999999986</v>
      </c>
      <c r="H37">
        <f t="shared" si="15"/>
        <v>0.84999999999999787</v>
      </c>
      <c r="N37">
        <f>AVERAGE(E37:H37)</f>
        <v>0.6899999999999995</v>
      </c>
    </row>
    <row r="38" spans="2:35" x14ac:dyDescent="0.25">
      <c r="B38" s="21" t="s">
        <v>46</v>
      </c>
      <c r="E38">
        <f>E34-E35</f>
        <v>0.57000000000000006</v>
      </c>
      <c r="F38">
        <f t="shared" ref="F38:H38" si="16">F34-F35</f>
        <v>0.48999999999999844</v>
      </c>
      <c r="G38">
        <f t="shared" si="16"/>
        <v>0.41999999999999993</v>
      </c>
      <c r="H38">
        <f t="shared" si="16"/>
        <v>0.62000000000000099</v>
      </c>
      <c r="P38" s="26">
        <f>AVERAGE(E38:H38)</f>
        <v>0.52499999999999991</v>
      </c>
      <c r="AB38" s="37"/>
      <c r="AC38" s="37"/>
      <c r="AD38" s="37"/>
      <c r="AE38" s="37"/>
      <c r="AF38" s="37"/>
      <c r="AG38" s="37"/>
      <c r="AH38" s="37"/>
      <c r="AI38" s="37"/>
    </row>
    <row r="39" spans="2:35" x14ac:dyDescent="0.25">
      <c r="B39" s="21" t="s">
        <v>45</v>
      </c>
      <c r="E39">
        <f>E36-E34</f>
        <v>8.9999999999999858E-2</v>
      </c>
      <c r="F39">
        <f t="shared" ref="F39:H39" si="17">F36-F34</f>
        <v>0.17000000000000171</v>
      </c>
      <c r="G39">
        <f t="shared" si="17"/>
        <v>0.16999999999999993</v>
      </c>
      <c r="H39">
        <f t="shared" si="17"/>
        <v>0.22999999999999687</v>
      </c>
      <c r="O39" s="28">
        <f>AVERAGE(E39:H39)</f>
        <v>0.16499999999999959</v>
      </c>
      <c r="AB39" s="26"/>
      <c r="AC39" s="26"/>
      <c r="AD39" s="26"/>
      <c r="AE39" s="26"/>
      <c r="AF39" s="26"/>
      <c r="AG39" s="26"/>
      <c r="AH39" s="26"/>
      <c r="AI39" s="26"/>
    </row>
    <row r="40" spans="2:35" x14ac:dyDescent="0.25">
      <c r="AB40" s="26"/>
      <c r="AC40" s="26"/>
      <c r="AD40" s="26"/>
      <c r="AE40" s="26"/>
      <c r="AF40" s="26"/>
      <c r="AG40" s="26"/>
      <c r="AH40" s="26"/>
      <c r="AI40" s="26"/>
    </row>
    <row r="42" spans="2:35" x14ac:dyDescent="0.25">
      <c r="B42" s="21" t="s">
        <v>97</v>
      </c>
      <c r="I42">
        <v>8.14</v>
      </c>
      <c r="J42">
        <v>23.91</v>
      </c>
      <c r="K42">
        <v>-15.2</v>
      </c>
      <c r="L42">
        <v>12.01</v>
      </c>
      <c r="M42">
        <v>14.23</v>
      </c>
    </row>
    <row r="43" spans="2:35" x14ac:dyDescent="0.25">
      <c r="B43" s="21" t="s">
        <v>98</v>
      </c>
      <c r="I43">
        <v>8.43</v>
      </c>
      <c r="J43">
        <v>24.35</v>
      </c>
      <c r="K43">
        <v>-15.03</v>
      </c>
      <c r="L43">
        <v>12.39</v>
      </c>
      <c r="M43">
        <v>14.62</v>
      </c>
    </row>
    <row r="44" spans="2:35" ht="15.75" customHeight="1" x14ac:dyDescent="0.25">
      <c r="B44" s="21" t="s">
        <v>99</v>
      </c>
      <c r="I44">
        <v>7.98</v>
      </c>
      <c r="J44">
        <v>23.9</v>
      </c>
      <c r="K44">
        <v>-15.41</v>
      </c>
      <c r="L44">
        <v>11.86</v>
      </c>
      <c r="M44">
        <v>14.11</v>
      </c>
    </row>
    <row r="45" spans="2:35" x14ac:dyDescent="0.25">
      <c r="B45" s="21" t="s">
        <v>46</v>
      </c>
      <c r="I45">
        <f>I42-I44</f>
        <v>0.16000000000000014</v>
      </c>
      <c r="J45">
        <f>J42-J44</f>
        <v>1.0000000000001563E-2</v>
      </c>
      <c r="K45">
        <f t="shared" ref="K45:M45" si="18">K42-K44</f>
        <v>0.21000000000000085</v>
      </c>
      <c r="L45">
        <f t="shared" si="18"/>
        <v>0.15000000000000036</v>
      </c>
      <c r="M45">
        <f t="shared" si="18"/>
        <v>0.12000000000000099</v>
      </c>
      <c r="P45" s="26">
        <f>AVERAGE(I45:M45)</f>
        <v>0.13000000000000078</v>
      </c>
    </row>
    <row r="46" spans="2:35" x14ac:dyDescent="0.25">
      <c r="B46" s="21" t="s">
        <v>45</v>
      </c>
      <c r="I46">
        <f>I43-I42</f>
        <v>0.28999999999999915</v>
      </c>
      <c r="J46">
        <f>J43-J42</f>
        <v>0.44000000000000128</v>
      </c>
      <c r="K46">
        <f t="shared" ref="K46:M46" si="19">K43-K42</f>
        <v>0.16999999999999993</v>
      </c>
      <c r="L46">
        <f t="shared" si="19"/>
        <v>0.38000000000000078</v>
      </c>
      <c r="M46">
        <f t="shared" si="19"/>
        <v>0.38999999999999879</v>
      </c>
      <c r="O46" s="29">
        <f>AVERAGE(I46:M46)</f>
        <v>0.33399999999999996</v>
      </c>
    </row>
    <row r="51" spans="2:7" x14ac:dyDescent="0.25">
      <c r="B51" s="1"/>
      <c r="C51" s="1"/>
      <c r="D51" s="1"/>
      <c r="E51" s="1"/>
      <c r="F51" s="1"/>
      <c r="G51" s="1"/>
    </row>
    <row r="52" spans="2:7" x14ac:dyDescent="0.25">
      <c r="B52" s="1"/>
      <c r="C52" s="6"/>
      <c r="D52" s="6"/>
      <c r="E52" s="6"/>
      <c r="F52" s="6"/>
      <c r="G52" s="6"/>
    </row>
    <row r="53" spans="2:7" x14ac:dyDescent="0.25">
      <c r="B53" s="1"/>
      <c r="C53" s="6"/>
      <c r="D53" s="6"/>
    </row>
    <row r="58" spans="2:7" x14ac:dyDescent="0.25">
      <c r="B58" s="1"/>
      <c r="C58" s="6"/>
      <c r="D58" s="6"/>
      <c r="E58" s="6"/>
      <c r="F58" s="6"/>
      <c r="G58" s="6"/>
    </row>
    <row r="59" spans="2:7" x14ac:dyDescent="0.25">
      <c r="B59" s="1"/>
      <c r="C59" s="6"/>
      <c r="D59" s="6"/>
      <c r="E59" s="6"/>
      <c r="F59" s="6"/>
      <c r="G59" s="6"/>
    </row>
    <row r="64" spans="2:7" x14ac:dyDescent="0.25">
      <c r="B64" s="1"/>
      <c r="C64" s="1"/>
      <c r="D64" s="1"/>
      <c r="E64" s="1"/>
      <c r="F64" s="1"/>
      <c r="G64" s="1"/>
    </row>
    <row r="65" spans="2:17" x14ac:dyDescent="0.25">
      <c r="B65" s="1"/>
      <c r="C65" s="6"/>
      <c r="D65" s="6"/>
      <c r="E65" s="6"/>
      <c r="F65" s="6"/>
      <c r="G65" s="6"/>
    </row>
    <row r="66" spans="2:17" x14ac:dyDescent="0.25">
      <c r="B66" s="1"/>
      <c r="C66" s="6"/>
      <c r="D66" s="6"/>
      <c r="E66" s="6"/>
      <c r="F66" s="6"/>
    </row>
    <row r="69" spans="2:17" x14ac:dyDescent="0.25">
      <c r="C69" s="1"/>
      <c r="D69" s="1"/>
      <c r="E69" s="1"/>
      <c r="F69" s="1"/>
      <c r="G69" s="1"/>
      <c r="H69" s="1"/>
      <c r="I69" s="1"/>
      <c r="J69" s="1"/>
      <c r="K69" s="1"/>
      <c r="L69" s="1"/>
      <c r="M69" s="1"/>
      <c r="N69" s="1"/>
      <c r="O69" s="1"/>
      <c r="P69" s="1"/>
      <c r="Q69" s="1"/>
    </row>
    <row r="70" spans="2:17" x14ac:dyDescent="0.25">
      <c r="B70" s="1"/>
    </row>
    <row r="71" spans="2:17" x14ac:dyDescent="0.25">
      <c r="B71" s="1"/>
      <c r="Q71" s="26"/>
    </row>
    <row r="72" spans="2:17" x14ac:dyDescent="0.25">
      <c r="B72" s="1"/>
    </row>
  </sheetData>
  <conditionalFormatting sqref="E17:L17">
    <cfRule type="colorScale" priority="3">
      <colorScale>
        <cfvo type="min"/>
        <cfvo type="percentile" val="50"/>
        <cfvo type="max"/>
        <color rgb="FF63BE7B"/>
        <color rgb="FFFFEB84"/>
        <color rgb="FFF8696B"/>
      </colorScale>
    </cfRule>
  </conditionalFormatting>
  <conditionalFormatting sqref="E7:M7">
    <cfRule type="colorScale" priority="2">
      <colorScale>
        <cfvo type="min"/>
        <cfvo type="percentile" val="50"/>
        <cfvo type="max"/>
        <color rgb="FF63BE7B"/>
        <color rgb="FFFFEB84"/>
        <color rgb="FFF8696B"/>
      </colorScale>
    </cfRule>
  </conditionalFormatting>
  <conditionalFormatting sqref="U28:AB28">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Aannames</vt:lpstr>
      <vt:lpstr>World</vt:lpstr>
      <vt:lpstr>Emerging</vt:lpstr>
      <vt:lpstr>SmallCaps</vt:lpstr>
      <vt:lpstr>NA</vt:lpstr>
      <vt:lpstr>Europe</vt:lpstr>
      <vt:lpstr>Northern Trust Master fondsen</vt:lpstr>
      <vt:lpstr>Tracking Difference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Gerben</dc:creator>
  <cp:lastModifiedBy>Gerben van Loon</cp:lastModifiedBy>
  <dcterms:created xsi:type="dcterms:W3CDTF">2015-06-05T18:19:34Z</dcterms:created>
  <dcterms:modified xsi:type="dcterms:W3CDTF">2025-03-17T20:11:38Z</dcterms:modified>
</cp:coreProperties>
</file>