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EU/"/>
    </mc:Choice>
  </mc:AlternateContent>
  <xr:revisionPtr revIDLastSave="1062" documentId="13_ncr:1_{383DE9F1-B669-4070-96E2-664D98CFDC83}" xr6:coauthVersionLast="47" xr6:coauthVersionMax="47" xr10:uidLastSave="{7FC59109-6488-474F-BD54-616E5D75D707}"/>
  <bookViews>
    <workbookView xWindow="-105" yWindow="0" windowWidth="26010" windowHeight="20985" xr2:uid="{00000000-000D-0000-FFFF-FFFF00000000}"/>
  </bookViews>
  <sheets>
    <sheet name="VWRL" sheetId="13" r:id="rId1"/>
    <sheet name="VEVE" sheetId="16" r:id="rId2"/>
    <sheet name="VFEM" sheetId="17" r:id="rId3"/>
    <sheet name="VWCG" sheetId="19" r:id="rId4"/>
    <sheet name="VGEK" sheetId="20" r:id="rId5"/>
    <sheet name="VJPA" sheetId="21" r:id="rId6"/>
    <sheet name="GTD" sheetId="14" r:id="rId7"/>
    <sheet name="LeakgePerFund" sheetId="15" r:id="rId8"/>
    <sheet name="Lending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3" l="1"/>
  <c r="L11" i="17"/>
  <c r="M11" i="17"/>
  <c r="B27" i="17"/>
  <c r="B27" i="13"/>
  <c r="Q5" i="14"/>
  <c r="R6" i="14"/>
  <c r="Q12" i="14"/>
  <c r="K16" i="17"/>
  <c r="L16" i="17"/>
  <c r="M16" i="17"/>
  <c r="K12" i="17"/>
  <c r="L12" i="17"/>
  <c r="M12" i="17"/>
  <c r="K8" i="17"/>
  <c r="K22" i="17" s="1"/>
  <c r="L8" i="17"/>
  <c r="L22" i="17" s="1"/>
  <c r="B34" i="17" s="1"/>
  <c r="M8" i="17"/>
  <c r="M22" i="17" s="1"/>
  <c r="K7" i="17"/>
  <c r="L7" i="17"/>
  <c r="M7" i="17"/>
  <c r="M11" i="13"/>
  <c r="M16" i="13"/>
  <c r="M8" i="13"/>
  <c r="M19" i="13" s="1"/>
  <c r="M7" i="13"/>
  <c r="J16" i="16"/>
  <c r="K16" i="16"/>
  <c r="I16" i="16"/>
  <c r="I12" i="16"/>
  <c r="J12" i="16"/>
  <c r="K12" i="16"/>
  <c r="I8" i="16"/>
  <c r="I22" i="16" s="1"/>
  <c r="J8" i="16"/>
  <c r="J19" i="16" s="1"/>
  <c r="B35" i="16" s="1"/>
  <c r="K8" i="16"/>
  <c r="K19" i="16" s="1"/>
  <c r="I7" i="16"/>
  <c r="J7" i="16"/>
  <c r="K7" i="16"/>
  <c r="H4" i="18"/>
  <c r="L16" i="13"/>
  <c r="L11" i="13"/>
  <c r="L12" i="13" s="1"/>
  <c r="L8" i="13"/>
  <c r="L19" i="13" s="1"/>
  <c r="L7" i="13"/>
  <c r="K16" i="13"/>
  <c r="K11" i="13"/>
  <c r="K8" i="13"/>
  <c r="K22" i="13" s="1"/>
  <c r="K7" i="13"/>
  <c r="R20" i="14"/>
  <c r="Q19" i="14"/>
  <c r="L20" i="14"/>
  <c r="M20" i="14"/>
  <c r="N20" i="14"/>
  <c r="L19" i="14"/>
  <c r="M19" i="14"/>
  <c r="N19" i="14"/>
  <c r="R13" i="14"/>
  <c r="N13" i="14"/>
  <c r="N12" i="14"/>
  <c r="L6" i="14"/>
  <c r="M6" i="14"/>
  <c r="N6" i="14"/>
  <c r="L5" i="14"/>
  <c r="M5" i="14"/>
  <c r="N5" i="14"/>
  <c r="M13" i="14"/>
  <c r="M12" i="14"/>
  <c r="L13" i="14"/>
  <c r="L12" i="14"/>
  <c r="C31" i="21"/>
  <c r="J23" i="21"/>
  <c r="J20" i="21"/>
  <c r="J14" i="21"/>
  <c r="J13" i="21"/>
  <c r="J7" i="21"/>
  <c r="I23" i="21"/>
  <c r="I20" i="21"/>
  <c r="I17" i="21"/>
  <c r="I13" i="21"/>
  <c r="I14" i="21"/>
  <c r="I8" i="21"/>
  <c r="I9" i="21"/>
  <c r="C31" i="20"/>
  <c r="J23" i="20"/>
  <c r="J20" i="20"/>
  <c r="J14" i="20"/>
  <c r="J13" i="20"/>
  <c r="I23" i="20"/>
  <c r="I20" i="20"/>
  <c r="I17" i="20"/>
  <c r="I13" i="20"/>
  <c r="I14" i="20"/>
  <c r="I8" i="20"/>
  <c r="I9" i="20"/>
  <c r="C31" i="19"/>
  <c r="J23" i="19"/>
  <c r="J20" i="19"/>
  <c r="J14" i="19"/>
  <c r="J13" i="19"/>
  <c r="J7" i="19"/>
  <c r="I23" i="19"/>
  <c r="I20" i="19"/>
  <c r="I17" i="19"/>
  <c r="I14" i="19"/>
  <c r="I13" i="19"/>
  <c r="I9" i="19"/>
  <c r="I8" i="19"/>
  <c r="J16" i="17"/>
  <c r="J8" i="17"/>
  <c r="J19" i="17" s="1"/>
  <c r="J7" i="17"/>
  <c r="J11" i="17"/>
  <c r="J12" i="17"/>
  <c r="H16" i="16"/>
  <c r="H12" i="16"/>
  <c r="H7" i="16"/>
  <c r="H8" i="16"/>
  <c r="H13" i="16" s="1"/>
  <c r="J7" i="20"/>
  <c r="J11" i="13"/>
  <c r="K40" i="14"/>
  <c r="K41" i="14"/>
  <c r="K33" i="14"/>
  <c r="K34" i="14"/>
  <c r="K26" i="14"/>
  <c r="K27" i="14"/>
  <c r="K12" i="14"/>
  <c r="K13" i="14"/>
  <c r="K5" i="14"/>
  <c r="K6" i="14"/>
  <c r="K20" i="14"/>
  <c r="K19" i="14"/>
  <c r="J16" i="13"/>
  <c r="J8" i="13"/>
  <c r="J22" i="13" s="1"/>
  <c r="J7" i="13"/>
  <c r="G8" i="18"/>
  <c r="G4" i="18"/>
  <c r="J41" i="14"/>
  <c r="I41" i="14"/>
  <c r="H41" i="14"/>
  <c r="G41" i="14"/>
  <c r="F41" i="14"/>
  <c r="E41" i="14"/>
  <c r="D41" i="14"/>
  <c r="R41" i="14" s="1"/>
  <c r="J40" i="14"/>
  <c r="I40" i="14"/>
  <c r="H40" i="14"/>
  <c r="G40" i="14"/>
  <c r="F40" i="14"/>
  <c r="E40" i="14"/>
  <c r="D40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H7" i="21"/>
  <c r="H7" i="20"/>
  <c r="G9" i="21"/>
  <c r="G9" i="20"/>
  <c r="G20" i="20"/>
  <c r="H7" i="19"/>
  <c r="E8" i="19"/>
  <c r="F8" i="19"/>
  <c r="G8" i="19"/>
  <c r="H8" i="19"/>
  <c r="E13" i="21"/>
  <c r="H17" i="21"/>
  <c r="G17" i="21"/>
  <c r="F17" i="21"/>
  <c r="E17" i="21"/>
  <c r="H13" i="21"/>
  <c r="G13" i="21"/>
  <c r="F13" i="21"/>
  <c r="D13" i="21"/>
  <c r="C13" i="21"/>
  <c r="H9" i="21"/>
  <c r="H23" i="21"/>
  <c r="F9" i="21"/>
  <c r="F14" i="21"/>
  <c r="E9" i="21"/>
  <c r="E14" i="21"/>
  <c r="D9" i="21"/>
  <c r="D23" i="21"/>
  <c r="C9" i="21"/>
  <c r="C20" i="21"/>
  <c r="H8" i="21"/>
  <c r="G8" i="21"/>
  <c r="F8" i="21"/>
  <c r="E8" i="21"/>
  <c r="D8" i="21"/>
  <c r="H17" i="20"/>
  <c r="G17" i="20"/>
  <c r="F17" i="20"/>
  <c r="E17" i="20"/>
  <c r="H13" i="20"/>
  <c r="G13" i="20"/>
  <c r="F13" i="20"/>
  <c r="E13" i="20"/>
  <c r="D13" i="20"/>
  <c r="C13" i="20"/>
  <c r="H9" i="20"/>
  <c r="H23" i="20"/>
  <c r="F9" i="20"/>
  <c r="F14" i="20"/>
  <c r="E9" i="20"/>
  <c r="E14" i="20"/>
  <c r="D9" i="20"/>
  <c r="D23" i="20"/>
  <c r="C9" i="20"/>
  <c r="C20" i="20"/>
  <c r="H8" i="20"/>
  <c r="G8" i="20"/>
  <c r="F8" i="20"/>
  <c r="E8" i="20"/>
  <c r="D8" i="20"/>
  <c r="D9" i="19"/>
  <c r="D23" i="19"/>
  <c r="E9" i="19"/>
  <c r="F9" i="19"/>
  <c r="F20" i="19"/>
  <c r="G9" i="19"/>
  <c r="G20" i="19"/>
  <c r="H8" i="13"/>
  <c r="H19" i="13" s="1"/>
  <c r="G8" i="13"/>
  <c r="G19" i="13" s="1"/>
  <c r="F8" i="13"/>
  <c r="F19" i="13" s="1"/>
  <c r="E8" i="13"/>
  <c r="E19" i="13" s="1"/>
  <c r="D8" i="13"/>
  <c r="D19" i="13" s="1"/>
  <c r="D7" i="13"/>
  <c r="E7" i="13"/>
  <c r="F7" i="13"/>
  <c r="G7" i="13"/>
  <c r="H7" i="13"/>
  <c r="I7" i="13"/>
  <c r="H17" i="19"/>
  <c r="G17" i="19"/>
  <c r="F17" i="19"/>
  <c r="E17" i="19"/>
  <c r="H13" i="19"/>
  <c r="G13" i="19"/>
  <c r="F13" i="19"/>
  <c r="E13" i="19"/>
  <c r="D13" i="19"/>
  <c r="C13" i="19"/>
  <c r="C9" i="19"/>
  <c r="C20" i="19"/>
  <c r="D8" i="19"/>
  <c r="I6" i="17"/>
  <c r="I8" i="17" s="1"/>
  <c r="I13" i="17" s="1"/>
  <c r="G6" i="16"/>
  <c r="G8" i="16" s="1"/>
  <c r="I6" i="13"/>
  <c r="I8" i="13" s="1"/>
  <c r="I22" i="13" s="1"/>
  <c r="E23" i="21"/>
  <c r="H9" i="19"/>
  <c r="G20" i="21"/>
  <c r="G14" i="21"/>
  <c r="G14" i="20"/>
  <c r="F23" i="21"/>
  <c r="E23" i="20"/>
  <c r="C14" i="21"/>
  <c r="D20" i="21"/>
  <c r="D14" i="21"/>
  <c r="H14" i="21"/>
  <c r="E20" i="21"/>
  <c r="F20" i="21"/>
  <c r="C23" i="21"/>
  <c r="G23" i="21"/>
  <c r="H20" i="21"/>
  <c r="C14" i="20"/>
  <c r="D20" i="20"/>
  <c r="D14" i="20"/>
  <c r="H14" i="20"/>
  <c r="E20" i="20"/>
  <c r="F23" i="20"/>
  <c r="H20" i="20"/>
  <c r="F20" i="20"/>
  <c r="C23" i="20"/>
  <c r="G23" i="20"/>
  <c r="D20" i="19"/>
  <c r="E23" i="19"/>
  <c r="E20" i="19"/>
  <c r="E14" i="19"/>
  <c r="F14" i="19"/>
  <c r="F23" i="19"/>
  <c r="C14" i="19"/>
  <c r="G14" i="19"/>
  <c r="C23" i="19"/>
  <c r="G23" i="19"/>
  <c r="D14" i="19"/>
  <c r="D20" i="14"/>
  <c r="E20" i="14"/>
  <c r="F20" i="14"/>
  <c r="G20" i="14"/>
  <c r="H20" i="14"/>
  <c r="I20" i="14"/>
  <c r="J20" i="14"/>
  <c r="C20" i="14"/>
  <c r="D19" i="14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E5" i="14"/>
  <c r="F5" i="14"/>
  <c r="G5" i="14"/>
  <c r="H5" i="14"/>
  <c r="I5" i="14"/>
  <c r="J5" i="14"/>
  <c r="H23" i="19"/>
  <c r="H14" i="19"/>
  <c r="H20" i="19"/>
  <c r="C19" i="14"/>
  <c r="E13" i="14"/>
  <c r="E12" i="14"/>
  <c r="C27" i="21"/>
  <c r="C27" i="20"/>
  <c r="C27" i="19"/>
  <c r="I16" i="17"/>
  <c r="I12" i="17"/>
  <c r="I7" i="17"/>
  <c r="G16" i="16"/>
  <c r="G12" i="16"/>
  <c r="G7" i="16"/>
  <c r="I16" i="13"/>
  <c r="I12" i="13"/>
  <c r="F8" i="18"/>
  <c r="D8" i="18"/>
  <c r="C8" i="18"/>
  <c r="E8" i="18"/>
  <c r="D4" i="18"/>
  <c r="E4" i="18"/>
  <c r="F4" i="18"/>
  <c r="C4" i="18"/>
  <c r="D6" i="17"/>
  <c r="D8" i="17" s="1"/>
  <c r="H16" i="17"/>
  <c r="G16" i="17"/>
  <c r="F16" i="17"/>
  <c r="H12" i="17"/>
  <c r="G12" i="17"/>
  <c r="F12" i="17"/>
  <c r="E12" i="17"/>
  <c r="D12" i="17"/>
  <c r="C12" i="17"/>
  <c r="H8" i="17"/>
  <c r="H13" i="17" s="1"/>
  <c r="G8" i="17"/>
  <c r="G19" i="17" s="1"/>
  <c r="F8" i="17"/>
  <c r="F13" i="17" s="1"/>
  <c r="E8" i="17"/>
  <c r="E13" i="17" s="1"/>
  <c r="H7" i="17"/>
  <c r="G7" i="17"/>
  <c r="F7" i="17"/>
  <c r="E7" i="17"/>
  <c r="D7" i="17"/>
  <c r="C7" i="17"/>
  <c r="B8" i="16"/>
  <c r="B22" i="16" s="1"/>
  <c r="F16" i="16"/>
  <c r="E16" i="16"/>
  <c r="D16" i="16"/>
  <c r="F12" i="16"/>
  <c r="E12" i="16"/>
  <c r="D12" i="16"/>
  <c r="C12" i="16"/>
  <c r="B12" i="16"/>
  <c r="F8" i="16"/>
  <c r="F13" i="16" s="1"/>
  <c r="E8" i="16"/>
  <c r="E22" i="16" s="1"/>
  <c r="D8" i="16"/>
  <c r="D13" i="16" s="1"/>
  <c r="C8" i="16"/>
  <c r="C13" i="16" s="1"/>
  <c r="F7" i="16"/>
  <c r="E7" i="16"/>
  <c r="D7" i="16"/>
  <c r="C7" i="16"/>
  <c r="C8" i="13"/>
  <c r="C22" i="13" s="1"/>
  <c r="D13" i="15"/>
  <c r="C13" i="15"/>
  <c r="D12" i="15"/>
  <c r="D11" i="15"/>
  <c r="C11" i="15"/>
  <c r="D10" i="15"/>
  <c r="C10" i="15"/>
  <c r="D9" i="15"/>
  <c r="J9" i="15"/>
  <c r="D8" i="15"/>
  <c r="C7" i="15"/>
  <c r="D7" i="15"/>
  <c r="D6" i="15"/>
  <c r="C6" i="15"/>
  <c r="D5" i="15"/>
  <c r="C5" i="15"/>
  <c r="C3" i="15"/>
  <c r="D3" i="15"/>
  <c r="F13" i="15"/>
  <c r="E13" i="15"/>
  <c r="J13" i="15"/>
  <c r="F12" i="15"/>
  <c r="E12" i="15"/>
  <c r="J12" i="15"/>
  <c r="F11" i="15"/>
  <c r="E11" i="15"/>
  <c r="J11" i="15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/>
  <c r="J3" i="15"/>
  <c r="J7" i="15"/>
  <c r="J5" i="15"/>
  <c r="J6" i="15"/>
  <c r="J8" i="15"/>
  <c r="C7" i="13"/>
  <c r="C6" i="14"/>
  <c r="C5" i="14"/>
  <c r="G16" i="13"/>
  <c r="H16" i="13"/>
  <c r="F16" i="13"/>
  <c r="H12" i="13"/>
  <c r="G12" i="13"/>
  <c r="F12" i="13"/>
  <c r="E12" i="13"/>
  <c r="D12" i="13"/>
  <c r="C12" i="13"/>
  <c r="B35" i="13" l="1"/>
  <c r="M19" i="17"/>
  <c r="K13" i="17"/>
  <c r="L19" i="17"/>
  <c r="B35" i="17" s="1"/>
  <c r="K19" i="17"/>
  <c r="C8" i="17"/>
  <c r="M13" i="17"/>
  <c r="L13" i="17"/>
  <c r="D19" i="16"/>
  <c r="L12" i="16"/>
  <c r="L6" i="16"/>
  <c r="E19" i="16"/>
  <c r="M13" i="13"/>
  <c r="N6" i="17"/>
  <c r="K13" i="16"/>
  <c r="J13" i="16"/>
  <c r="I19" i="16"/>
  <c r="K22" i="16"/>
  <c r="I13" i="16"/>
  <c r="J22" i="16"/>
  <c r="B34" i="16" s="1"/>
  <c r="M22" i="13"/>
  <c r="M12" i="13"/>
  <c r="N6" i="13"/>
  <c r="N12" i="17"/>
  <c r="N13" i="17"/>
  <c r="G22" i="13"/>
  <c r="L13" i="13"/>
  <c r="F13" i="13"/>
  <c r="H13" i="13"/>
  <c r="H22" i="13"/>
  <c r="L22" i="13"/>
  <c r="G13" i="13"/>
  <c r="K13" i="13"/>
  <c r="H19" i="17"/>
  <c r="F22" i="16"/>
  <c r="E13" i="16"/>
  <c r="D22" i="16"/>
  <c r="F19" i="16"/>
  <c r="D13" i="17"/>
  <c r="D19" i="17"/>
  <c r="G22" i="17"/>
  <c r="C13" i="17"/>
  <c r="E19" i="17"/>
  <c r="G13" i="17"/>
  <c r="J13" i="17"/>
  <c r="F19" i="17"/>
  <c r="H22" i="17"/>
  <c r="J22" i="17"/>
  <c r="I22" i="17"/>
  <c r="D22" i="17"/>
  <c r="I19" i="17"/>
  <c r="F22" i="17"/>
  <c r="E22" i="17"/>
  <c r="G13" i="16"/>
  <c r="G19" i="16"/>
  <c r="C19" i="16"/>
  <c r="B13" i="16"/>
  <c r="B19" i="16"/>
  <c r="C22" i="16"/>
  <c r="H19" i="16"/>
  <c r="H22" i="16"/>
  <c r="G22" i="16"/>
  <c r="K12" i="13"/>
  <c r="K19" i="13"/>
  <c r="J13" i="13"/>
  <c r="E22" i="13"/>
  <c r="C13" i="13"/>
  <c r="J19" i="13"/>
  <c r="F22" i="13"/>
  <c r="D22" i="13"/>
  <c r="J12" i="13"/>
  <c r="C19" i="13"/>
  <c r="D13" i="13"/>
  <c r="E13" i="13"/>
  <c r="I19" i="13"/>
  <c r="I13" i="13"/>
  <c r="B27" i="16"/>
  <c r="Q26" i="14"/>
  <c r="C28" i="19"/>
  <c r="C29" i="19" s="1"/>
  <c r="R27" i="14"/>
  <c r="C28" i="21"/>
  <c r="C29" i="21" s="1"/>
  <c r="C28" i="20"/>
  <c r="C29" i="20" s="1"/>
  <c r="R34" i="14"/>
  <c r="Q33" i="14"/>
  <c r="Q40" i="14"/>
  <c r="B36" i="13" l="1"/>
  <c r="C19" i="17"/>
  <c r="C22" i="17"/>
  <c r="L22" i="16"/>
  <c r="N13" i="13"/>
  <c r="N22" i="17"/>
  <c r="N19" i="17"/>
  <c r="L13" i="16"/>
  <c r="L19" i="16"/>
  <c r="N19" i="13"/>
  <c r="N22" i="13"/>
  <c r="N12" i="13"/>
  <c r="J4" i="15" s="1"/>
  <c r="B26" i="17"/>
  <c r="B28" i="17" s="1"/>
  <c r="B26" i="16" l="1"/>
  <c r="B28" i="16" s="1"/>
  <c r="B26" i="13"/>
  <c r="B28" i="13" s="1"/>
</calcChain>
</file>

<file path=xl/sharedStrings.xml><?xml version="1.0" encoding="utf-8"?>
<sst xmlns="http://schemas.openxmlformats.org/spreadsheetml/2006/main" count="246" uniqueCount="99">
  <si>
    <t>Dividend income</t>
  </si>
  <si>
    <t>Foreign Withholding Tax</t>
  </si>
  <si>
    <t>Vanguard FTSE All-World UCITS ETF</t>
  </si>
  <si>
    <t>Securities lending income</t>
  </si>
  <si>
    <t>% lending income</t>
  </si>
  <si>
    <t>Tracking difference</t>
  </si>
  <si>
    <t>Management Fees (TER)</t>
  </si>
  <si>
    <t>Secuties lended</t>
  </si>
  <si>
    <t>Transaction Fees and Commissions</t>
  </si>
  <si>
    <t>Vanguard VWRL</t>
  </si>
  <si>
    <t>FTSE All-World Index gross</t>
  </si>
  <si>
    <t>Vs gross</t>
  </si>
  <si>
    <t>Vs net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</si>
  <si>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</si>
  <si>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</si>
  <si>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</si>
  <si>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</si>
  <si>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</si>
  <si>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</si>
  <si>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</si>
  <si>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</si>
  <si>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</si>
  <si>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</si>
  <si>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</si>
  <si>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</si>
  <si>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</si>
  <si>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</si>
  <si>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</si>
  <si>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</si>
  <si>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</si>
  <si>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</si>
  <si>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</si>
  <si>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Dividend leakage</t>
  </si>
  <si>
    <t>% dividend leakage</t>
  </si>
  <si>
    <t>% transaction costs</t>
  </si>
  <si>
    <t>05-2012 started</t>
  </si>
  <si>
    <t>Difference</t>
  </si>
  <si>
    <t>Estimated future costs</t>
  </si>
  <si>
    <t>Bookyear differs from calender year!</t>
  </si>
  <si>
    <t>MiFiD:</t>
  </si>
  <si>
    <t>Reports 0,02% transaction costs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</si>
  <si>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</si>
  <si>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</si>
  <si>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</si>
  <si>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</si>
  <si>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</si>
  <si>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</si>
  <si>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</si>
  <si>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</si>
  <si>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</si>
  <si>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</si>
  <si>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</si>
  <si>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</si>
  <si>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</si>
  <si>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</si>
  <si>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</si>
  <si>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</si>
  <si>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</si>
  <si>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</si>
  <si>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Large interest income last years (0.02%), but ignoring it for now</t>
  </si>
  <si>
    <t>It's a bit higher now (0,03%)</t>
  </si>
  <si>
    <t>Reports 0,07% transaction costs</t>
  </si>
  <si>
    <t>Bit on the low side?</t>
  </si>
  <si>
    <t>In later years there is lended to more parties, maybe that's why the lending agent gets more?</t>
  </si>
  <si>
    <t>Same fund as VWCE</t>
  </si>
  <si>
    <t>05-2013 started</t>
  </si>
  <si>
    <t>Lended in euro's but didn’t convert to dollars!</t>
  </si>
  <si>
    <t>FTSE Developed Europe UCITS ETF (EUR) Distributing (VEUR)</t>
  </si>
  <si>
    <t>FTSE Developed Europe Index gross</t>
  </si>
  <si>
    <t>FTSE Developed Europe Index net</t>
  </si>
  <si>
    <t>FTSE Developed Asia Pacific ex Japan UCITS ETF (USD) Distributing (VAPX)</t>
  </si>
  <si>
    <t>FTSE Developed Asia Pacific ex Japan Index gross</t>
  </si>
  <si>
    <t>FTSE Japan UCITS ETF (USD) Distributing (VJPN)</t>
  </si>
  <si>
    <t>FTSE Japan Index net</t>
  </si>
  <si>
    <t>FTSE Developed Asia Pacific ex Japan Index net</t>
  </si>
  <si>
    <t>Annual report data is a lot higher?</t>
  </si>
  <si>
    <t>It's a bit lower now (0,05%)</t>
  </si>
  <si>
    <t>Reports 0,03% transaction costs</t>
  </si>
  <si>
    <t>Annual report data is higher</t>
  </si>
  <si>
    <t>Annual report data is lower</t>
  </si>
  <si>
    <t>MiFID II and PRIIPs documents | Irish Site (ie.vanguard)</t>
  </si>
  <si>
    <t>TER 23-10-2019 to 0,22%</t>
  </si>
  <si>
    <t>FTSE All-World Index net</t>
  </si>
  <si>
    <t>FTSE Japan Index USD gross</t>
  </si>
  <si>
    <t>2021: capital gains tax reservation high, taking on only real paid taxes as specifiek on page 637</t>
  </si>
  <si>
    <t>2015-2021</t>
  </si>
  <si>
    <t>2016-2021</t>
  </si>
  <si>
    <t>KID % transaction costs</t>
  </si>
  <si>
    <t>Search</t>
  </si>
  <si>
    <t>The current securities lending income split</t>
  </si>
  <si>
    <t>2014-2024</t>
  </si>
  <si>
    <t>2015-2024</t>
  </si>
  <si>
    <t>2021: capital gains tax reservation high, taking on only real paid taxes as specified on page 637</t>
  </si>
  <si>
    <t>2024: weird jump in dividend leakage. Tracking diff also jumps.</t>
  </si>
  <si>
    <t>TER</t>
  </si>
  <si>
    <t>Lending</t>
  </si>
  <si>
    <t>Dividendlekkage</t>
  </si>
  <si>
    <t>Total costs</t>
  </si>
  <si>
    <t>Transaction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</si>
</sst>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.vanguard/product-documentation/mifid-priip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.vanguard/product-documentation/mifid-priip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e.vanguard/product-documentation/mifid-priip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e.vanguard/product-documentation/mifid-prii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A1:Q36"/>
  <sheetViews>
    <sheetView tabSelected="1" zoomScaleNormal="100" workbookViewId="0"/>
  </sheetViews>
  <sheetFormatPr defaultRowHeight="15" x14ac:dyDescent="0.25"/>
  <cols>
    <col min="1" max="1" width="38.42578125" customWidth="1"/>
    <col min="2" max="2" width="13.7109375" customWidth="1"/>
    <col min="3" max="3" width="14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13" width="16.28515625" customWidth="1"/>
    <col min="14" max="14" width="15.42578125" customWidth="1"/>
  </cols>
  <sheetData>
    <row r="1" spans="1:17" x14ac:dyDescent="0.25">
      <c r="A1" s="9" t="s">
        <v>2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t="s">
        <v>35</v>
      </c>
      <c r="Q2" t="s">
        <v>39</v>
      </c>
    </row>
    <row r="3" spans="1:17" x14ac:dyDescent="0.25">
      <c r="B3" s="1">
        <v>2013</v>
      </c>
      <c r="C3" s="1">
        <v>2014</v>
      </c>
      <c r="D3" s="1">
        <v>2015</v>
      </c>
      <c r="E3" s="1">
        <v>2016</v>
      </c>
      <c r="F3" s="1">
        <v>2017</v>
      </c>
      <c r="G3" s="1">
        <v>2018</v>
      </c>
      <c r="H3" s="1">
        <v>2019</v>
      </c>
      <c r="I3" s="1">
        <v>2020</v>
      </c>
      <c r="J3" s="1">
        <v>2021</v>
      </c>
      <c r="K3" s="1">
        <v>2022</v>
      </c>
      <c r="L3" s="1">
        <v>2023</v>
      </c>
      <c r="M3" s="1">
        <v>2024</v>
      </c>
      <c r="N3" s="1" t="s">
        <v>31</v>
      </c>
      <c r="Q3" s="30" t="s">
        <v>80</v>
      </c>
    </row>
    <row r="4" spans="1:17" x14ac:dyDescent="0.25">
      <c r="A4" t="s">
        <v>27</v>
      </c>
      <c r="B4" s="5">
        <v>114950407</v>
      </c>
      <c r="C4" s="19">
        <v>474931514</v>
      </c>
      <c r="D4" s="19">
        <v>876937458</v>
      </c>
      <c r="E4" s="20">
        <v>937471365</v>
      </c>
      <c r="F4" s="20">
        <v>1295979632</v>
      </c>
      <c r="G4" s="20">
        <v>2102651548</v>
      </c>
      <c r="H4" s="20">
        <v>2704960870</v>
      </c>
      <c r="I4" s="20">
        <v>5594999708</v>
      </c>
      <c r="J4" s="20">
        <v>11438295558</v>
      </c>
      <c r="K4" s="20">
        <v>12728930487</v>
      </c>
      <c r="L4" s="20">
        <v>18223363484</v>
      </c>
      <c r="M4" s="20">
        <v>27231939274</v>
      </c>
      <c r="N4" s="1"/>
      <c r="Q4" t="s">
        <v>40</v>
      </c>
    </row>
    <row r="5" spans="1:17" x14ac:dyDescent="0.25">
      <c r="A5" t="s">
        <v>6</v>
      </c>
      <c r="B5" s="5"/>
      <c r="C5" s="19">
        <v>615977</v>
      </c>
      <c r="D5" s="19">
        <v>1698292</v>
      </c>
      <c r="E5" s="20">
        <v>2296151</v>
      </c>
      <c r="F5" s="20">
        <v>2711104</v>
      </c>
      <c r="G5" s="20">
        <v>4167659</v>
      </c>
      <c r="H5" s="20">
        <v>5770056</v>
      </c>
      <c r="I5" s="20">
        <v>9632698</v>
      </c>
      <c r="J5" s="20">
        <v>18625547</v>
      </c>
      <c r="K5" s="20">
        <v>28531762</v>
      </c>
      <c r="L5" s="20">
        <v>32899328</v>
      </c>
      <c r="M5" s="20">
        <v>47677363</v>
      </c>
      <c r="Q5" t="s">
        <v>62</v>
      </c>
    </row>
    <row r="6" spans="1:17" x14ac:dyDescent="0.25">
      <c r="A6" t="s">
        <v>28</v>
      </c>
      <c r="C6" s="14">
        <v>2.5000000000000001E-3</v>
      </c>
      <c r="D6" s="14">
        <v>2.5000000000000001E-3</v>
      </c>
      <c r="E6" s="14">
        <v>2.5000000000000001E-3</v>
      </c>
      <c r="F6" s="14">
        <v>2.5000000000000001E-3</v>
      </c>
      <c r="G6" s="14">
        <v>2.5000000000000001E-3</v>
      </c>
      <c r="H6" s="14">
        <v>2.5000000000000001E-3</v>
      </c>
      <c r="I6" s="14">
        <f>((114/366)*0.25%)+((252/366)*0.22%)</f>
        <v>2.29344262295082E-3</v>
      </c>
      <c r="J6" s="14">
        <v>2.2000000000000001E-3</v>
      </c>
      <c r="K6" s="14">
        <v>2.2000000000000001E-3</v>
      </c>
      <c r="L6" s="14">
        <v>2.2000000000000001E-3</v>
      </c>
      <c r="M6" s="14">
        <v>2.2000000000000001E-3</v>
      </c>
      <c r="N6" s="3">
        <f>AVERAGE(C6:M6)</f>
        <v>2.3721311475409842E-3</v>
      </c>
    </row>
    <row r="7" spans="1:17" x14ac:dyDescent="0.25">
      <c r="A7" t="s">
        <v>29</v>
      </c>
      <c r="B7" s="5"/>
      <c r="C7" s="19">
        <f>(B4+C4)/2</f>
        <v>294940960.5</v>
      </c>
      <c r="D7" s="19">
        <f t="shared" ref="D7:M7" si="0">(C4+D4)/2</f>
        <v>675934486</v>
      </c>
      <c r="E7" s="19">
        <f t="shared" si="0"/>
        <v>907204411.5</v>
      </c>
      <c r="F7" s="19">
        <f t="shared" si="0"/>
        <v>1116725498.5</v>
      </c>
      <c r="G7" s="19">
        <f t="shared" si="0"/>
        <v>1699315590</v>
      </c>
      <c r="H7" s="19">
        <f t="shared" si="0"/>
        <v>2403806209</v>
      </c>
      <c r="I7" s="19">
        <f t="shared" si="0"/>
        <v>4149980289</v>
      </c>
      <c r="J7" s="19">
        <f t="shared" si="0"/>
        <v>8516647633</v>
      </c>
      <c r="K7" s="19">
        <f t="shared" si="0"/>
        <v>12083613022.5</v>
      </c>
      <c r="L7" s="19">
        <f t="shared" si="0"/>
        <v>15476146985.5</v>
      </c>
      <c r="M7" s="19">
        <f t="shared" si="0"/>
        <v>22727651379</v>
      </c>
      <c r="N7" s="3"/>
      <c r="Q7" t="s">
        <v>59</v>
      </c>
    </row>
    <row r="8" spans="1:17" x14ac:dyDescent="0.25">
      <c r="A8" t="s">
        <v>30</v>
      </c>
      <c r="B8" s="5"/>
      <c r="C8" s="20">
        <f>C5/C6</f>
        <v>246390800</v>
      </c>
      <c r="D8" s="20">
        <f t="shared" ref="D8:M8" si="1">D5/D6</f>
        <v>679316800</v>
      </c>
      <c r="E8" s="20">
        <f t="shared" si="1"/>
        <v>918460400</v>
      </c>
      <c r="F8" s="20">
        <f t="shared" si="1"/>
        <v>1084441600</v>
      </c>
      <c r="G8" s="20">
        <f t="shared" si="1"/>
        <v>1667063600</v>
      </c>
      <c r="H8" s="20">
        <f t="shared" si="1"/>
        <v>2308022400</v>
      </c>
      <c r="I8" s="20">
        <f t="shared" si="1"/>
        <v>4200104203.0021439</v>
      </c>
      <c r="J8" s="20">
        <f t="shared" si="1"/>
        <v>8466157727.272727</v>
      </c>
      <c r="K8" s="20">
        <f t="shared" si="1"/>
        <v>12968982727.272726</v>
      </c>
      <c r="L8" s="20">
        <f t="shared" si="1"/>
        <v>14954240000</v>
      </c>
      <c r="M8" s="20">
        <f t="shared" si="1"/>
        <v>21671528636.363636</v>
      </c>
      <c r="N8" s="3"/>
    </row>
    <row r="9" spans="1:17" x14ac:dyDescent="0.25">
      <c r="B9" s="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3"/>
      <c r="Q9" t="s">
        <v>38</v>
      </c>
    </row>
    <row r="10" spans="1:17" x14ac:dyDescent="0.25">
      <c r="A10" t="s">
        <v>0</v>
      </c>
      <c r="B10" s="5"/>
      <c r="C10" s="5">
        <v>7496554</v>
      </c>
      <c r="D10" s="5">
        <v>17837465</v>
      </c>
      <c r="E10" s="5">
        <v>25181502</v>
      </c>
      <c r="F10" s="5">
        <v>28329734</v>
      </c>
      <c r="G10" s="5">
        <v>43044701</v>
      </c>
      <c r="H10" s="5">
        <v>64119281</v>
      </c>
      <c r="I10" s="5">
        <v>100819368</v>
      </c>
      <c r="J10" s="5">
        <v>174261332</v>
      </c>
      <c r="K10" s="5">
        <v>290519219</v>
      </c>
      <c r="L10" s="5">
        <v>362329280</v>
      </c>
      <c r="M10" s="5">
        <v>465915642</v>
      </c>
      <c r="N10" s="3"/>
    </row>
    <row r="11" spans="1:17" x14ac:dyDescent="0.25">
      <c r="A11" t="s">
        <v>1</v>
      </c>
      <c r="B11" s="5"/>
      <c r="C11" s="5">
        <v>734078</v>
      </c>
      <c r="D11" s="5">
        <v>1970630</v>
      </c>
      <c r="E11" s="5">
        <v>3037267</v>
      </c>
      <c r="F11" s="5">
        <v>3337917</v>
      </c>
      <c r="G11" s="5">
        <v>5268891</v>
      </c>
      <c r="H11" s="5">
        <v>7444601</v>
      </c>
      <c r="I11" s="5">
        <v>12482600</v>
      </c>
      <c r="J11" s="5">
        <f>20634618+171202</f>
        <v>20805820</v>
      </c>
      <c r="K11" s="5">
        <f>31505719+127120</f>
        <v>31632839</v>
      </c>
      <c r="L11" s="5">
        <f>41917155+333018</f>
        <v>42250173</v>
      </c>
      <c r="M11" s="5">
        <f>55892990+1229091</f>
        <v>57122081</v>
      </c>
      <c r="N11" s="3"/>
      <c r="Q11" t="s">
        <v>64</v>
      </c>
    </row>
    <row r="12" spans="1:17" x14ac:dyDescent="0.25">
      <c r="A12" t="s">
        <v>32</v>
      </c>
      <c r="C12" s="16">
        <f>C11/C10</f>
        <v>9.7922058588519476E-2</v>
      </c>
      <c r="D12" s="16">
        <f t="shared" ref="D12:I12" si="2">D11/D10</f>
        <v>0.11047702125834585</v>
      </c>
      <c r="E12" s="16">
        <f t="shared" si="2"/>
        <v>0.12061500541151199</v>
      </c>
      <c r="F12" s="16">
        <f t="shared" si="2"/>
        <v>0.11782380307559541</v>
      </c>
      <c r="G12" s="16">
        <f t="shared" si="2"/>
        <v>0.12240510161750223</v>
      </c>
      <c r="H12" s="16">
        <f t="shared" si="2"/>
        <v>0.11610549719046288</v>
      </c>
      <c r="I12" s="16">
        <f t="shared" si="2"/>
        <v>0.12381152795958808</v>
      </c>
      <c r="J12" s="16">
        <f t="shared" ref="J12:M12" si="3">J11/J10</f>
        <v>0.11939435881277437</v>
      </c>
      <c r="K12" s="16">
        <f t="shared" si="3"/>
        <v>0.10888380847533533</v>
      </c>
      <c r="L12" s="16">
        <f t="shared" si="3"/>
        <v>0.11660711770243906</v>
      </c>
      <c r="M12" s="16">
        <f t="shared" si="3"/>
        <v>0.12260176703833438</v>
      </c>
      <c r="N12" s="3">
        <f>AVERAGE(C12:M12)</f>
        <v>0.11605882428458264</v>
      </c>
    </row>
    <row r="13" spans="1:17" x14ac:dyDescent="0.25">
      <c r="A13" t="s">
        <v>33</v>
      </c>
      <c r="C13" s="15">
        <f t="shared" ref="C13:M13" si="4">C11/C8</f>
        <v>2.9793239033275593E-3</v>
      </c>
      <c r="D13" s="15">
        <f t="shared" si="4"/>
        <v>2.9008998452562927E-3</v>
      </c>
      <c r="E13" s="15">
        <f t="shared" si="4"/>
        <v>3.3069112179469032E-3</v>
      </c>
      <c r="F13" s="15">
        <f t="shared" si="4"/>
        <v>3.0780053070631006E-3</v>
      </c>
      <c r="G13" s="15">
        <f t="shared" si="4"/>
        <v>3.1605818758204548E-3</v>
      </c>
      <c r="H13" s="15">
        <f t="shared" si="4"/>
        <v>3.2255323865140995E-3</v>
      </c>
      <c r="I13" s="15">
        <f t="shared" si="4"/>
        <v>2.9719738836664353E-3</v>
      </c>
      <c r="J13" s="15">
        <f t="shared" si="4"/>
        <v>2.4575280393107383E-3</v>
      </c>
      <c r="K13" s="15">
        <f t="shared" si="4"/>
        <v>2.4391148993882679E-3</v>
      </c>
      <c r="L13" s="15">
        <f t="shared" si="4"/>
        <v>2.8252972401138408E-3</v>
      </c>
      <c r="M13" s="15">
        <f t="shared" si="4"/>
        <v>2.6358122658755269E-3</v>
      </c>
      <c r="N13" s="3">
        <f>AVERAGE(C13:M13)</f>
        <v>2.9073618967530193E-3</v>
      </c>
      <c r="Q13" t="s">
        <v>81</v>
      </c>
    </row>
    <row r="14" spans="1:17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"/>
    </row>
    <row r="15" spans="1:17" x14ac:dyDescent="0.25">
      <c r="A15" t="s">
        <v>7</v>
      </c>
      <c r="B15" s="5"/>
      <c r="C15" s="20"/>
      <c r="D15" s="20"/>
      <c r="E15" s="20"/>
      <c r="F15" s="20">
        <v>984905</v>
      </c>
      <c r="G15" s="20">
        <v>3201782</v>
      </c>
      <c r="H15" s="20">
        <v>7704750</v>
      </c>
      <c r="I15" s="20">
        <v>46764163</v>
      </c>
      <c r="J15" s="20">
        <v>54994816</v>
      </c>
      <c r="K15" s="20">
        <v>122625203</v>
      </c>
      <c r="L15" s="20">
        <v>144720872</v>
      </c>
      <c r="M15" s="20">
        <v>186032405</v>
      </c>
      <c r="N15" s="3"/>
      <c r="Q15" t="s">
        <v>84</v>
      </c>
    </row>
    <row r="16" spans="1:17" x14ac:dyDescent="0.25">
      <c r="C16" s="13"/>
      <c r="D16" s="13"/>
      <c r="E16" s="13"/>
      <c r="F16" s="15">
        <f t="shared" ref="F16:M16" si="5">F15/F4</f>
        <v>7.5996950544667203E-4</v>
      </c>
      <c r="G16" s="15">
        <f t="shared" si="5"/>
        <v>1.5227354256797665E-3</v>
      </c>
      <c r="H16" s="15">
        <f t="shared" si="5"/>
        <v>2.8483776181205903E-3</v>
      </c>
      <c r="I16" s="15">
        <f t="shared" si="5"/>
        <v>8.3582065130645752E-3</v>
      </c>
      <c r="J16" s="15">
        <f t="shared" si="5"/>
        <v>4.8079554966156089E-3</v>
      </c>
      <c r="K16" s="15">
        <f t="shared" si="5"/>
        <v>9.6335825798747644E-3</v>
      </c>
      <c r="L16" s="15">
        <f t="shared" si="5"/>
        <v>7.9415016951763055E-3</v>
      </c>
      <c r="M16" s="15">
        <f t="shared" si="5"/>
        <v>6.8314049590150394E-3</v>
      </c>
      <c r="N16" s="3"/>
    </row>
    <row r="17" spans="1:14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"/>
    </row>
    <row r="18" spans="1:14" x14ac:dyDescent="0.25">
      <c r="A18" t="s">
        <v>3</v>
      </c>
      <c r="B18" s="5"/>
      <c r="E18" s="20"/>
      <c r="F18" s="20">
        <v>44238</v>
      </c>
      <c r="G18" s="20">
        <v>121589</v>
      </c>
      <c r="H18" s="20">
        <v>263359</v>
      </c>
      <c r="I18" s="20">
        <v>543754</v>
      </c>
      <c r="J18" s="20">
        <v>1048130</v>
      </c>
      <c r="K18" s="20">
        <v>1772784</v>
      </c>
      <c r="L18" s="20">
        <v>3148829</v>
      </c>
      <c r="M18" s="20">
        <v>3848294</v>
      </c>
      <c r="N18" s="3"/>
    </row>
    <row r="19" spans="1:14" x14ac:dyDescent="0.25">
      <c r="A19" t="s">
        <v>4</v>
      </c>
      <c r="C19" s="17">
        <f t="shared" ref="C19:M19" si="6">C18/C8</f>
        <v>0</v>
      </c>
      <c r="D19" s="17">
        <f t="shared" si="6"/>
        <v>0</v>
      </c>
      <c r="E19" s="17">
        <f t="shared" si="6"/>
        <v>0</v>
      </c>
      <c r="F19" s="17">
        <f t="shared" si="6"/>
        <v>4.0793344703854958E-5</v>
      </c>
      <c r="G19" s="17">
        <f t="shared" si="6"/>
        <v>7.2936029555201135E-5</v>
      </c>
      <c r="H19" s="17">
        <f t="shared" si="6"/>
        <v>1.1410591162373468E-4</v>
      </c>
      <c r="I19" s="17">
        <f t="shared" si="6"/>
        <v>1.294620261114799E-4</v>
      </c>
      <c r="J19" s="17">
        <f t="shared" si="6"/>
        <v>1.2380232376531009E-4</v>
      </c>
      <c r="K19" s="17">
        <f t="shared" si="6"/>
        <v>1.3669414458174718E-4</v>
      </c>
      <c r="L19" s="17">
        <f t="shared" si="6"/>
        <v>2.1056429480869639E-4</v>
      </c>
      <c r="M19" s="17">
        <f t="shared" si="6"/>
        <v>1.7757372193592168E-4</v>
      </c>
      <c r="N19" s="2">
        <f>AVERAGE(C19:M19)</f>
        <v>9.1448345189631473E-5</v>
      </c>
    </row>
    <row r="20" spans="1:14" x14ac:dyDescent="0.25"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3"/>
    </row>
    <row r="21" spans="1:14" x14ac:dyDescent="0.25">
      <c r="A21" t="s">
        <v>8</v>
      </c>
      <c r="B21" s="5"/>
      <c r="C21" s="5">
        <v>282714</v>
      </c>
      <c r="D21" s="19">
        <v>332383</v>
      </c>
      <c r="E21" s="20">
        <v>250041</v>
      </c>
      <c r="F21" s="20">
        <v>214668</v>
      </c>
      <c r="G21" s="20">
        <v>556031</v>
      </c>
      <c r="H21" s="20">
        <v>394506</v>
      </c>
      <c r="I21" s="20">
        <v>1569681</v>
      </c>
      <c r="J21" s="20">
        <v>2299311</v>
      </c>
      <c r="K21" s="20">
        <v>2236422</v>
      </c>
      <c r="L21" s="20">
        <v>2122555</v>
      </c>
      <c r="M21" s="20">
        <v>2914559</v>
      </c>
      <c r="N21" s="3"/>
    </row>
    <row r="22" spans="1:14" x14ac:dyDescent="0.25">
      <c r="A22" t="s">
        <v>34</v>
      </c>
      <c r="C22" s="15">
        <f t="shared" ref="C22:M22" si="7">C21/C8</f>
        <v>1.1474210887744186E-3</v>
      </c>
      <c r="D22" s="15">
        <f t="shared" si="7"/>
        <v>4.8929012207559125E-4</v>
      </c>
      <c r="E22" s="15">
        <f t="shared" si="7"/>
        <v>2.7223928217264459E-4</v>
      </c>
      <c r="F22" s="15">
        <f t="shared" si="7"/>
        <v>1.979525684001794E-4</v>
      </c>
      <c r="G22" s="15">
        <f t="shared" si="7"/>
        <v>3.335391643126273E-4</v>
      </c>
      <c r="H22" s="18">
        <f t="shared" si="7"/>
        <v>1.7092815043736145E-4</v>
      </c>
      <c r="I22" s="18">
        <f t="shared" si="7"/>
        <v>3.7372429923953455E-4</v>
      </c>
      <c r="J22" s="18">
        <f t="shared" si="7"/>
        <v>2.7158849079707569E-4</v>
      </c>
      <c r="K22" s="18">
        <f t="shared" si="7"/>
        <v>1.7244390304391297E-4</v>
      </c>
      <c r="L22" s="18">
        <f t="shared" si="7"/>
        <v>1.4193666812890526E-4</v>
      </c>
      <c r="M22" s="18">
        <f t="shared" si="7"/>
        <v>1.3448792878918242E-4</v>
      </c>
      <c r="N22" s="2">
        <f>AVERAGE(C22:M22)</f>
        <v>3.3686833328831208E-4</v>
      </c>
    </row>
    <row r="23" spans="1:14" x14ac:dyDescent="0.25">
      <c r="C23" s="15"/>
      <c r="D23" s="15"/>
      <c r="E23" s="15"/>
      <c r="F23" s="15"/>
      <c r="G23" s="15"/>
      <c r="H23" s="18"/>
      <c r="I23" s="18"/>
      <c r="J23" s="18"/>
      <c r="K23" s="18"/>
      <c r="L23" s="18"/>
      <c r="M23" s="18"/>
      <c r="N23" s="3"/>
    </row>
    <row r="24" spans="1:14" x14ac:dyDescent="0.25">
      <c r="A24" t="s">
        <v>87</v>
      </c>
      <c r="C24" s="15"/>
      <c r="D24" s="15"/>
      <c r="E24" s="15"/>
      <c r="F24" s="15"/>
      <c r="G24" s="15"/>
      <c r="H24" s="18"/>
      <c r="I24" s="18"/>
      <c r="J24" s="18"/>
      <c r="L24" s="18"/>
      <c r="M24" s="18">
        <v>2.0000000000000001E-4</v>
      </c>
      <c r="N24" s="3"/>
    </row>
    <row r="25" spans="1:14" x14ac:dyDescent="0.25">
      <c r="N25" s="18"/>
    </row>
    <row r="26" spans="1:14" x14ac:dyDescent="0.25">
      <c r="A26" t="s">
        <v>41</v>
      </c>
      <c r="B26" s="3">
        <f>N6+N13-N19+N22</f>
        <v>5.5249130323926851E-3</v>
      </c>
      <c r="C26" t="s">
        <v>90</v>
      </c>
      <c r="E26" s="8"/>
      <c r="F26" s="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t="s">
        <v>5</v>
      </c>
      <c r="B27" s="3">
        <f>AVERAGE(GTD!D5:N5)/100</f>
        <v>5.5272727272727253E-3</v>
      </c>
      <c r="C27" t="s">
        <v>90</v>
      </c>
      <c r="H27" s="2"/>
    </row>
    <row r="28" spans="1:14" x14ac:dyDescent="0.25">
      <c r="A28" t="s">
        <v>36</v>
      </c>
      <c r="B28" s="3">
        <f>B27-B26</f>
        <v>2.3596948800401821E-6</v>
      </c>
      <c r="H28" s="3"/>
    </row>
    <row r="29" spans="1:14" x14ac:dyDescent="0.25">
      <c r="B29" s="3"/>
      <c r="H29" s="3"/>
    </row>
    <row r="31" spans="1:14" x14ac:dyDescent="0.25">
      <c r="A31" s="1" t="s">
        <v>37</v>
      </c>
    </row>
    <row r="32" spans="1:14" x14ac:dyDescent="0.25">
      <c r="A32" t="s">
        <v>94</v>
      </c>
      <c r="B32" s="3">
        <v>2.2000000000000001E-3</v>
      </c>
    </row>
    <row r="33" spans="1:14" x14ac:dyDescent="0.25">
      <c r="A33" t="s">
        <v>98</v>
      </c>
      <c r="B33" s="2">
        <f>AVERAGE(L22:M22)</f>
        <v>1.3821229845904385E-4</v>
      </c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32</v>
      </c>
      <c r="B34" s="3">
        <v>3.0000000000000001E-3</v>
      </c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t="s">
        <v>95</v>
      </c>
      <c r="B35" s="2">
        <f>-AVERAGE(L19:M19)</f>
        <v>-1.9406900837230903E-4</v>
      </c>
    </row>
    <row r="36" spans="1:14" x14ac:dyDescent="0.25">
      <c r="A36" t="s">
        <v>97</v>
      </c>
      <c r="B36" s="3">
        <f>SUM(B32:B35)</f>
        <v>5.1441432900867353E-3</v>
      </c>
    </row>
  </sheetData>
  <hyperlinks>
    <hyperlink ref="Q3" r:id="rId1" display="https://www.ie.vanguard/product-documentation/mifid-priips" xr:uid="{5F97709C-78A2-4F08-A418-EFDAFE8E468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A1:O35"/>
  <sheetViews>
    <sheetView zoomScaleNormal="100" workbookViewId="0">
      <selection activeCell="A34" sqref="A34"/>
    </sheetView>
  </sheetViews>
  <sheetFormatPr defaultRowHeight="15" x14ac:dyDescent="0.25"/>
  <cols>
    <col min="1" max="1" width="38.42578125" customWidth="1"/>
    <col min="2" max="2" width="16.42578125" bestFit="1" customWidth="1"/>
    <col min="3" max="3" width="14.7109375" bestFit="1" customWidth="1"/>
    <col min="4" max="6" width="16.28515625" bestFit="1" customWidth="1"/>
    <col min="7" max="11" width="16.28515625" customWidth="1"/>
    <col min="12" max="12" width="15.42578125" customWidth="1"/>
  </cols>
  <sheetData>
    <row r="1" spans="1:15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x14ac:dyDescent="0.25">
      <c r="A2" t="s">
        <v>44</v>
      </c>
      <c r="O2" t="s">
        <v>39</v>
      </c>
    </row>
    <row r="3" spans="1:15" x14ac:dyDescent="0.25"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 t="s">
        <v>31</v>
      </c>
      <c r="O3" s="30" t="s">
        <v>80</v>
      </c>
    </row>
    <row r="4" spans="1:15" x14ac:dyDescent="0.25">
      <c r="A4" t="s">
        <v>27</v>
      </c>
      <c r="B4" s="19">
        <v>36748312</v>
      </c>
      <c r="C4" s="20">
        <v>62180178</v>
      </c>
      <c r="D4" s="20">
        <v>110225318</v>
      </c>
      <c r="E4" s="20">
        <v>192982164</v>
      </c>
      <c r="F4" s="20">
        <v>350661628</v>
      </c>
      <c r="G4" s="20">
        <v>564482029</v>
      </c>
      <c r="H4" s="20">
        <v>1366292883</v>
      </c>
      <c r="I4" s="20">
        <v>1966352880</v>
      </c>
      <c r="J4" s="20">
        <v>3121340084</v>
      </c>
      <c r="K4" s="20">
        <v>5631475076</v>
      </c>
      <c r="L4" s="1"/>
      <c r="O4" t="s">
        <v>40</v>
      </c>
    </row>
    <row r="5" spans="1:15" x14ac:dyDescent="0.25">
      <c r="A5" t="s">
        <v>6</v>
      </c>
      <c r="B5" s="19">
        <v>40773</v>
      </c>
      <c r="C5" s="20">
        <v>85228</v>
      </c>
      <c r="D5" s="20">
        <v>145838</v>
      </c>
      <c r="E5" s="20">
        <v>276479</v>
      </c>
      <c r="F5" s="20">
        <v>484895</v>
      </c>
      <c r="G5" s="20">
        <v>570934</v>
      </c>
      <c r="H5" s="20">
        <v>1141318</v>
      </c>
      <c r="I5" s="20">
        <v>2177326</v>
      </c>
      <c r="J5" s="20">
        <v>2934105</v>
      </c>
      <c r="K5" s="20">
        <v>4899038</v>
      </c>
      <c r="O5" t="s">
        <v>60</v>
      </c>
    </row>
    <row r="6" spans="1:15" x14ac:dyDescent="0.25">
      <c r="A6" t="s">
        <v>28</v>
      </c>
      <c r="B6" s="14">
        <v>1.8E-3</v>
      </c>
      <c r="C6" s="14">
        <v>1.8E-3</v>
      </c>
      <c r="D6" s="14">
        <v>1.8E-3</v>
      </c>
      <c r="E6" s="14">
        <v>1.8E-3</v>
      </c>
      <c r="F6" s="14">
        <v>1.8E-3</v>
      </c>
      <c r="G6" s="14">
        <f>((114/366)*0.18%)+((252/366)*0.12%)</f>
        <v>1.3868852459016394E-3</v>
      </c>
      <c r="H6" s="14">
        <v>1.1999999999999999E-3</v>
      </c>
      <c r="I6" s="14">
        <v>1.1999999999999999E-3</v>
      </c>
      <c r="J6" s="14">
        <v>1.1999999999999999E-3</v>
      </c>
      <c r="K6" s="14">
        <v>1.1999999999999999E-3</v>
      </c>
      <c r="L6" s="3">
        <f>AVERAGE(B6:K6)</f>
        <v>1.5186885245901637E-3</v>
      </c>
    </row>
    <row r="7" spans="1:15" x14ac:dyDescent="0.25">
      <c r="A7" t="s">
        <v>29</v>
      </c>
      <c r="B7" s="19"/>
      <c r="C7" s="19">
        <f t="shared" ref="C7:H7" si="0">(B4+C4)/2</f>
        <v>49464245</v>
      </c>
      <c r="D7" s="19">
        <f t="shared" si="0"/>
        <v>86202748</v>
      </c>
      <c r="E7" s="19">
        <f t="shared" si="0"/>
        <v>151603741</v>
      </c>
      <c r="F7" s="19">
        <f t="shared" si="0"/>
        <v>271821896</v>
      </c>
      <c r="G7" s="19">
        <f t="shared" si="0"/>
        <v>457571828.5</v>
      </c>
      <c r="H7" s="19">
        <f t="shared" si="0"/>
        <v>965387456</v>
      </c>
      <c r="I7" s="19">
        <f t="shared" ref="I7" si="1">(H4+I4)/2</f>
        <v>1666322881.5</v>
      </c>
      <c r="J7" s="19">
        <f t="shared" ref="J7" si="2">(I4+J4)/2</f>
        <v>2543846482</v>
      </c>
      <c r="K7" s="19">
        <f t="shared" ref="K7" si="3">(J4+K4)/2</f>
        <v>4376407580</v>
      </c>
      <c r="L7" s="3"/>
      <c r="O7" t="s">
        <v>38</v>
      </c>
    </row>
    <row r="8" spans="1:15" x14ac:dyDescent="0.25">
      <c r="A8" t="s">
        <v>30</v>
      </c>
      <c r="B8" s="20">
        <f t="shared" ref="B8:G8" si="4">B5/B6</f>
        <v>22651666.666666668</v>
      </c>
      <c r="C8" s="20">
        <f t="shared" si="4"/>
        <v>47348888.888888888</v>
      </c>
      <c r="D8" s="20">
        <f t="shared" si="4"/>
        <v>81021111.111111119</v>
      </c>
      <c r="E8" s="20">
        <f t="shared" si="4"/>
        <v>153599444.44444445</v>
      </c>
      <c r="F8" s="20">
        <f t="shared" si="4"/>
        <v>269386111.1111111</v>
      </c>
      <c r="G8" s="20">
        <f t="shared" si="4"/>
        <v>411666359.33806145</v>
      </c>
      <c r="H8" s="20">
        <f t="shared" ref="H8:K8" si="5">H5/H6</f>
        <v>951098333.33333337</v>
      </c>
      <c r="I8" s="20">
        <f t="shared" si="5"/>
        <v>1814438333.3333335</v>
      </c>
      <c r="J8" s="20">
        <f t="shared" si="5"/>
        <v>2445087500</v>
      </c>
      <c r="K8" s="20">
        <f t="shared" si="5"/>
        <v>4082531666.666667</v>
      </c>
      <c r="L8" s="3"/>
    </row>
    <row r="9" spans="1:15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3"/>
    </row>
    <row r="10" spans="1:15" x14ac:dyDescent="0.25">
      <c r="A10" t="s">
        <v>0</v>
      </c>
      <c r="B10" s="5">
        <v>572890</v>
      </c>
      <c r="C10" s="5">
        <v>1316266</v>
      </c>
      <c r="D10" s="5">
        <v>2129637</v>
      </c>
      <c r="E10" s="5">
        <v>3930173</v>
      </c>
      <c r="F10" s="5">
        <v>7446153</v>
      </c>
      <c r="G10" s="5">
        <v>9716656</v>
      </c>
      <c r="H10" s="5">
        <v>19286055</v>
      </c>
      <c r="I10" s="5">
        <v>39205089</v>
      </c>
      <c r="J10" s="5">
        <v>56258998</v>
      </c>
      <c r="K10" s="5">
        <v>85525055</v>
      </c>
      <c r="L10" s="3"/>
    </row>
    <row r="11" spans="1:15" x14ac:dyDescent="0.25">
      <c r="A11" t="s">
        <v>1</v>
      </c>
      <c r="B11" s="5">
        <v>66149</v>
      </c>
      <c r="C11" s="5">
        <v>156844</v>
      </c>
      <c r="D11" s="5">
        <v>255100</v>
      </c>
      <c r="E11" s="5">
        <v>487837</v>
      </c>
      <c r="F11" s="5">
        <v>877262</v>
      </c>
      <c r="G11" s="5">
        <v>1250078</v>
      </c>
      <c r="H11" s="5">
        <v>2280126</v>
      </c>
      <c r="I11" s="5">
        <v>4336238</v>
      </c>
      <c r="J11" s="5">
        <v>6656706</v>
      </c>
      <c r="K11" s="5">
        <v>10185280</v>
      </c>
      <c r="L11" s="3"/>
    </row>
    <row r="12" spans="1:15" x14ac:dyDescent="0.25">
      <c r="A12" t="s">
        <v>32</v>
      </c>
      <c r="B12" s="16">
        <f t="shared" ref="B12:G12" si="6">B11/B10</f>
        <v>0.11546544711899318</v>
      </c>
      <c r="C12" s="16">
        <f t="shared" si="6"/>
        <v>0.11915828563527434</v>
      </c>
      <c r="D12" s="16">
        <f t="shared" si="6"/>
        <v>0.1197856723939338</v>
      </c>
      <c r="E12" s="16">
        <f t="shared" si="6"/>
        <v>0.12412608808823429</v>
      </c>
      <c r="F12" s="16">
        <f t="shared" si="6"/>
        <v>0.11781412495821668</v>
      </c>
      <c r="G12" s="16">
        <f t="shared" si="6"/>
        <v>0.12865310864149149</v>
      </c>
      <c r="H12" s="16">
        <f t="shared" ref="H12:K12" si="7">H11/H10</f>
        <v>0.1182266668844406</v>
      </c>
      <c r="I12" s="16">
        <f t="shared" si="7"/>
        <v>0.11060395756275417</v>
      </c>
      <c r="J12" s="16">
        <f t="shared" si="7"/>
        <v>0.11832251260500587</v>
      </c>
      <c r="K12" s="16">
        <f t="shared" si="7"/>
        <v>0.11909118327956644</v>
      </c>
      <c r="L12" s="3">
        <f>AVERAGE(B12:K12)</f>
        <v>0.11912470471679108</v>
      </c>
    </row>
    <row r="13" spans="1:15" x14ac:dyDescent="0.25">
      <c r="A13" t="s">
        <v>33</v>
      </c>
      <c r="B13" s="15">
        <f t="shared" ref="B13:G13" si="8">B11/B8</f>
        <v>2.9202707674196157E-3</v>
      </c>
      <c r="C13" s="15">
        <f t="shared" si="8"/>
        <v>3.3125170131881542E-3</v>
      </c>
      <c r="D13" s="15">
        <f t="shared" si="8"/>
        <v>3.1485621031555559E-3</v>
      </c>
      <c r="E13" s="15">
        <f t="shared" si="8"/>
        <v>3.1760336228067953E-3</v>
      </c>
      <c r="F13" s="15">
        <f t="shared" si="8"/>
        <v>3.2565227523484465E-3</v>
      </c>
      <c r="G13" s="15">
        <f t="shared" si="8"/>
        <v>3.0366289876346997E-3</v>
      </c>
      <c r="H13" s="15">
        <f t="shared" ref="H13:K13" si="9">H11/H8</f>
        <v>2.3973609458538287E-3</v>
      </c>
      <c r="I13" s="15">
        <f t="shared" si="9"/>
        <v>2.3898514048883812E-3</v>
      </c>
      <c r="J13" s="15">
        <f t="shared" si="9"/>
        <v>2.7224817107772215E-3</v>
      </c>
      <c r="K13" s="15">
        <f t="shared" si="9"/>
        <v>2.4948440897988541E-3</v>
      </c>
      <c r="L13" s="3">
        <f>AVERAGE(B13:K13)</f>
        <v>2.8855073397871548E-3</v>
      </c>
    </row>
    <row r="14" spans="1:15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3"/>
    </row>
    <row r="15" spans="1:15" x14ac:dyDescent="0.25">
      <c r="A15" t="s">
        <v>7</v>
      </c>
      <c r="B15" s="20"/>
      <c r="C15" s="20"/>
      <c r="D15" s="20">
        <v>30075</v>
      </c>
      <c r="E15" s="20">
        <v>68141</v>
      </c>
      <c r="F15" s="20">
        <v>814184</v>
      </c>
      <c r="G15" s="20">
        <v>3829531</v>
      </c>
      <c r="H15" s="20">
        <v>4637977</v>
      </c>
      <c r="I15" s="20">
        <v>15281532</v>
      </c>
      <c r="J15" s="20">
        <v>22955094</v>
      </c>
      <c r="K15" s="20">
        <v>29429298</v>
      </c>
      <c r="L15" s="3"/>
    </row>
    <row r="16" spans="1:15" x14ac:dyDescent="0.25">
      <c r="B16" s="13"/>
      <c r="C16" s="13"/>
      <c r="D16" s="15">
        <f t="shared" ref="D16:I16" si="10">D15/D4</f>
        <v>2.728501994432894E-4</v>
      </c>
      <c r="E16" s="15">
        <f t="shared" si="10"/>
        <v>3.5309480724861185E-4</v>
      </c>
      <c r="F16" s="15">
        <f t="shared" si="10"/>
        <v>2.3218508527542681E-3</v>
      </c>
      <c r="G16" s="15">
        <f t="shared" si="10"/>
        <v>6.7841504304116647E-3</v>
      </c>
      <c r="H16" s="15">
        <f t="shared" si="10"/>
        <v>3.394570123073678E-3</v>
      </c>
      <c r="I16" s="15">
        <f t="shared" si="10"/>
        <v>7.7715104727285773E-3</v>
      </c>
      <c r="J16" s="15">
        <f t="shared" ref="J16:K16" si="11">J15/J4</f>
        <v>7.3542431719208975E-3</v>
      </c>
      <c r="K16" s="15">
        <f t="shared" si="11"/>
        <v>5.2258595843601673E-3</v>
      </c>
      <c r="L16" s="3"/>
    </row>
    <row r="17" spans="1:1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3"/>
    </row>
    <row r="18" spans="1:12" x14ac:dyDescent="0.25">
      <c r="A18" t="s">
        <v>3</v>
      </c>
      <c r="C18" s="20"/>
      <c r="D18" s="20">
        <v>2526</v>
      </c>
      <c r="E18" s="20">
        <v>7751</v>
      </c>
      <c r="F18" s="20">
        <v>26354</v>
      </c>
      <c r="G18" s="20">
        <v>49345</v>
      </c>
      <c r="H18" s="20">
        <v>101628</v>
      </c>
      <c r="I18" s="20">
        <v>219754</v>
      </c>
      <c r="J18" s="20">
        <v>501732</v>
      </c>
      <c r="K18" s="20">
        <v>687170</v>
      </c>
      <c r="L18" s="3"/>
    </row>
    <row r="19" spans="1:12" x14ac:dyDescent="0.25">
      <c r="A19" t="s">
        <v>4</v>
      </c>
      <c r="B19" s="17">
        <f t="shared" ref="B19:K19" si="12">B18/B8</f>
        <v>0</v>
      </c>
      <c r="C19" s="17">
        <f t="shared" si="12"/>
        <v>0</v>
      </c>
      <c r="D19" s="17">
        <f t="shared" si="12"/>
        <v>3.1177059476953876E-5</v>
      </c>
      <c r="E19" s="17">
        <f t="shared" si="12"/>
        <v>5.0462422100774383E-5</v>
      </c>
      <c r="F19" s="17">
        <f t="shared" si="12"/>
        <v>9.7829839449777785E-5</v>
      </c>
      <c r="G19" s="17">
        <f t="shared" si="12"/>
        <v>1.1986648624712558E-4</v>
      </c>
      <c r="H19" s="17">
        <f t="shared" si="12"/>
        <v>1.0685330468808869E-4</v>
      </c>
      <c r="I19" s="17">
        <f t="shared" si="12"/>
        <v>1.2111406376445236E-4</v>
      </c>
      <c r="J19" s="17">
        <f t="shared" si="12"/>
        <v>2.0520001840424934E-4</v>
      </c>
      <c r="K19" s="17">
        <f t="shared" si="12"/>
        <v>1.6831957621067645E-4</v>
      </c>
      <c r="L19" s="2">
        <f>AVERAGE(B19:K19)</f>
        <v>9.0082277034209845E-5</v>
      </c>
    </row>
    <row r="20" spans="1:12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3"/>
    </row>
    <row r="21" spans="1:12" x14ac:dyDescent="0.25">
      <c r="A21" t="s">
        <v>8</v>
      </c>
      <c r="B21" s="19">
        <v>34772</v>
      </c>
      <c r="C21" s="20">
        <v>16732</v>
      </c>
      <c r="D21" s="20">
        <v>21750</v>
      </c>
      <c r="E21" s="20">
        <v>43725</v>
      </c>
      <c r="F21" s="20">
        <v>80913</v>
      </c>
      <c r="G21" s="20">
        <v>117730</v>
      </c>
      <c r="H21" s="20">
        <v>235160</v>
      </c>
      <c r="I21" s="20">
        <v>437491</v>
      </c>
      <c r="J21" s="20">
        <v>335377</v>
      </c>
      <c r="K21" s="20">
        <v>699386</v>
      </c>
      <c r="L21" s="3"/>
    </row>
    <row r="22" spans="1:12" x14ac:dyDescent="0.25">
      <c r="A22" t="s">
        <v>34</v>
      </c>
      <c r="B22" s="15">
        <f t="shared" ref="B22:K22" si="13">B21/B8</f>
        <v>1.5350746817747037E-3</v>
      </c>
      <c r="C22" s="15">
        <f t="shared" si="13"/>
        <v>3.533768245177641E-4</v>
      </c>
      <c r="D22" s="15">
        <f t="shared" si="13"/>
        <v>2.684485525034627E-4</v>
      </c>
      <c r="E22" s="15">
        <f t="shared" si="13"/>
        <v>2.8466899836877304E-4</v>
      </c>
      <c r="F22" s="18">
        <f t="shared" si="13"/>
        <v>3.0036069664566558E-4</v>
      </c>
      <c r="G22" s="18">
        <f t="shared" si="13"/>
        <v>2.8598401916859041E-4</v>
      </c>
      <c r="H22" s="18">
        <f t="shared" si="13"/>
        <v>2.472509852644048E-4</v>
      </c>
      <c r="I22" s="18">
        <f t="shared" si="13"/>
        <v>2.4111648875731054E-4</v>
      </c>
      <c r="J22" s="18">
        <f t="shared" si="13"/>
        <v>1.3716359843972864E-4</v>
      </c>
      <c r="K22" s="18">
        <f t="shared" si="13"/>
        <v>1.7131183714027119E-4</v>
      </c>
      <c r="L22" s="2">
        <f>AVERAGE(B22:K22)</f>
        <v>3.8247566825806749E-4</v>
      </c>
    </row>
    <row r="23" spans="1:12" x14ac:dyDescent="0.25">
      <c r="B23" s="15"/>
      <c r="C23" s="15"/>
      <c r="D23" s="15"/>
      <c r="E23" s="15"/>
      <c r="F23" s="18"/>
      <c r="G23" s="18"/>
      <c r="H23" s="18"/>
      <c r="I23" s="18"/>
      <c r="J23" s="18"/>
      <c r="K23" s="18"/>
      <c r="L23" s="3"/>
    </row>
    <row r="24" spans="1:12" x14ac:dyDescent="0.25">
      <c r="A24" t="s">
        <v>87</v>
      </c>
      <c r="B24" s="15"/>
      <c r="C24" s="15"/>
      <c r="D24" s="15"/>
      <c r="E24" s="15"/>
      <c r="F24" s="18"/>
      <c r="G24" s="18"/>
      <c r="H24" s="18"/>
      <c r="I24" s="18"/>
      <c r="J24" s="18"/>
      <c r="K24" s="18">
        <v>2.9999999999999997E-4</v>
      </c>
      <c r="L24" s="3"/>
    </row>
    <row r="25" spans="1:12" x14ac:dyDescent="0.25">
      <c r="L25" s="18"/>
    </row>
    <row r="26" spans="1:12" x14ac:dyDescent="0.25">
      <c r="A26" t="s">
        <v>41</v>
      </c>
      <c r="B26" s="3">
        <f>L6+L13-L19+L22</f>
        <v>4.6965892556011758E-3</v>
      </c>
      <c r="C26" s="2" t="s">
        <v>91</v>
      </c>
      <c r="D26" s="8"/>
      <c r="E26" s="18"/>
      <c r="F26" s="18"/>
      <c r="G26" s="18"/>
      <c r="H26" s="18"/>
      <c r="I26" s="18"/>
      <c r="J26" s="18"/>
      <c r="K26" s="18"/>
      <c r="L26" s="18"/>
    </row>
    <row r="27" spans="1:12" x14ac:dyDescent="0.25">
      <c r="A27" t="s">
        <v>5</v>
      </c>
      <c r="B27" s="3">
        <f>GTD!Q12/100</f>
        <v>4.5699999999999951E-3</v>
      </c>
      <c r="C27" s="2" t="s">
        <v>91</v>
      </c>
    </row>
    <row r="28" spans="1:12" x14ac:dyDescent="0.25">
      <c r="A28" t="s">
        <v>36</v>
      </c>
      <c r="B28" s="3">
        <f>B27-B26</f>
        <v>-1.2658925560118071E-4</v>
      </c>
    </row>
    <row r="29" spans="1:12" x14ac:dyDescent="0.25">
      <c r="B29" s="3"/>
    </row>
    <row r="31" spans="1:12" x14ac:dyDescent="0.25">
      <c r="A31" s="1" t="s">
        <v>37</v>
      </c>
    </row>
    <row r="32" spans="1:12" x14ac:dyDescent="0.25">
      <c r="A32" t="s">
        <v>94</v>
      </c>
      <c r="B32" s="3">
        <v>1.1999999999999999E-3</v>
      </c>
    </row>
    <row r="33" spans="1:14" x14ac:dyDescent="0.25">
      <c r="A33" t="s">
        <v>96</v>
      </c>
      <c r="B33" s="3">
        <v>3.0000000000000001E-3</v>
      </c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98</v>
      </c>
      <c r="B34" s="2">
        <f>AVERAGE(J22:K22)</f>
        <v>1.542377177899999E-4</v>
      </c>
    </row>
    <row r="35" spans="1:14" x14ac:dyDescent="0.25">
      <c r="A35" t="s">
        <v>95</v>
      </c>
      <c r="B35" s="2">
        <f>-AVERAGE(J19:K19)</f>
        <v>-1.8675979730746288E-4</v>
      </c>
    </row>
  </sheetData>
  <hyperlinks>
    <hyperlink ref="O3" r:id="rId1" display="https://www.ie.vanguard/product-documentation/mifid-priips" xr:uid="{800CBD80-C22D-47C1-B2D9-A56B04DD2856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A1:Q35"/>
  <sheetViews>
    <sheetView zoomScale="115" zoomScaleNormal="115" workbookViewId="0">
      <selection activeCell="A34" sqref="A34"/>
    </sheetView>
  </sheetViews>
  <sheetFormatPr defaultRowHeight="15" x14ac:dyDescent="0.25"/>
  <cols>
    <col min="1" max="1" width="38.42578125" customWidth="1"/>
    <col min="2" max="2" width="13.7109375" customWidth="1"/>
    <col min="3" max="3" width="14.7109375" bestFit="1" customWidth="1"/>
    <col min="4" max="4" width="16.42578125" bestFit="1" customWidth="1"/>
    <col min="5" max="5" width="14.7109375" bestFit="1" customWidth="1"/>
    <col min="6" max="8" width="16.28515625" bestFit="1" customWidth="1"/>
    <col min="9" max="13" width="16.28515625" customWidth="1"/>
    <col min="14" max="14" width="15.42578125" customWidth="1"/>
  </cols>
  <sheetData>
    <row r="1" spans="1:17" x14ac:dyDescent="0.25">
      <c r="A1" s="9" t="s">
        <v>45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t="s">
        <v>35</v>
      </c>
      <c r="Q2" t="s">
        <v>39</v>
      </c>
    </row>
    <row r="3" spans="1:17" x14ac:dyDescent="0.25">
      <c r="B3" s="1">
        <v>2013</v>
      </c>
      <c r="C3" s="1">
        <v>2014</v>
      </c>
      <c r="D3" s="1">
        <v>2015</v>
      </c>
      <c r="E3" s="1">
        <v>2016</v>
      </c>
      <c r="F3" s="1">
        <v>2017</v>
      </c>
      <c r="G3" s="1">
        <v>2018</v>
      </c>
      <c r="H3" s="1">
        <v>2019</v>
      </c>
      <c r="I3" s="1">
        <v>2020</v>
      </c>
      <c r="J3" s="1">
        <v>2021</v>
      </c>
      <c r="K3" s="1">
        <v>2022</v>
      </c>
      <c r="L3" s="1">
        <v>2023</v>
      </c>
      <c r="M3" s="1">
        <v>2024</v>
      </c>
      <c r="N3" s="1" t="s">
        <v>31</v>
      </c>
      <c r="Q3" s="30" t="s">
        <v>80</v>
      </c>
    </row>
    <row r="4" spans="1:17" x14ac:dyDescent="0.25">
      <c r="A4" t="s">
        <v>27</v>
      </c>
      <c r="B4" s="5">
        <v>43898122</v>
      </c>
      <c r="C4" s="19">
        <v>252031560</v>
      </c>
      <c r="D4" s="19">
        <v>558122115</v>
      </c>
      <c r="E4" s="20">
        <v>635252624</v>
      </c>
      <c r="F4" s="20">
        <v>1382224416</v>
      </c>
      <c r="G4" s="20">
        <v>1480869360</v>
      </c>
      <c r="H4" s="20">
        <v>1971859507</v>
      </c>
      <c r="I4" s="20">
        <v>1912680136</v>
      </c>
      <c r="J4" s="20">
        <v>2825325240</v>
      </c>
      <c r="K4" s="20">
        <v>2219774482</v>
      </c>
      <c r="L4" s="20">
        <v>2529967642</v>
      </c>
      <c r="M4" s="20">
        <v>2887900203</v>
      </c>
      <c r="N4" s="1"/>
      <c r="Q4" t="s">
        <v>61</v>
      </c>
    </row>
    <row r="5" spans="1:17" x14ac:dyDescent="0.25">
      <c r="A5" t="s">
        <v>6</v>
      </c>
      <c r="B5" s="5"/>
      <c r="C5" s="19">
        <v>348524</v>
      </c>
      <c r="D5" s="19">
        <v>1087252</v>
      </c>
      <c r="E5" s="20">
        <v>1277504</v>
      </c>
      <c r="F5" s="20">
        <v>2493543</v>
      </c>
      <c r="G5" s="20">
        <v>3984684</v>
      </c>
      <c r="H5" s="20">
        <v>4162039</v>
      </c>
      <c r="I5" s="20">
        <v>4590519</v>
      </c>
      <c r="J5" s="20">
        <v>5410324</v>
      </c>
      <c r="K5" s="20">
        <v>5668186</v>
      </c>
      <c r="L5" s="20">
        <v>5112583</v>
      </c>
      <c r="M5" s="20">
        <v>5835147</v>
      </c>
      <c r="Q5" t="s">
        <v>76</v>
      </c>
    </row>
    <row r="6" spans="1:17" x14ac:dyDescent="0.25">
      <c r="A6" t="s">
        <v>28</v>
      </c>
      <c r="C6" s="14">
        <v>2.8999999999999998E-3</v>
      </c>
      <c r="D6" s="14">
        <f>((2/12)*0.29%)+((10/12)*0.25%)</f>
        <v>2.5666666666666667E-3</v>
      </c>
      <c r="E6" s="14">
        <v>2.5000000000000001E-3</v>
      </c>
      <c r="F6" s="14">
        <v>2.5000000000000001E-3</v>
      </c>
      <c r="G6" s="14">
        <v>2.5000000000000001E-3</v>
      </c>
      <c r="H6" s="14">
        <v>2.5000000000000001E-3</v>
      </c>
      <c r="I6" s="14">
        <f>((114/366)*0.25%)+((252/366)*0.22%)</f>
        <v>2.29344262295082E-3</v>
      </c>
      <c r="J6" s="14">
        <v>2.2000000000000001E-3</v>
      </c>
      <c r="K6" s="14">
        <v>2.2000000000000001E-3</v>
      </c>
      <c r="L6" s="14">
        <v>2.2000000000000001E-3</v>
      </c>
      <c r="M6" s="14">
        <v>2.2000000000000001E-3</v>
      </c>
      <c r="N6" s="3">
        <f>AVERAGE(C6:M6)</f>
        <v>2.4145553899652264E-3</v>
      </c>
    </row>
    <row r="7" spans="1:17" x14ac:dyDescent="0.25">
      <c r="A7" t="s">
        <v>29</v>
      </c>
      <c r="B7" s="5"/>
      <c r="C7" s="19">
        <f>(B4+C4)/2</f>
        <v>147964841</v>
      </c>
      <c r="D7" s="19">
        <f t="shared" ref="D7:J7" si="0">(C4+D4)/2</f>
        <v>405076837.5</v>
      </c>
      <c r="E7" s="19">
        <f t="shared" si="0"/>
        <v>596687369.5</v>
      </c>
      <c r="F7" s="19">
        <f t="shared" si="0"/>
        <v>1008738520</v>
      </c>
      <c r="G7" s="19">
        <f t="shared" si="0"/>
        <v>1431546888</v>
      </c>
      <c r="H7" s="19">
        <f t="shared" si="0"/>
        <v>1726364433.5</v>
      </c>
      <c r="I7" s="19">
        <f t="shared" si="0"/>
        <v>1942269821.5</v>
      </c>
      <c r="J7" s="19">
        <f t="shared" si="0"/>
        <v>2369002688</v>
      </c>
      <c r="K7" s="19">
        <f t="shared" ref="K7" si="1">(J4+K4)/2</f>
        <v>2522549861</v>
      </c>
      <c r="L7" s="19">
        <f t="shared" ref="L7" si="2">(K4+L4)/2</f>
        <v>2374871062</v>
      </c>
      <c r="M7" s="19">
        <f t="shared" ref="M7" si="3">(L4+M4)/2</f>
        <v>2708933922.5</v>
      </c>
      <c r="N7" s="3"/>
      <c r="Q7" s="31" t="s">
        <v>46</v>
      </c>
    </row>
    <row r="8" spans="1:17" x14ac:dyDescent="0.25">
      <c r="A8" t="s">
        <v>30</v>
      </c>
      <c r="B8" s="5"/>
      <c r="C8" s="20">
        <f>C5/D6</f>
        <v>135788571.42857143</v>
      </c>
      <c r="D8" s="20">
        <f t="shared" ref="D8:I8" si="4">D5/D6</f>
        <v>423604675.32467532</v>
      </c>
      <c r="E8" s="20">
        <f t="shared" si="4"/>
        <v>511001600</v>
      </c>
      <c r="F8" s="20">
        <f t="shared" si="4"/>
        <v>997417200</v>
      </c>
      <c r="G8" s="20">
        <f t="shared" si="4"/>
        <v>1593873600</v>
      </c>
      <c r="H8" s="20">
        <f t="shared" si="4"/>
        <v>1664815600</v>
      </c>
      <c r="I8" s="20">
        <f t="shared" si="4"/>
        <v>2001584410.2930663</v>
      </c>
      <c r="J8" s="20">
        <f t="shared" ref="J8:M8" si="5">J5/J6</f>
        <v>2459238181.8181815</v>
      </c>
      <c r="K8" s="20">
        <f t="shared" si="5"/>
        <v>2576448181.8181815</v>
      </c>
      <c r="L8" s="20">
        <f t="shared" si="5"/>
        <v>2323901363.6363635</v>
      </c>
      <c r="M8" s="20">
        <f t="shared" si="5"/>
        <v>2652339545.4545455</v>
      </c>
      <c r="N8" s="3"/>
      <c r="Q8" s="31" t="s">
        <v>47</v>
      </c>
    </row>
    <row r="9" spans="1:17" x14ac:dyDescent="0.25">
      <c r="B9" s="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3"/>
    </row>
    <row r="10" spans="1:17" x14ac:dyDescent="0.25">
      <c r="A10" t="s">
        <v>0</v>
      </c>
      <c r="B10" s="5"/>
      <c r="C10" s="5">
        <v>3325881</v>
      </c>
      <c r="D10" s="5">
        <v>13386831</v>
      </c>
      <c r="E10" s="5">
        <v>17405209</v>
      </c>
      <c r="F10" s="5">
        <v>29020960</v>
      </c>
      <c r="G10" s="5">
        <v>44723633</v>
      </c>
      <c r="H10" s="5">
        <v>55691122</v>
      </c>
      <c r="I10" s="5">
        <v>57139164</v>
      </c>
      <c r="J10" s="5">
        <v>57452248</v>
      </c>
      <c r="K10" s="5">
        <v>84998689</v>
      </c>
      <c r="L10" s="5">
        <v>84796868</v>
      </c>
      <c r="M10" s="5">
        <v>81019956</v>
      </c>
      <c r="N10" s="3"/>
      <c r="Q10" t="s">
        <v>38</v>
      </c>
    </row>
    <row r="11" spans="1:17" x14ac:dyDescent="0.25">
      <c r="A11" t="s">
        <v>1</v>
      </c>
      <c r="B11" s="5"/>
      <c r="C11" s="5">
        <v>298586</v>
      </c>
      <c r="D11" s="5">
        <v>1274164</v>
      </c>
      <c r="E11" s="5">
        <v>1706810</v>
      </c>
      <c r="F11" s="5">
        <v>3013440</v>
      </c>
      <c r="G11" s="5">
        <v>4856073</v>
      </c>
      <c r="H11" s="5">
        <v>5576288</v>
      </c>
      <c r="I11" s="5">
        <v>6005283</v>
      </c>
      <c r="J11" s="5">
        <f>6241303+431841</f>
        <v>6673144</v>
      </c>
      <c r="K11" s="5">
        <v>8726820</v>
      </c>
      <c r="L11" s="5">
        <f>9165498+269259</f>
        <v>9434757</v>
      </c>
      <c r="M11" s="5">
        <f>9985172+2197734</f>
        <v>12182906</v>
      </c>
      <c r="N11" s="3"/>
      <c r="Q11" t="s">
        <v>48</v>
      </c>
    </row>
    <row r="12" spans="1:17" x14ac:dyDescent="0.25">
      <c r="A12" t="s">
        <v>32</v>
      </c>
      <c r="C12" s="16">
        <f>C11/C10</f>
        <v>8.9776513350898604E-2</v>
      </c>
      <c r="D12" s="16">
        <f t="shared" ref="D12:M12" si="6">D11/D10</f>
        <v>9.5180405280383379E-2</v>
      </c>
      <c r="E12" s="16">
        <f t="shared" si="6"/>
        <v>9.8063171778057942E-2</v>
      </c>
      <c r="F12" s="16">
        <f t="shared" si="6"/>
        <v>0.10383667528572453</v>
      </c>
      <c r="G12" s="16">
        <f t="shared" si="6"/>
        <v>0.10857957357802306</v>
      </c>
      <c r="H12" s="16">
        <f t="shared" si="6"/>
        <v>0.10012884998079227</v>
      </c>
      <c r="I12" s="16">
        <f t="shared" si="6"/>
        <v>0.10509924506420849</v>
      </c>
      <c r="J12" s="16">
        <f t="shared" si="6"/>
        <v>0.11615113824614835</v>
      </c>
      <c r="K12" s="16">
        <f t="shared" si="6"/>
        <v>0.10267005412283477</v>
      </c>
      <c r="L12" s="16">
        <f t="shared" si="6"/>
        <v>0.11126303627157551</v>
      </c>
      <c r="M12" s="16">
        <f t="shared" si="6"/>
        <v>0.1503692003979859</v>
      </c>
      <c r="N12" s="3">
        <f>AVERAGE(C12:M12)</f>
        <v>0.10737435121423934</v>
      </c>
    </row>
    <row r="13" spans="1:17" x14ac:dyDescent="0.25">
      <c r="A13" t="s">
        <v>33</v>
      </c>
      <c r="C13" s="15">
        <f t="shared" ref="C13:M13" si="7">C11/C8</f>
        <v>2.1989037579430207E-3</v>
      </c>
      <c r="D13" s="15">
        <f t="shared" si="7"/>
        <v>3.0079082555531439E-3</v>
      </c>
      <c r="E13" s="15">
        <f t="shared" si="7"/>
        <v>3.3401265279795599E-3</v>
      </c>
      <c r="F13" s="15">
        <f t="shared" si="7"/>
        <v>3.0212432671102925E-3</v>
      </c>
      <c r="G13" s="15">
        <f t="shared" si="7"/>
        <v>3.0467114832694385E-3</v>
      </c>
      <c r="H13" s="15">
        <f t="shared" si="7"/>
        <v>3.3494928807731019E-3</v>
      </c>
      <c r="I13" s="15">
        <f t="shared" si="7"/>
        <v>3.0002646748835955E-3</v>
      </c>
      <c r="J13" s="15">
        <f t="shared" si="7"/>
        <v>2.7135004853683442E-3</v>
      </c>
      <c r="K13" s="15">
        <f t="shared" si="7"/>
        <v>3.387151374355041E-3</v>
      </c>
      <c r="L13" s="15">
        <f t="shared" si="7"/>
        <v>4.0598784215336945E-3</v>
      </c>
      <c r="M13" s="15">
        <f t="shared" si="7"/>
        <v>4.5932678645456571E-3</v>
      </c>
      <c r="N13" s="3">
        <f>AVERAGE(C13:M13)</f>
        <v>3.2471317266649898E-3</v>
      </c>
      <c r="Q13" t="s">
        <v>92</v>
      </c>
    </row>
    <row r="14" spans="1:17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"/>
    </row>
    <row r="15" spans="1:17" x14ac:dyDescent="0.25">
      <c r="A15" t="s">
        <v>7</v>
      </c>
      <c r="B15" s="5"/>
      <c r="C15" s="20"/>
      <c r="D15" s="20"/>
      <c r="E15" s="20"/>
      <c r="F15" s="20">
        <v>4397504</v>
      </c>
      <c r="G15" s="20">
        <v>4131498</v>
      </c>
      <c r="H15" s="20">
        <v>5461085</v>
      </c>
      <c r="I15" s="20">
        <v>9560909</v>
      </c>
      <c r="J15" s="20">
        <v>11232569</v>
      </c>
      <c r="K15" s="20">
        <v>13959222</v>
      </c>
      <c r="L15" s="20">
        <v>22579958</v>
      </c>
      <c r="M15" s="20">
        <v>42404847</v>
      </c>
      <c r="N15" s="3"/>
      <c r="Q15" t="s">
        <v>93</v>
      </c>
    </row>
    <row r="16" spans="1:17" x14ac:dyDescent="0.25">
      <c r="C16" s="13"/>
      <c r="D16" s="13"/>
      <c r="E16" s="13"/>
      <c r="F16" s="15">
        <f>F15/F4</f>
        <v>3.1814689055528881E-3</v>
      </c>
      <c r="G16" s="15">
        <f>G15/G4</f>
        <v>2.7899138922018079E-3</v>
      </c>
      <c r="H16" s="15">
        <f>H15/H4</f>
        <v>2.7695101910726544E-3</v>
      </c>
      <c r="I16" s="15">
        <f>I15/I4</f>
        <v>4.9986972834855647E-3</v>
      </c>
      <c r="J16" s="15">
        <f>J15/J4</f>
        <v>3.9756729034141217E-3</v>
      </c>
      <c r="K16" s="15">
        <f t="shared" ref="K16:M16" si="8">K15/K4</f>
        <v>6.2885766609150524E-3</v>
      </c>
      <c r="L16" s="15">
        <f t="shared" si="8"/>
        <v>8.9249987332446681E-3</v>
      </c>
      <c r="M16" s="15">
        <f t="shared" si="8"/>
        <v>1.4683626170997572E-2</v>
      </c>
      <c r="N16" s="3"/>
    </row>
    <row r="17" spans="1:14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"/>
    </row>
    <row r="18" spans="1:14" x14ac:dyDescent="0.25">
      <c r="A18" t="s">
        <v>3</v>
      </c>
      <c r="B18" s="5"/>
      <c r="E18" s="20"/>
      <c r="F18" s="20">
        <v>46231</v>
      </c>
      <c r="G18" s="20">
        <v>161281</v>
      </c>
      <c r="H18" s="20">
        <v>215630</v>
      </c>
      <c r="I18" s="20">
        <v>205976</v>
      </c>
      <c r="J18" s="20">
        <v>241334</v>
      </c>
      <c r="K18" s="20">
        <v>632998</v>
      </c>
      <c r="L18" s="20">
        <v>375855</v>
      </c>
      <c r="M18" s="20">
        <v>589129</v>
      </c>
      <c r="N18" s="3"/>
    </row>
    <row r="19" spans="1:14" x14ac:dyDescent="0.25">
      <c r="A19" t="s">
        <v>4</v>
      </c>
      <c r="C19" s="17">
        <f t="shared" ref="C19:M19" si="9">C18/C8</f>
        <v>0</v>
      </c>
      <c r="D19" s="17">
        <f t="shared" si="9"/>
        <v>0</v>
      </c>
      <c r="E19" s="17">
        <f t="shared" si="9"/>
        <v>0</v>
      </c>
      <c r="F19" s="17">
        <f t="shared" si="9"/>
        <v>4.6350714625735352E-5</v>
      </c>
      <c r="G19" s="17">
        <f t="shared" si="9"/>
        <v>1.0118807413586624E-4</v>
      </c>
      <c r="H19" s="17">
        <f t="shared" si="9"/>
        <v>1.2952185214987173E-4</v>
      </c>
      <c r="I19" s="17">
        <f t="shared" si="9"/>
        <v>1.0290647695934121E-4</v>
      </c>
      <c r="J19" s="17">
        <f t="shared" si="9"/>
        <v>9.8133642273549616E-5</v>
      </c>
      <c r="K19" s="17">
        <f t="shared" si="9"/>
        <v>2.4568629187539013E-4</v>
      </c>
      <c r="L19" s="17">
        <f t="shared" si="9"/>
        <v>1.6173448920046873E-4</v>
      </c>
      <c r="M19" s="17">
        <f t="shared" si="9"/>
        <v>2.2211673501970044E-4</v>
      </c>
      <c r="N19" s="2">
        <f>AVERAGE(C19:M19)</f>
        <v>1.0069438874908396E-4</v>
      </c>
    </row>
    <row r="20" spans="1:14" x14ac:dyDescent="0.25"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3"/>
    </row>
    <row r="21" spans="1:14" x14ac:dyDescent="0.25">
      <c r="A21" t="s">
        <v>8</v>
      </c>
      <c r="B21" s="5"/>
      <c r="C21" s="5">
        <v>248141</v>
      </c>
      <c r="D21" s="19">
        <v>437315</v>
      </c>
      <c r="E21" s="20">
        <v>522563</v>
      </c>
      <c r="F21" s="20">
        <v>913162</v>
      </c>
      <c r="G21" s="20">
        <v>588927</v>
      </c>
      <c r="H21" s="20">
        <v>821909</v>
      </c>
      <c r="I21" s="20">
        <v>1066867</v>
      </c>
      <c r="J21" s="20">
        <v>839604</v>
      </c>
      <c r="K21" s="20">
        <v>730734</v>
      </c>
      <c r="L21" s="20">
        <v>782250</v>
      </c>
      <c r="M21" s="20">
        <v>733911</v>
      </c>
      <c r="N21" s="3"/>
    </row>
    <row r="22" spans="1:14" x14ac:dyDescent="0.25">
      <c r="A22" t="s">
        <v>34</v>
      </c>
      <c r="C22" s="15">
        <f t="shared" ref="C22:M22" si="10">C21/C8</f>
        <v>1.8274071034802002E-3</v>
      </c>
      <c r="D22" s="15">
        <f t="shared" si="10"/>
        <v>1.0323658483344553E-3</v>
      </c>
      <c r="E22" s="15">
        <f t="shared" si="10"/>
        <v>1.0226249780822603E-3</v>
      </c>
      <c r="F22" s="15">
        <f t="shared" si="10"/>
        <v>9.155266221597141E-4</v>
      </c>
      <c r="G22" s="15">
        <f t="shared" si="10"/>
        <v>3.6949416816992265E-4</v>
      </c>
      <c r="H22" s="18">
        <f t="shared" si="10"/>
        <v>4.9369371598872568E-4</v>
      </c>
      <c r="I22" s="18">
        <f t="shared" si="10"/>
        <v>5.3301124574795845E-4</v>
      </c>
      <c r="J22" s="18">
        <f t="shared" si="10"/>
        <v>3.414081670524723E-4</v>
      </c>
      <c r="K22" s="18">
        <f t="shared" si="10"/>
        <v>2.8362068570085742E-4</v>
      </c>
      <c r="L22" s="18">
        <f t="shared" si="10"/>
        <v>3.3661067213969925E-4</v>
      </c>
      <c r="M22" s="18">
        <f t="shared" si="10"/>
        <v>2.7670326043199942E-4</v>
      </c>
      <c r="N22" s="2">
        <f>AVERAGE(C22:M22)</f>
        <v>6.756787697534786E-4</v>
      </c>
    </row>
    <row r="23" spans="1:14" x14ac:dyDescent="0.25">
      <c r="C23" s="15"/>
      <c r="D23" s="15"/>
      <c r="E23" s="15"/>
      <c r="F23" s="15"/>
      <c r="G23" s="15"/>
      <c r="H23" s="18"/>
      <c r="I23" s="18"/>
      <c r="J23" s="18"/>
      <c r="K23" s="18"/>
      <c r="L23" s="18"/>
      <c r="M23" s="18"/>
      <c r="N23" s="3"/>
    </row>
    <row r="24" spans="1:14" x14ac:dyDescent="0.25">
      <c r="A24" t="s">
        <v>87</v>
      </c>
      <c r="C24" s="15"/>
      <c r="D24" s="15"/>
      <c r="E24" s="15"/>
      <c r="F24" s="15"/>
      <c r="G24" s="15"/>
      <c r="H24" s="18"/>
      <c r="I24" s="18"/>
      <c r="J24" s="18"/>
      <c r="K24" s="18"/>
      <c r="L24" s="18"/>
      <c r="M24" s="18">
        <v>1.1000000000000001E-3</v>
      </c>
      <c r="N24" s="3"/>
    </row>
    <row r="25" spans="1:14" x14ac:dyDescent="0.25">
      <c r="N25" s="18"/>
    </row>
    <row r="26" spans="1:14" x14ac:dyDescent="0.25">
      <c r="A26" t="s">
        <v>41</v>
      </c>
      <c r="B26" s="3">
        <f>N6+N13-N19+N22</f>
        <v>6.2366714976346107E-3</v>
      </c>
      <c r="C26" t="s">
        <v>90</v>
      </c>
      <c r="E26" s="8"/>
      <c r="F26" s="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t="s">
        <v>5</v>
      </c>
      <c r="B27" s="3">
        <f>AVERAGE(GTD!D19:N19)/100</f>
        <v>7.0818181818181839E-3</v>
      </c>
      <c r="C27" s="2" t="s">
        <v>90</v>
      </c>
    </row>
    <row r="28" spans="1:14" x14ac:dyDescent="0.25">
      <c r="A28" t="s">
        <v>36</v>
      </c>
      <c r="B28" s="3">
        <f>B27-B26</f>
        <v>8.4514668418357326E-4</v>
      </c>
    </row>
    <row r="31" spans="1:14" x14ac:dyDescent="0.25">
      <c r="A31" s="1" t="s">
        <v>37</v>
      </c>
    </row>
    <row r="32" spans="1:14" x14ac:dyDescent="0.25">
      <c r="A32" t="s">
        <v>94</v>
      </c>
      <c r="B32" s="3">
        <v>2.2000000000000001E-3</v>
      </c>
    </row>
    <row r="33" spans="1:14" x14ac:dyDescent="0.25">
      <c r="A33" t="s">
        <v>96</v>
      </c>
      <c r="B33" s="3">
        <v>3.0000000000000001E-3</v>
      </c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t="s">
        <v>98</v>
      </c>
      <c r="B34" s="2">
        <f>AVERAGE(L22:M22)</f>
        <v>3.0665696628584934E-4</v>
      </c>
    </row>
    <row r="35" spans="1:14" x14ac:dyDescent="0.25">
      <c r="A35" t="s">
        <v>95</v>
      </c>
      <c r="B35" s="2">
        <f>-AVERAGE(L19:M19)</f>
        <v>-1.9192561211008459E-4</v>
      </c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</row>
  </sheetData>
  <hyperlinks>
    <hyperlink ref="Q3" r:id="rId1" display="https://www.ie.vanguard/product-documentation/mifid-priips" xr:uid="{ED597E86-B6BB-480D-8B9C-8BC707A084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A6-CEA5-4113-9E88-4EE6B698AC9B}">
  <dimension ref="B2:M36"/>
  <sheetViews>
    <sheetView zoomScaleNormal="100" workbookViewId="0">
      <selection activeCell="C31" sqref="C31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14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65</v>
      </c>
      <c r="M3" t="s">
        <v>38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6">
        <v>44377</v>
      </c>
    </row>
    <row r="5" spans="2:13" x14ac:dyDescent="0.25">
      <c r="B5" t="s">
        <v>27</v>
      </c>
      <c r="C5" s="19">
        <v>286237679</v>
      </c>
      <c r="D5" s="20">
        <v>502327318</v>
      </c>
      <c r="E5" s="20">
        <v>1113048696</v>
      </c>
      <c r="F5" s="20">
        <v>1679694691</v>
      </c>
      <c r="G5" s="20">
        <v>1694765475</v>
      </c>
      <c r="H5" s="20">
        <v>2009226586</v>
      </c>
      <c r="I5" s="20">
        <v>2645377063</v>
      </c>
      <c r="J5" s="1"/>
    </row>
    <row r="6" spans="2:13" x14ac:dyDescent="0.25">
      <c r="B6" t="s">
        <v>6</v>
      </c>
      <c r="C6" s="19">
        <v>197844</v>
      </c>
      <c r="D6" s="20">
        <v>500281</v>
      </c>
      <c r="E6" s="20">
        <v>868002</v>
      </c>
      <c r="F6" s="20">
        <v>1747960</v>
      </c>
      <c r="G6" s="20">
        <v>1927300</v>
      </c>
      <c r="H6" s="20">
        <v>2030488</v>
      </c>
      <c r="I6" s="20">
        <v>2223741</v>
      </c>
      <c r="M6" t="s">
        <v>66</v>
      </c>
    </row>
    <row r="7" spans="2:13" x14ac:dyDescent="0.25">
      <c r="B7" t="s">
        <v>28</v>
      </c>
      <c r="C7" s="14">
        <v>1.1999999999999999E-3</v>
      </c>
      <c r="D7" s="14">
        <v>1.1999999999999999E-3</v>
      </c>
      <c r="E7" s="14">
        <v>1.1999999999999999E-3</v>
      </c>
      <c r="F7" s="14">
        <v>1.1999999999999999E-3</v>
      </c>
      <c r="G7" s="14">
        <v>1.1999999999999999E-3</v>
      </c>
      <c r="H7" s="14">
        <f>((114/366)*0.12%)+((252/366)*0.1%)</f>
        <v>1.0622950819672132E-3</v>
      </c>
      <c r="I7" s="14">
        <v>1E-3</v>
      </c>
      <c r="J7" s="3">
        <f>AVERAGE(D7:I7)</f>
        <v>1.1437158469945355E-3</v>
      </c>
    </row>
    <row r="8" spans="2:13" x14ac:dyDescent="0.25">
      <c r="B8" t="s">
        <v>29</v>
      </c>
      <c r="C8" s="19"/>
      <c r="D8" s="19">
        <f t="shared" ref="D8" si="0">(C5+D5)/2</f>
        <v>394282498.5</v>
      </c>
      <c r="E8" s="19">
        <f t="shared" ref="E8" si="1">(D5+E5)/2</f>
        <v>807688007</v>
      </c>
      <c r="F8" s="19">
        <f t="shared" ref="F8" si="2">(E5+F5)/2</f>
        <v>1396371693.5</v>
      </c>
      <c r="G8" s="19">
        <f t="shared" ref="G8" si="3">(F5+G5)/2</f>
        <v>1687230083</v>
      </c>
      <c r="H8" s="19">
        <f t="shared" ref="H8:I8" si="4">(G5+H5)/2</f>
        <v>1851996030.5</v>
      </c>
      <c r="I8" s="19">
        <f t="shared" si="4"/>
        <v>2327301824.5</v>
      </c>
      <c r="J8" s="3"/>
      <c r="M8" t="s">
        <v>39</v>
      </c>
    </row>
    <row r="9" spans="2:13" x14ac:dyDescent="0.25">
      <c r="B9" t="s">
        <v>30</v>
      </c>
      <c r="C9" s="20">
        <f t="shared" ref="C9:H9" si="5">C6/C7</f>
        <v>164870000</v>
      </c>
      <c r="D9" s="20">
        <f t="shared" si="5"/>
        <v>416900833.33333337</v>
      </c>
      <c r="E9" s="20">
        <f t="shared" si="5"/>
        <v>723335000.00000012</v>
      </c>
      <c r="F9" s="20">
        <f t="shared" si="5"/>
        <v>1456633333.3333335</v>
      </c>
      <c r="G9" s="20">
        <f t="shared" si="5"/>
        <v>1606083333.3333335</v>
      </c>
      <c r="H9" s="20">
        <f t="shared" si="5"/>
        <v>1911416172.8395061</v>
      </c>
      <c r="I9" s="20">
        <f t="shared" ref="I9" si="6">I6/I7</f>
        <v>2223741000</v>
      </c>
      <c r="J9" s="3"/>
      <c r="M9" s="30" t="s">
        <v>80</v>
      </c>
    </row>
    <row r="10" spans="2:13" x14ac:dyDescent="0.25">
      <c r="C10" s="15"/>
      <c r="D10" s="15"/>
      <c r="E10" s="15"/>
      <c r="F10" s="15"/>
      <c r="G10" s="15"/>
      <c r="H10" s="15"/>
      <c r="I10" s="15"/>
      <c r="J10" s="3"/>
      <c r="M10" t="s">
        <v>40</v>
      </c>
    </row>
    <row r="11" spans="2:13" x14ac:dyDescent="0.25">
      <c r="B11" t="s">
        <v>0</v>
      </c>
      <c r="C11" s="5">
        <v>6453840</v>
      </c>
      <c r="D11" s="5">
        <v>16699948</v>
      </c>
      <c r="E11" s="5">
        <v>28612288</v>
      </c>
      <c r="F11" s="5">
        <v>55451908</v>
      </c>
      <c r="G11" s="5">
        <v>63355725</v>
      </c>
      <c r="H11" s="5">
        <v>53087528</v>
      </c>
      <c r="I11" s="5">
        <v>70651678</v>
      </c>
      <c r="J11" s="3"/>
      <c r="M11" t="s">
        <v>75</v>
      </c>
    </row>
    <row r="12" spans="2:13" x14ac:dyDescent="0.25">
      <c r="B12" t="s">
        <v>1</v>
      </c>
      <c r="C12" s="5">
        <v>449779</v>
      </c>
      <c r="D12" s="5">
        <v>1214196</v>
      </c>
      <c r="E12" s="5">
        <v>2137859</v>
      </c>
      <c r="F12" s="5">
        <v>4211322</v>
      </c>
      <c r="G12" s="5">
        <v>4497447</v>
      </c>
      <c r="H12" s="5">
        <v>5016404</v>
      </c>
      <c r="I12" s="5">
        <v>5281336</v>
      </c>
      <c r="J12" s="3"/>
    </row>
    <row r="13" spans="2:13" x14ac:dyDescent="0.25">
      <c r="B13" t="s">
        <v>32</v>
      </c>
      <c r="C13" s="16">
        <f t="shared" ref="C13:H13" si="7">C12/C11</f>
        <v>6.9691687429499341E-2</v>
      </c>
      <c r="D13" s="16">
        <f t="shared" si="7"/>
        <v>7.2706573697115709E-2</v>
      </c>
      <c r="E13" s="16">
        <f t="shared" si="7"/>
        <v>7.4718211979412488E-2</v>
      </c>
      <c r="F13" s="16">
        <f t="shared" si="7"/>
        <v>7.5945484148173939E-2</v>
      </c>
      <c r="G13" s="16">
        <f t="shared" si="7"/>
        <v>7.0987223333013716E-2</v>
      </c>
      <c r="H13" s="16">
        <f t="shared" si="7"/>
        <v>9.4493079429126936E-2</v>
      </c>
      <c r="I13" s="16">
        <f t="shared" ref="I13" si="8">I12/I11</f>
        <v>7.475174191899589E-2</v>
      </c>
      <c r="J13" s="3">
        <f>AVERAGE(D13:I13)</f>
        <v>7.7267052417639773E-2</v>
      </c>
    </row>
    <row r="14" spans="2:13" x14ac:dyDescent="0.25">
      <c r="B14" t="s">
        <v>33</v>
      </c>
      <c r="C14" s="15">
        <f t="shared" ref="C14:H14" si="9">C12/C9</f>
        <v>2.7280827318493356E-3</v>
      </c>
      <c r="D14" s="15">
        <f t="shared" si="9"/>
        <v>2.9124336123098815E-3</v>
      </c>
      <c r="E14" s="15">
        <f t="shared" si="9"/>
        <v>2.9555586277450968E-3</v>
      </c>
      <c r="F14" s="15">
        <f t="shared" si="9"/>
        <v>2.8911338932241007E-3</v>
      </c>
      <c r="G14" s="15">
        <f t="shared" si="9"/>
        <v>2.8002575623929846E-3</v>
      </c>
      <c r="H14" s="15">
        <f t="shared" si="9"/>
        <v>2.6244436304773315E-3</v>
      </c>
      <c r="I14" s="15">
        <f t="shared" ref="I14" si="10">I12/I9</f>
        <v>2.3749780212713621E-3</v>
      </c>
      <c r="J14" s="3">
        <f>AVERAGE(D14:I14)</f>
        <v>2.7598008912367929E-3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4326489</v>
      </c>
      <c r="G16" s="20"/>
      <c r="H16" s="20">
        <v>22002115</v>
      </c>
      <c r="I16" s="20">
        <v>12654321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2.5757591681284894E-3</v>
      </c>
      <c r="G17" s="15">
        <f>G16/G5</f>
        <v>0</v>
      </c>
      <c r="H17" s="15">
        <f>H16/H5</f>
        <v>1.0950539452995274E-2</v>
      </c>
      <c r="I17" s="15">
        <f>I16/I5</f>
        <v>4.7835604145026189E-3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89435</v>
      </c>
      <c r="F19" s="20">
        <v>193993</v>
      </c>
      <c r="G19" s="20">
        <v>209291</v>
      </c>
      <c r="H19" s="20">
        <v>480474</v>
      </c>
      <c r="I19" s="20">
        <v>607727</v>
      </c>
      <c r="J19" s="3"/>
    </row>
    <row r="20" spans="2:10" x14ac:dyDescent="0.25">
      <c r="B20" t="s">
        <v>4</v>
      </c>
      <c r="C20" s="17">
        <f t="shared" ref="C20:I20" si="11">C19/C9</f>
        <v>0</v>
      </c>
      <c r="D20" s="17">
        <f t="shared" si="11"/>
        <v>0</v>
      </c>
      <c r="E20" s="17">
        <f t="shared" si="11"/>
        <v>1.2364257225213764E-4</v>
      </c>
      <c r="F20" s="17">
        <f t="shared" si="11"/>
        <v>1.3317902011487676E-4</v>
      </c>
      <c r="G20" s="17">
        <f t="shared" si="11"/>
        <v>1.3031142012141336E-4</v>
      </c>
      <c r="H20" s="17">
        <f t="shared" si="11"/>
        <v>2.5137068882609241E-4</v>
      </c>
      <c r="I20" s="17">
        <f t="shared" si="11"/>
        <v>2.7329036969683069E-4</v>
      </c>
      <c r="J20" s="3">
        <f>AVERAGE(D20:I20)</f>
        <v>1.519656785018918E-4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422303</v>
      </c>
      <c r="D22" s="20">
        <v>602163</v>
      </c>
      <c r="E22" s="20">
        <v>1099868</v>
      </c>
      <c r="F22" s="20">
        <v>1252501</v>
      </c>
      <c r="G22" s="20">
        <v>481133</v>
      </c>
      <c r="H22" s="20">
        <v>891525</v>
      </c>
      <c r="I22" s="20">
        <v>325824</v>
      </c>
      <c r="J22" s="3"/>
    </row>
    <row r="23" spans="2:10" x14ac:dyDescent="0.25">
      <c r="B23" t="s">
        <v>34</v>
      </c>
      <c r="C23" s="15">
        <f t="shared" ref="C23:I23" si="12">C22/C9</f>
        <v>2.5614302177473162E-3</v>
      </c>
      <c r="D23" s="15">
        <f t="shared" si="12"/>
        <v>1.4443794587441856E-3</v>
      </c>
      <c r="E23" s="15">
        <f t="shared" si="12"/>
        <v>1.5205513351351722E-3</v>
      </c>
      <c r="F23" s="15">
        <f t="shared" si="12"/>
        <v>8.5986017986681605E-4</v>
      </c>
      <c r="G23" s="18">
        <f t="shared" si="12"/>
        <v>2.9956913817257301E-4</v>
      </c>
      <c r="H23" s="18">
        <f t="shared" si="12"/>
        <v>4.6642118690227161E-4</v>
      </c>
      <c r="I23" s="18">
        <f t="shared" si="12"/>
        <v>1.4652066045461231E-4</v>
      </c>
      <c r="J23" s="3">
        <f>AVERAGE(D23:I23)</f>
        <v>7.8955032654593838E-4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41</v>
      </c>
      <c r="C27" s="3">
        <f>J7+J14-J20+J23</f>
        <v>4.541101386275375E-3</v>
      </c>
      <c r="D27" s="2" t="s">
        <v>86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AVERAGE(GTD!F26:J26)/100</f>
        <v>3.7799999999999995E-3</v>
      </c>
      <c r="D28" s="2" t="s">
        <v>86</v>
      </c>
    </row>
    <row r="29" spans="2:10" x14ac:dyDescent="0.25">
      <c r="B29" t="s">
        <v>36</v>
      </c>
      <c r="C29" s="3">
        <f>C28-C27</f>
        <v>-7.6110138627537554E-4</v>
      </c>
    </row>
    <row r="31" spans="2:10" x14ac:dyDescent="0.25">
      <c r="B31" s="1" t="s">
        <v>37</v>
      </c>
      <c r="C31" s="11">
        <f>I7+J14-I20+I23</f>
        <v>3.6330311819945745E-3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hyperlinks>
    <hyperlink ref="M9" r:id="rId1" display="https://www.ie.vanguard/product-documentation/mifid-priips" xr:uid="{B1E0BFAB-C50F-4C2F-9682-FD621075CC24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9AA-9D8B-4A10-A65A-228471C4BA4F}">
  <dimension ref="B2:M36"/>
  <sheetViews>
    <sheetView zoomScaleNormal="100" workbookViewId="0">
      <selection activeCell="C32" sqref="C32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13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65</v>
      </c>
      <c r="M3" t="s">
        <v>38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95809998</v>
      </c>
      <c r="D5" s="20">
        <v>123443681</v>
      </c>
      <c r="E5" s="20">
        <v>256132398</v>
      </c>
      <c r="F5" s="20">
        <v>353569464</v>
      </c>
      <c r="G5" s="20">
        <v>391574855</v>
      </c>
      <c r="H5" s="20">
        <v>578659274</v>
      </c>
      <c r="I5" s="20">
        <v>1090229427</v>
      </c>
      <c r="J5" s="1"/>
      <c r="M5" t="s">
        <v>39</v>
      </c>
    </row>
    <row r="6" spans="2:13" x14ac:dyDescent="0.25">
      <c r="B6" t="s">
        <v>6</v>
      </c>
      <c r="C6" s="19">
        <v>176697</v>
      </c>
      <c r="D6" s="20">
        <v>222968</v>
      </c>
      <c r="E6" s="20">
        <v>394440</v>
      </c>
      <c r="F6" s="20">
        <v>734028</v>
      </c>
      <c r="G6" s="20">
        <v>772839</v>
      </c>
      <c r="H6" s="20">
        <v>756995</v>
      </c>
      <c r="I6" s="20">
        <v>1281554</v>
      </c>
      <c r="M6" t="s">
        <v>77</v>
      </c>
    </row>
    <row r="7" spans="2:13" x14ac:dyDescent="0.25">
      <c r="B7" t="s">
        <v>28</v>
      </c>
      <c r="C7" s="14">
        <v>2.2000000000000001E-3</v>
      </c>
      <c r="D7" s="14">
        <v>2.2000000000000001E-3</v>
      </c>
      <c r="E7" s="14">
        <v>2.2000000000000001E-3</v>
      </c>
      <c r="F7" s="14">
        <v>2.2000000000000001E-3</v>
      </c>
      <c r="G7" s="14">
        <v>2.2000000000000001E-3</v>
      </c>
      <c r="H7" s="14">
        <f>((114/366)*0.22%)+((252/366)*0.15%)</f>
        <v>1.7180327868852462E-3</v>
      </c>
      <c r="I7" s="14">
        <v>1.5E-3</v>
      </c>
      <c r="J7" s="3">
        <f>AVERAGE(C7:I7)</f>
        <v>2.0311475409836065E-3</v>
      </c>
      <c r="M7" t="s">
        <v>78</v>
      </c>
    </row>
    <row r="8" spans="2:13" x14ac:dyDescent="0.25">
      <c r="B8" t="s">
        <v>29</v>
      </c>
      <c r="C8" s="19"/>
      <c r="D8" s="19">
        <f t="shared" ref="D8:I8" si="0">(C5+D5)/2</f>
        <v>109626839.5</v>
      </c>
      <c r="E8" s="19">
        <f t="shared" si="0"/>
        <v>189788039.5</v>
      </c>
      <c r="F8" s="19">
        <f t="shared" si="0"/>
        <v>304850931</v>
      </c>
      <c r="G8" s="19">
        <f t="shared" si="0"/>
        <v>372572159.5</v>
      </c>
      <c r="H8" s="19">
        <f t="shared" si="0"/>
        <v>485117064.5</v>
      </c>
      <c r="I8" s="19">
        <f t="shared" si="0"/>
        <v>834444350.5</v>
      </c>
      <c r="J8" s="3"/>
    </row>
    <row r="9" spans="2:13" x14ac:dyDescent="0.25">
      <c r="B9" t="s">
        <v>30</v>
      </c>
      <c r="C9" s="20">
        <f t="shared" ref="C9:H9" si="1">C6/C7</f>
        <v>80316818.181818172</v>
      </c>
      <c r="D9" s="20">
        <f t="shared" si="1"/>
        <v>101349090.90909091</v>
      </c>
      <c r="E9" s="20">
        <f t="shared" si="1"/>
        <v>179290909.09090909</v>
      </c>
      <c r="F9" s="20">
        <f t="shared" si="1"/>
        <v>333649090.90909088</v>
      </c>
      <c r="G9" s="20">
        <f t="shared" si="1"/>
        <v>351290454.5454545</v>
      </c>
      <c r="H9" s="20">
        <f t="shared" si="1"/>
        <v>440617318.70229</v>
      </c>
      <c r="I9" s="20">
        <f t="shared" ref="I9" si="2">I6/I7</f>
        <v>854369333.33333337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2910412</v>
      </c>
      <c r="D11" s="5">
        <v>3697627</v>
      </c>
      <c r="E11" s="5">
        <v>6020134</v>
      </c>
      <c r="F11" s="5">
        <v>12310610</v>
      </c>
      <c r="G11" s="5">
        <v>14080736</v>
      </c>
      <c r="H11" s="5">
        <v>14853415</v>
      </c>
      <c r="I11" s="5">
        <v>27718490</v>
      </c>
      <c r="J11" s="3"/>
    </row>
    <row r="12" spans="2:13" x14ac:dyDescent="0.25">
      <c r="B12" t="s">
        <v>1</v>
      </c>
      <c r="C12" s="5">
        <v>95674</v>
      </c>
      <c r="D12" s="5">
        <v>135521</v>
      </c>
      <c r="E12" s="5">
        <v>217184</v>
      </c>
      <c r="F12" s="5">
        <v>396984</v>
      </c>
      <c r="G12" s="5">
        <v>725905</v>
      </c>
      <c r="H12" s="5">
        <v>642854</v>
      </c>
      <c r="I12" s="5">
        <v>1842818</v>
      </c>
      <c r="J12" s="3"/>
    </row>
    <row r="13" spans="2:13" x14ac:dyDescent="0.25">
      <c r="B13" t="s">
        <v>32</v>
      </c>
      <c r="C13" s="16">
        <f t="shared" ref="C13:H13" si="3">C12/C11</f>
        <v>3.2873009044767545E-2</v>
      </c>
      <c r="D13" s="16">
        <f t="shared" si="3"/>
        <v>3.6650803339547226E-2</v>
      </c>
      <c r="E13" s="16">
        <f t="shared" si="3"/>
        <v>3.6076273385276809E-2</v>
      </c>
      <c r="F13" s="16">
        <f t="shared" si="3"/>
        <v>3.2247305373169971E-2</v>
      </c>
      <c r="G13" s="16">
        <f t="shared" si="3"/>
        <v>5.1553058021967031E-2</v>
      </c>
      <c r="H13" s="16">
        <f t="shared" si="3"/>
        <v>4.3279878734957582E-2</v>
      </c>
      <c r="I13" s="16">
        <f t="shared" ref="I13" si="4">I12/I11</f>
        <v>6.6483347397351011E-2</v>
      </c>
      <c r="J13" s="3">
        <f>AVERAGE(C13:I13)</f>
        <v>4.2737667899576733E-2</v>
      </c>
    </row>
    <row r="14" spans="2:13" x14ac:dyDescent="0.25">
      <c r="B14" t="s">
        <v>33</v>
      </c>
      <c r="C14" s="15">
        <f t="shared" ref="C14:H14" si="5">C12/C9</f>
        <v>1.191207547383374E-3</v>
      </c>
      <c r="D14" s="15">
        <f t="shared" si="5"/>
        <v>1.3371703562843099E-3</v>
      </c>
      <c r="E14" s="15">
        <f t="shared" si="5"/>
        <v>1.2113497616874555E-3</v>
      </c>
      <c r="F14" s="15">
        <f t="shared" si="5"/>
        <v>1.1898249113112852E-3</v>
      </c>
      <c r="G14" s="15">
        <f t="shared" si="5"/>
        <v>2.0663954588213073E-3</v>
      </c>
      <c r="H14" s="15">
        <f t="shared" si="5"/>
        <v>1.4589848667168582E-3</v>
      </c>
      <c r="I14" s="15">
        <f t="shared" ref="I14" si="6">I12/I9</f>
        <v>2.1569336914402356E-3</v>
      </c>
      <c r="J14" s="3">
        <f>AVERAGE(C14:I14)</f>
        <v>1.5159809419492607E-3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2168054</v>
      </c>
      <c r="G16" s="20"/>
      <c r="H16" s="20">
        <v>5733068</v>
      </c>
      <c r="I16" s="20">
        <v>2494078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6.1319039700781404E-3</v>
      </c>
      <c r="G17" s="15">
        <f>G16/G5</f>
        <v>0</v>
      </c>
      <c r="H17" s="15">
        <f>H16/H5</f>
        <v>9.9075021478010564E-3</v>
      </c>
      <c r="I17" s="15">
        <f>I16/I5</f>
        <v>2.2876634387525114E-3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4070</v>
      </c>
      <c r="F19" s="20">
        <v>43784</v>
      </c>
      <c r="G19" s="20">
        <v>81269</v>
      </c>
      <c r="H19" s="20">
        <v>147489</v>
      </c>
      <c r="I19" s="20">
        <v>85284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2.2700537470844743E-5</v>
      </c>
      <c r="F20" s="17">
        <f t="shared" si="7"/>
        <v>1.3122769158669699E-4</v>
      </c>
      <c r="G20" s="17">
        <f t="shared" si="7"/>
        <v>2.3134417388356439E-4</v>
      </c>
      <c r="H20" s="17">
        <f t="shared" si="7"/>
        <v>3.3473264381524061E-4</v>
      </c>
      <c r="I20" s="17">
        <f t="shared" si="7"/>
        <v>9.9820998568924912E-5</v>
      </c>
      <c r="J20" s="3">
        <f>AVERAGE(C20:I20)</f>
        <v>1.1711800647503882E-4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57821</v>
      </c>
      <c r="D22" s="20">
        <v>32497</v>
      </c>
      <c r="E22" s="20">
        <v>59576</v>
      </c>
      <c r="F22" s="20">
        <v>92342</v>
      </c>
      <c r="G22" s="20">
        <v>59886</v>
      </c>
      <c r="H22" s="20">
        <v>127784</v>
      </c>
      <c r="I22" s="20">
        <v>211398</v>
      </c>
      <c r="J22" s="3"/>
    </row>
    <row r="23" spans="2:10" x14ac:dyDescent="0.25">
      <c r="B23" t="s">
        <v>34</v>
      </c>
      <c r="C23" s="15">
        <f t="shared" ref="C23:I23" si="8">C22/C9</f>
        <v>7.1991148689564625E-4</v>
      </c>
      <c r="D23" s="15">
        <f t="shared" si="8"/>
        <v>3.2064421800437733E-4</v>
      </c>
      <c r="E23" s="15">
        <f t="shared" si="8"/>
        <v>3.322867863299868E-4</v>
      </c>
      <c r="F23" s="15">
        <f t="shared" si="8"/>
        <v>2.7676382917272914E-4</v>
      </c>
      <c r="G23" s="18">
        <f t="shared" si="8"/>
        <v>1.7047431612535083E-4</v>
      </c>
      <c r="H23" s="18">
        <f t="shared" si="8"/>
        <v>2.9001129682407981E-4</v>
      </c>
      <c r="I23" s="18">
        <f t="shared" si="8"/>
        <v>2.4743163378211137E-4</v>
      </c>
      <c r="J23" s="3">
        <f>AVERAGE(C23:I23)</f>
        <v>3.3678908101918311E-4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41</v>
      </c>
      <c r="C27" s="3">
        <f>J7+J14-J20+J23</f>
        <v>3.766799557477012E-3</v>
      </c>
      <c r="D27" s="2" t="s">
        <v>85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AVERAGE(GTD!E33:J33)/100</f>
        <v>3.5500000000000015E-3</v>
      </c>
      <c r="D28" s="2" t="s">
        <v>85</v>
      </c>
    </row>
    <row r="29" spans="2:10" x14ac:dyDescent="0.25">
      <c r="B29" t="s">
        <v>36</v>
      </c>
      <c r="C29" s="3">
        <f>C28-C27</f>
        <v>-2.1679955747701046E-4</v>
      </c>
    </row>
    <row r="31" spans="2:10" x14ac:dyDescent="0.25">
      <c r="B31" s="1" t="s">
        <v>37</v>
      </c>
      <c r="C31" s="11">
        <f>I7+J14-I20+I23</f>
        <v>3.1635915771624466E-3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62D4-0311-4C15-9CAB-0AC451E6E3A5}">
  <dimension ref="B2:M36"/>
  <sheetViews>
    <sheetView zoomScaleNormal="100" workbookViewId="0"/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9" width="16.28515625" customWidth="1"/>
    <col min="10" max="10" width="15.42578125" customWidth="1"/>
  </cols>
  <sheetData>
    <row r="2" spans="2:13" x14ac:dyDescent="0.25">
      <c r="B2" s="9" t="s">
        <v>18</v>
      </c>
      <c r="C2" s="10"/>
      <c r="D2" s="10"/>
      <c r="E2" s="10"/>
      <c r="F2" s="10"/>
      <c r="G2" s="10"/>
      <c r="H2" s="10"/>
      <c r="I2" s="10"/>
      <c r="J2" s="10"/>
    </row>
    <row r="3" spans="2:13" x14ac:dyDescent="0.25">
      <c r="B3" t="s">
        <v>65</v>
      </c>
      <c r="M3" t="s">
        <v>38</v>
      </c>
    </row>
    <row r="4" spans="2:13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31</v>
      </c>
      <c r="M4" s="30"/>
    </row>
    <row r="5" spans="2:13" x14ac:dyDescent="0.25">
      <c r="B5" t="s">
        <v>27</v>
      </c>
      <c r="C5" s="19">
        <v>590786984</v>
      </c>
      <c r="D5" s="20">
        <v>722285064</v>
      </c>
      <c r="E5" s="20">
        <v>1085744450</v>
      </c>
      <c r="F5" s="20">
        <v>2020467317</v>
      </c>
      <c r="G5" s="20">
        <v>1829551730</v>
      </c>
      <c r="H5" s="20">
        <v>1685328502</v>
      </c>
      <c r="I5" s="20">
        <v>2170757534</v>
      </c>
      <c r="J5" s="1"/>
      <c r="M5" t="s">
        <v>39</v>
      </c>
    </row>
    <row r="6" spans="2:13" x14ac:dyDescent="0.25">
      <c r="B6" t="s">
        <v>6</v>
      </c>
      <c r="C6" s="19">
        <v>1049432</v>
      </c>
      <c r="D6" s="20">
        <v>1383165</v>
      </c>
      <c r="E6" s="20">
        <v>1596845</v>
      </c>
      <c r="F6" s="20">
        <v>3363704</v>
      </c>
      <c r="G6" s="20">
        <v>3719157</v>
      </c>
      <c r="H6" s="20">
        <v>2951847</v>
      </c>
      <c r="I6" s="20">
        <v>3098267</v>
      </c>
      <c r="M6" t="s">
        <v>40</v>
      </c>
    </row>
    <row r="7" spans="2:13" x14ac:dyDescent="0.25">
      <c r="B7" t="s">
        <v>28</v>
      </c>
      <c r="C7" s="14">
        <v>1.9E-3</v>
      </c>
      <c r="D7" s="14">
        <v>1.9E-3</v>
      </c>
      <c r="E7" s="14">
        <v>1.9E-3</v>
      </c>
      <c r="F7" s="14">
        <v>1.9E-3</v>
      </c>
      <c r="G7" s="14">
        <v>1.9E-3</v>
      </c>
      <c r="H7" s="14">
        <f>((114/366)*0.19%)+((252/366)*0.15%)</f>
        <v>1.6245901639344263E-3</v>
      </c>
      <c r="I7" s="14">
        <v>1.5E-3</v>
      </c>
      <c r="J7" s="3">
        <f>AVERAGE(C7:I7)</f>
        <v>1.8035128805620607E-3</v>
      </c>
      <c r="M7" t="s">
        <v>79</v>
      </c>
    </row>
    <row r="8" spans="2:13" x14ac:dyDescent="0.25">
      <c r="B8" t="s">
        <v>29</v>
      </c>
      <c r="C8" s="19"/>
      <c r="D8" s="19">
        <f t="shared" ref="D8:I8" si="0">(C5+D5)/2</f>
        <v>656536024</v>
      </c>
      <c r="E8" s="19">
        <f t="shared" si="0"/>
        <v>904014757</v>
      </c>
      <c r="F8" s="19">
        <f t="shared" si="0"/>
        <v>1553105883.5</v>
      </c>
      <c r="G8" s="19">
        <f t="shared" si="0"/>
        <v>1925009523.5</v>
      </c>
      <c r="H8" s="19">
        <f t="shared" si="0"/>
        <v>1757440116</v>
      </c>
      <c r="I8" s="19">
        <f t="shared" si="0"/>
        <v>1928043018</v>
      </c>
      <c r="J8" s="3"/>
    </row>
    <row r="9" spans="2:13" x14ac:dyDescent="0.25">
      <c r="B9" t="s">
        <v>30</v>
      </c>
      <c r="C9" s="20">
        <f t="shared" ref="C9:H9" si="1">C6/C7</f>
        <v>552332631.57894742</v>
      </c>
      <c r="D9" s="20">
        <f t="shared" si="1"/>
        <v>727981578.94736838</v>
      </c>
      <c r="E9" s="20">
        <f t="shared" si="1"/>
        <v>840444736.84210527</v>
      </c>
      <c r="F9" s="20">
        <f t="shared" si="1"/>
        <v>1770370526.3157895</v>
      </c>
      <c r="G9" s="20">
        <f t="shared" si="1"/>
        <v>1957451052.6315789</v>
      </c>
      <c r="H9" s="20">
        <f t="shared" si="1"/>
        <v>1816979485.3683147</v>
      </c>
      <c r="I9" s="20">
        <f t="shared" ref="I9" si="2">I6/I7</f>
        <v>2065511333.3333333</v>
      </c>
      <c r="J9" s="3"/>
    </row>
    <row r="10" spans="2:13" x14ac:dyDescent="0.25">
      <c r="C10" s="15"/>
      <c r="D10" s="15"/>
      <c r="E10" s="15"/>
      <c r="F10" s="15"/>
      <c r="G10" s="15"/>
      <c r="H10" s="15"/>
      <c r="I10" s="15"/>
      <c r="J10" s="3"/>
    </row>
    <row r="11" spans="2:13" x14ac:dyDescent="0.25">
      <c r="B11" t="s">
        <v>0</v>
      </c>
      <c r="C11" s="5">
        <v>10217727</v>
      </c>
      <c r="D11" s="5">
        <v>16266986</v>
      </c>
      <c r="E11" s="5">
        <v>17759481</v>
      </c>
      <c r="F11" s="5">
        <v>39527484</v>
      </c>
      <c r="G11" s="5">
        <v>46429139</v>
      </c>
      <c r="H11" s="5">
        <v>44479054</v>
      </c>
      <c r="I11" s="5">
        <v>44662717</v>
      </c>
      <c r="J11" s="3"/>
    </row>
    <row r="12" spans="2:13" x14ac:dyDescent="0.25">
      <c r="B12" t="s">
        <v>1</v>
      </c>
      <c r="C12" s="5">
        <v>1532098</v>
      </c>
      <c r="D12" s="5">
        <v>2439137</v>
      </c>
      <c r="E12" s="5">
        <v>2650584</v>
      </c>
      <c r="F12" s="5">
        <v>5929674</v>
      </c>
      <c r="G12" s="5">
        <v>6964518</v>
      </c>
      <c r="H12" s="5">
        <v>6671858</v>
      </c>
      <c r="I12" s="5">
        <v>6670470</v>
      </c>
      <c r="J12" s="3"/>
    </row>
    <row r="13" spans="2:13" x14ac:dyDescent="0.25">
      <c r="B13" t="s">
        <v>32</v>
      </c>
      <c r="C13" s="16">
        <f t="shared" ref="C13:H13" si="3">C12/C11</f>
        <v>0.14994509052747251</v>
      </c>
      <c r="D13" s="16">
        <f t="shared" si="3"/>
        <v>0.14994400314846279</v>
      </c>
      <c r="E13" s="16">
        <f>E12/E11</f>
        <v>0.14924895609280475</v>
      </c>
      <c r="F13" s="16">
        <f t="shared" si="3"/>
        <v>0.15001394978744409</v>
      </c>
      <c r="G13" s="16">
        <f t="shared" si="3"/>
        <v>0.15000316934587135</v>
      </c>
      <c r="H13" s="16">
        <f t="shared" si="3"/>
        <v>0.14999999775175074</v>
      </c>
      <c r="I13" s="16">
        <f t="shared" ref="I13" si="4">I12/I11</f>
        <v>0.14935208711104611</v>
      </c>
      <c r="J13" s="3">
        <f>AVERAGE(C13:I13)</f>
        <v>0.14978675053783605</v>
      </c>
    </row>
    <row r="14" spans="2:13" x14ac:dyDescent="0.25">
      <c r="B14" t="s">
        <v>33</v>
      </c>
      <c r="C14" s="15">
        <f t="shared" ref="C14:H14" si="5">C12/C9</f>
        <v>2.7738683402068927E-3</v>
      </c>
      <c r="D14" s="15">
        <f t="shared" si="5"/>
        <v>3.3505476931530226E-3</v>
      </c>
      <c r="E14" s="15">
        <f t="shared" si="5"/>
        <v>3.153787374479051E-3</v>
      </c>
      <c r="F14" s="15">
        <f t="shared" si="5"/>
        <v>3.3493971526626599E-3</v>
      </c>
      <c r="G14" s="15">
        <f t="shared" si="5"/>
        <v>3.557952568283619E-3</v>
      </c>
      <c r="H14" s="15">
        <f t="shared" si="5"/>
        <v>3.6719500983510372E-3</v>
      </c>
      <c r="I14" s="15">
        <f t="shared" ref="I14" si="6">I12/I9</f>
        <v>3.2294521421168676E-3</v>
      </c>
      <c r="J14" s="3">
        <f>AVERAGE(C14:I14)</f>
        <v>3.2981364813218783E-3</v>
      </c>
    </row>
    <row r="15" spans="2:13" x14ac:dyDescent="0.25">
      <c r="C15" s="15"/>
      <c r="D15" s="15"/>
      <c r="E15" s="15"/>
      <c r="F15" s="15"/>
      <c r="G15" s="15"/>
      <c r="H15" s="15"/>
      <c r="I15" s="15"/>
      <c r="J15" s="3"/>
    </row>
    <row r="16" spans="2:13" x14ac:dyDescent="0.25">
      <c r="B16" t="s">
        <v>7</v>
      </c>
      <c r="C16" s="20"/>
      <c r="D16" s="20"/>
      <c r="E16" s="20"/>
      <c r="F16" s="20">
        <v>4191238</v>
      </c>
      <c r="G16" s="20"/>
      <c r="H16" s="20">
        <v>109586469</v>
      </c>
      <c r="I16" s="20">
        <v>132363890</v>
      </c>
      <c r="J16" s="3"/>
    </row>
    <row r="17" spans="2:10" x14ac:dyDescent="0.25">
      <c r="C17" s="13"/>
      <c r="D17" s="13"/>
      <c r="E17" s="15">
        <f>E16/E5</f>
        <v>0</v>
      </c>
      <c r="F17" s="15">
        <f>F16/F5</f>
        <v>2.0743903970805977E-3</v>
      </c>
      <c r="G17" s="15">
        <f>G16/G5</f>
        <v>0</v>
      </c>
      <c r="H17" s="15">
        <f>H16/H5</f>
        <v>6.5023803294106994E-2</v>
      </c>
      <c r="I17" s="15">
        <f>I16/I5</f>
        <v>6.0975898011094959E-2</v>
      </c>
      <c r="J17" s="3"/>
    </row>
    <row r="18" spans="2:10" x14ac:dyDescent="0.25">
      <c r="C18" s="13"/>
      <c r="D18" s="13"/>
      <c r="E18" s="13"/>
      <c r="F18" s="13"/>
      <c r="G18" s="13"/>
      <c r="H18" s="13"/>
      <c r="I18" s="13"/>
      <c r="J18" s="3"/>
    </row>
    <row r="19" spans="2:10" x14ac:dyDescent="0.25">
      <c r="B19" t="s">
        <v>3</v>
      </c>
      <c r="D19" s="20"/>
      <c r="E19" s="20">
        <v>23585</v>
      </c>
      <c r="F19" s="20">
        <v>204352</v>
      </c>
      <c r="G19" s="20">
        <v>191141</v>
      </c>
      <c r="H19" s="20">
        <v>287610</v>
      </c>
      <c r="I19" s="20">
        <v>254177</v>
      </c>
      <c r="J19" s="3"/>
    </row>
    <row r="20" spans="2:10" x14ac:dyDescent="0.25">
      <c r="B20" t="s">
        <v>4</v>
      </c>
      <c r="C20" s="17">
        <f t="shared" ref="C20:I20" si="7">C19/C9</f>
        <v>0</v>
      </c>
      <c r="D20" s="17">
        <f t="shared" si="7"/>
        <v>0</v>
      </c>
      <c r="E20" s="17">
        <f t="shared" si="7"/>
        <v>2.806252328810874E-5</v>
      </c>
      <c r="F20" s="17">
        <f t="shared" si="7"/>
        <v>1.1542894380718398E-4</v>
      </c>
      <c r="G20" s="17">
        <f t="shared" si="7"/>
        <v>9.764790784578334E-5</v>
      </c>
      <c r="H20" s="17">
        <f t="shared" si="7"/>
        <v>1.5829017460904321E-4</v>
      </c>
      <c r="I20" s="17">
        <f t="shared" si="7"/>
        <v>1.2305766417161594E-4</v>
      </c>
      <c r="J20" s="3">
        <f>AVERAGE(C20:I20)</f>
        <v>7.464103053167645E-5</v>
      </c>
    </row>
    <row r="21" spans="2:10" x14ac:dyDescent="0.25">
      <c r="C21" s="12"/>
      <c r="D21" s="13"/>
      <c r="E21" s="13"/>
      <c r="F21" s="13"/>
      <c r="G21" s="13"/>
      <c r="H21" s="13"/>
      <c r="I21" s="13"/>
      <c r="J21" s="3"/>
    </row>
    <row r="22" spans="2:10" x14ac:dyDescent="0.25">
      <c r="B22" t="s">
        <v>8</v>
      </c>
      <c r="C22" s="19">
        <v>85794</v>
      </c>
      <c r="D22" s="20">
        <v>109651</v>
      </c>
      <c r="E22" s="20">
        <v>103589</v>
      </c>
      <c r="F22" s="20">
        <v>128797</v>
      </c>
      <c r="G22" s="20">
        <v>90461</v>
      </c>
      <c r="H22" s="20">
        <v>37218</v>
      </c>
      <c r="I22" s="20">
        <v>85891</v>
      </c>
      <c r="J22" s="3"/>
    </row>
    <row r="23" spans="2:10" x14ac:dyDescent="0.25">
      <c r="B23" t="s">
        <v>34</v>
      </c>
      <c r="C23" s="15">
        <f t="shared" ref="C23:I23" si="8">C22/C9</f>
        <v>1.5533031201640505E-4</v>
      </c>
      <c r="D23" s="15">
        <f t="shared" si="8"/>
        <v>1.5062331681325078E-4</v>
      </c>
      <c r="E23" s="15">
        <f t="shared" si="8"/>
        <v>1.2325498091549274E-4</v>
      </c>
      <c r="F23" s="15">
        <f t="shared" si="8"/>
        <v>7.2751437106237648E-5</v>
      </c>
      <c r="G23" s="18">
        <f t="shared" si="8"/>
        <v>4.6213671539007365E-5</v>
      </c>
      <c r="H23" s="18">
        <f t="shared" si="8"/>
        <v>2.0483445355166266E-5</v>
      </c>
      <c r="I23" s="18">
        <f t="shared" si="8"/>
        <v>4.1583407756658806E-5</v>
      </c>
      <c r="J23" s="3">
        <f>AVERAGE(C23:I23)</f>
        <v>8.7177224500316946E-5</v>
      </c>
    </row>
    <row r="24" spans="2:10" x14ac:dyDescent="0.25">
      <c r="C24" s="15"/>
      <c r="D24" s="15"/>
      <c r="E24" s="15"/>
      <c r="F24" s="15"/>
      <c r="G24" s="18"/>
      <c r="H24" s="18"/>
      <c r="I24" s="18"/>
      <c r="J24" s="3"/>
    </row>
    <row r="25" spans="2:10" x14ac:dyDescent="0.25">
      <c r="C25" s="15"/>
      <c r="D25" s="15"/>
      <c r="E25" s="15"/>
      <c r="F25" s="15"/>
      <c r="G25" s="15"/>
      <c r="H25" s="15"/>
      <c r="I25" s="15"/>
      <c r="J25" s="3"/>
    </row>
    <row r="26" spans="2:10" x14ac:dyDescent="0.25">
      <c r="J26" s="18"/>
    </row>
    <row r="27" spans="2:10" x14ac:dyDescent="0.25">
      <c r="B27" t="s">
        <v>41</v>
      </c>
      <c r="C27" s="3">
        <f>J7+J14-J20+J23</f>
        <v>5.1141855558525795E-3</v>
      </c>
      <c r="D27" s="2" t="s">
        <v>85</v>
      </c>
      <c r="E27" s="8"/>
      <c r="F27" s="18"/>
      <c r="G27" s="18"/>
      <c r="H27" s="18"/>
      <c r="I27" s="18"/>
      <c r="J27" s="18"/>
    </row>
    <row r="28" spans="2:10" x14ac:dyDescent="0.25">
      <c r="B28" t="s">
        <v>5</v>
      </c>
      <c r="C28" s="3">
        <f>AVERAGE(GTD!E40:J40)/100</f>
        <v>5.416666666666666E-3</v>
      </c>
      <c r="D28" s="2" t="s">
        <v>85</v>
      </c>
    </row>
    <row r="29" spans="2:10" x14ac:dyDescent="0.25">
      <c r="B29" t="s">
        <v>36</v>
      </c>
      <c r="C29" s="3">
        <f>C28-C27</f>
        <v>3.0248111081408648E-4</v>
      </c>
    </row>
    <row r="31" spans="2:10" x14ac:dyDescent="0.25">
      <c r="B31" s="1" t="s">
        <v>37</v>
      </c>
      <c r="C31" s="11">
        <f>I7+J14-I20+I23</f>
        <v>4.7166622249069203E-3</v>
      </c>
    </row>
    <row r="32" spans="2:10" x14ac:dyDescent="0.25">
      <c r="B32" s="1"/>
      <c r="C32" s="11"/>
    </row>
    <row r="33" spans="2:10" x14ac:dyDescent="0.25">
      <c r="B33" s="1"/>
      <c r="C33" s="11"/>
    </row>
    <row r="34" spans="2:10" x14ac:dyDescent="0.25">
      <c r="C34" s="11"/>
    </row>
    <row r="35" spans="2:10" x14ac:dyDescent="0.25">
      <c r="B35" s="1"/>
      <c r="C35" s="11"/>
      <c r="D35" s="8"/>
      <c r="E35" s="8"/>
      <c r="F35" s="7"/>
      <c r="G35" s="7"/>
      <c r="H35" s="7"/>
      <c r="I35" s="7"/>
      <c r="J35" s="7"/>
    </row>
    <row r="36" spans="2:10" x14ac:dyDescent="0.25">
      <c r="C36" s="8"/>
      <c r="D36" s="8"/>
      <c r="E36" s="8"/>
      <c r="F36" s="7"/>
      <c r="G36" s="7"/>
      <c r="H36" s="7"/>
      <c r="I36" s="7"/>
      <c r="J36" s="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R41"/>
  <sheetViews>
    <sheetView zoomScaleNormal="100" workbookViewId="0">
      <selection activeCell="D1" sqref="D1:N1048576"/>
    </sheetView>
  </sheetViews>
  <sheetFormatPr defaultRowHeight="15" x14ac:dyDescent="0.25"/>
  <cols>
    <col min="2" max="2" width="67.28515625" bestFit="1" customWidth="1"/>
  </cols>
  <sheetData>
    <row r="1" spans="2:18" x14ac:dyDescent="0.25"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5">
        <v>2019</v>
      </c>
      <c r="J1" s="25">
        <v>2020</v>
      </c>
      <c r="K1" s="25">
        <v>2021</v>
      </c>
      <c r="L1" s="25">
        <v>2022</v>
      </c>
      <c r="M1" s="25">
        <v>2023</v>
      </c>
      <c r="N1" s="25">
        <v>2024</v>
      </c>
      <c r="O1" s="25">
        <v>2025</v>
      </c>
      <c r="Q1" s="1" t="s">
        <v>25</v>
      </c>
      <c r="R1" s="1" t="s">
        <v>26</v>
      </c>
    </row>
    <row r="2" spans="2:18" x14ac:dyDescent="0.25">
      <c r="B2" s="21" t="s">
        <v>9</v>
      </c>
      <c r="C2" s="22">
        <v>22.82</v>
      </c>
      <c r="D2" s="22">
        <v>4.28</v>
      </c>
      <c r="E2" s="22">
        <v>-2.23</v>
      </c>
      <c r="F2" s="22">
        <v>7.98</v>
      </c>
      <c r="G2" s="22">
        <v>23.98</v>
      </c>
      <c r="H2" s="22">
        <v>-9.6199999999999992</v>
      </c>
      <c r="I2" s="22">
        <v>26.57</v>
      </c>
      <c r="J2" s="23">
        <v>15.99</v>
      </c>
      <c r="K2" s="23">
        <v>18.329999999999998</v>
      </c>
      <c r="L2" s="23">
        <v>-18.079999999999998</v>
      </c>
      <c r="M2" s="23">
        <v>22.03</v>
      </c>
      <c r="N2" s="23">
        <v>17.190000000000001</v>
      </c>
      <c r="O2" s="23"/>
      <c r="P2" s="23"/>
      <c r="Q2" s="23"/>
      <c r="R2" s="23"/>
    </row>
    <row r="3" spans="2:18" x14ac:dyDescent="0.25">
      <c r="B3" s="21" t="s">
        <v>10</v>
      </c>
      <c r="C3" s="23">
        <v>23.3</v>
      </c>
      <c r="D3" s="23">
        <v>4.8</v>
      </c>
      <c r="E3" s="23">
        <v>-1.7</v>
      </c>
      <c r="F3" s="23">
        <v>8.6</v>
      </c>
      <c r="G3" s="23">
        <v>24.6</v>
      </c>
      <c r="H3" s="23">
        <v>-9.1</v>
      </c>
      <c r="I3" s="23">
        <v>27.2</v>
      </c>
      <c r="J3" s="23">
        <v>16.600000000000001</v>
      </c>
      <c r="K3" s="23">
        <v>18.899999999999999</v>
      </c>
      <c r="L3" s="23">
        <v>-17.7</v>
      </c>
      <c r="M3" s="23">
        <v>22.6</v>
      </c>
      <c r="N3" s="23">
        <v>17.7</v>
      </c>
      <c r="O3" s="23"/>
      <c r="P3" s="23"/>
      <c r="Q3" s="23"/>
      <c r="R3" s="23"/>
    </row>
    <row r="4" spans="2:18" x14ac:dyDescent="0.25">
      <c r="B4" s="21" t="s">
        <v>82</v>
      </c>
      <c r="C4" s="24">
        <v>22.69</v>
      </c>
      <c r="D4" s="24">
        <v>4.2300000000000004</v>
      </c>
      <c r="E4" s="24">
        <v>-2.17</v>
      </c>
      <c r="F4" s="24">
        <v>8</v>
      </c>
      <c r="G4" s="24">
        <v>23.97</v>
      </c>
      <c r="H4" s="24">
        <v>-9.57</v>
      </c>
      <c r="I4" s="24">
        <v>26.52</v>
      </c>
      <c r="J4" s="23">
        <v>16.010000000000002</v>
      </c>
      <c r="K4" s="23">
        <v>18.399999999999999</v>
      </c>
      <c r="L4" s="23">
        <v>-18.07</v>
      </c>
      <c r="M4" s="23">
        <v>22</v>
      </c>
      <c r="N4" s="23">
        <v>17.2</v>
      </c>
      <c r="O4" s="23"/>
      <c r="P4" s="23"/>
      <c r="Q4" s="23"/>
      <c r="R4" s="23"/>
    </row>
    <row r="5" spans="2:18" x14ac:dyDescent="0.25">
      <c r="B5" s="21" t="s">
        <v>11</v>
      </c>
      <c r="C5" s="22">
        <f t="shared" ref="C5:J5" si="0">C3-C2</f>
        <v>0.48000000000000043</v>
      </c>
      <c r="D5" s="22">
        <f t="shared" si="0"/>
        <v>0.51999999999999957</v>
      </c>
      <c r="E5" s="22">
        <f t="shared" si="0"/>
        <v>0.53</v>
      </c>
      <c r="F5" s="22">
        <f t="shared" si="0"/>
        <v>0.61999999999999922</v>
      </c>
      <c r="G5" s="22">
        <f t="shared" si="0"/>
        <v>0.62000000000000099</v>
      </c>
      <c r="H5" s="22">
        <f t="shared" si="0"/>
        <v>0.51999999999999957</v>
      </c>
      <c r="I5" s="22">
        <f t="shared" si="0"/>
        <v>0.62999999999999901</v>
      </c>
      <c r="J5" s="22">
        <f t="shared" si="0"/>
        <v>0.61000000000000121</v>
      </c>
      <c r="K5" s="22">
        <f t="shared" ref="K5:N5" si="1">K3-K2</f>
        <v>0.57000000000000028</v>
      </c>
      <c r="L5" s="22">
        <f t="shared" si="1"/>
        <v>0.37999999999999901</v>
      </c>
      <c r="M5" s="22">
        <f t="shared" si="1"/>
        <v>0.57000000000000028</v>
      </c>
      <c r="N5" s="22">
        <f t="shared" si="1"/>
        <v>0.50999999999999801</v>
      </c>
      <c r="O5" s="22"/>
      <c r="P5" s="23"/>
      <c r="Q5" s="26">
        <f>AVERAGE(C5:N5)</f>
        <v>0.54666666666666652</v>
      </c>
      <c r="R5" s="26"/>
    </row>
    <row r="6" spans="2:18" x14ac:dyDescent="0.25">
      <c r="B6" s="21" t="s">
        <v>12</v>
      </c>
      <c r="C6" s="22">
        <f>C2-C4</f>
        <v>0.12999999999999901</v>
      </c>
      <c r="D6" s="22">
        <f t="shared" ref="D6:J6" si="2">D2-D4</f>
        <v>4.9999999999999822E-2</v>
      </c>
      <c r="E6" s="22">
        <f t="shared" si="2"/>
        <v>-6.0000000000000053E-2</v>
      </c>
      <c r="F6" s="22">
        <f t="shared" si="2"/>
        <v>-1.9999999999999574E-2</v>
      </c>
      <c r="G6" s="22">
        <f t="shared" si="2"/>
        <v>1.0000000000001563E-2</v>
      </c>
      <c r="H6" s="22">
        <f t="shared" si="2"/>
        <v>-4.9999999999998934E-2</v>
      </c>
      <c r="I6" s="22">
        <f t="shared" si="2"/>
        <v>5.0000000000000711E-2</v>
      </c>
      <c r="J6" s="22">
        <f t="shared" si="2"/>
        <v>-2.000000000000135E-2</v>
      </c>
      <c r="K6" s="22">
        <f t="shared" ref="K6:N6" si="3">K2-K4</f>
        <v>-7.0000000000000284E-2</v>
      </c>
      <c r="L6" s="22">
        <f t="shared" si="3"/>
        <v>-9.9999999999980105E-3</v>
      </c>
      <c r="M6" s="22">
        <f t="shared" si="3"/>
        <v>3.0000000000001137E-2</v>
      </c>
      <c r="N6" s="22">
        <f t="shared" si="3"/>
        <v>-9.9999999999980105E-3</v>
      </c>
      <c r="O6" s="22"/>
      <c r="P6" s="23"/>
      <c r="Q6" s="26"/>
      <c r="R6" s="26">
        <f>AVERAGE(C6:N6)</f>
        <v>2.5000000000005018E-3</v>
      </c>
    </row>
    <row r="7" spans="2:18" x14ac:dyDescent="0.25">
      <c r="Q7" s="27"/>
      <c r="R7" s="27"/>
    </row>
    <row r="8" spans="2:18" x14ac:dyDescent="0.25">
      <c r="Q8" s="27"/>
      <c r="R8" s="27"/>
    </row>
    <row r="9" spans="2:18" x14ac:dyDescent="0.25">
      <c r="B9" s="21" t="s">
        <v>53</v>
      </c>
      <c r="C9" s="22"/>
      <c r="D9" s="22"/>
      <c r="E9" s="22">
        <v>-0.81</v>
      </c>
      <c r="F9" s="22">
        <v>7.68</v>
      </c>
      <c r="G9" s="22">
        <v>23.29</v>
      </c>
      <c r="H9" s="22">
        <v>-9.1</v>
      </c>
      <c r="I9" s="22">
        <v>27.42</v>
      </c>
      <c r="J9" s="22">
        <v>16.21</v>
      </c>
      <c r="K9" s="22">
        <v>20.99</v>
      </c>
      <c r="L9" s="22">
        <v>-18.05</v>
      </c>
      <c r="M9" s="22">
        <v>23.84</v>
      </c>
      <c r="N9" s="22">
        <v>17.86</v>
      </c>
      <c r="O9" s="22"/>
      <c r="P9" s="23"/>
      <c r="Q9" s="32"/>
      <c r="R9" s="32"/>
    </row>
    <row r="10" spans="2:18" x14ac:dyDescent="0.25">
      <c r="B10" s="21" t="s">
        <v>54</v>
      </c>
      <c r="C10" s="22"/>
      <c r="D10" s="22"/>
      <c r="E10" s="22">
        <v>-0.3</v>
      </c>
      <c r="F10" s="22">
        <v>8.1999999999999993</v>
      </c>
      <c r="G10" s="22">
        <v>23.9</v>
      </c>
      <c r="H10" s="22">
        <v>-8.6</v>
      </c>
      <c r="I10" s="22">
        <v>28</v>
      </c>
      <c r="J10" s="22">
        <v>16.7</v>
      </c>
      <c r="K10" s="22">
        <v>21.4</v>
      </c>
      <c r="L10" s="22">
        <v>-17.8</v>
      </c>
      <c r="M10" s="22">
        <v>24.2</v>
      </c>
      <c r="N10" s="22">
        <v>18.2</v>
      </c>
      <c r="O10" s="22"/>
      <c r="P10" s="23"/>
      <c r="Q10" s="23"/>
      <c r="R10" s="32"/>
    </row>
    <row r="11" spans="2:18" x14ac:dyDescent="0.25">
      <c r="B11" s="21" t="s">
        <v>55</v>
      </c>
      <c r="C11" s="22"/>
      <c r="D11" s="22"/>
      <c r="E11" s="22">
        <v>-0.81</v>
      </c>
      <c r="F11" s="22">
        <v>7.55</v>
      </c>
      <c r="G11" s="22">
        <v>23.18</v>
      </c>
      <c r="H11" s="22">
        <v>-9.1300000000000008</v>
      </c>
      <c r="I11" s="22">
        <v>27.27</v>
      </c>
      <c r="J11" s="22">
        <v>16.11</v>
      </c>
      <c r="K11" s="22">
        <v>20.87</v>
      </c>
      <c r="L11" s="22">
        <v>-18.149999999999999</v>
      </c>
      <c r="M11" s="22">
        <v>23.61</v>
      </c>
      <c r="N11" s="22">
        <v>17.73</v>
      </c>
      <c r="O11" s="22"/>
      <c r="P11" s="23"/>
      <c r="Q11" s="32"/>
      <c r="R11" s="32"/>
    </row>
    <row r="12" spans="2:18" x14ac:dyDescent="0.25">
      <c r="B12" s="21" t="s">
        <v>11</v>
      </c>
      <c r="C12" s="22"/>
      <c r="D12" s="22"/>
      <c r="E12" s="22">
        <f>E10-E9</f>
        <v>0.51</v>
      </c>
      <c r="F12" s="22">
        <f t="shared" ref="F12:J12" si="4">F10-F9</f>
        <v>0.51999999999999957</v>
      </c>
      <c r="G12" s="22">
        <f t="shared" si="4"/>
        <v>0.60999999999999943</v>
      </c>
      <c r="H12" s="22">
        <f t="shared" si="4"/>
        <v>0.5</v>
      </c>
      <c r="I12" s="22">
        <f t="shared" si="4"/>
        <v>0.57999999999999829</v>
      </c>
      <c r="J12" s="22">
        <f t="shared" si="4"/>
        <v>0.48999999999999844</v>
      </c>
      <c r="K12" s="22">
        <f t="shared" ref="K12:N12" si="5">K10-K9</f>
        <v>0.41000000000000014</v>
      </c>
      <c r="L12" s="22">
        <f t="shared" si="5"/>
        <v>0.25</v>
      </c>
      <c r="M12" s="22">
        <f t="shared" si="5"/>
        <v>0.35999999999999943</v>
      </c>
      <c r="N12" s="22">
        <f t="shared" si="5"/>
        <v>0.33999999999999986</v>
      </c>
      <c r="O12" s="22"/>
      <c r="P12" s="23"/>
      <c r="Q12" s="32">
        <f>AVERAGE(E12:N12)</f>
        <v>0.45699999999999952</v>
      </c>
      <c r="R12" s="32"/>
    </row>
    <row r="13" spans="2:18" x14ac:dyDescent="0.25">
      <c r="B13" s="21" t="s">
        <v>12</v>
      </c>
      <c r="C13" s="22"/>
      <c r="D13" s="22"/>
      <c r="E13" s="22">
        <f>E9-E11</f>
        <v>0</v>
      </c>
      <c r="F13" s="22">
        <f t="shared" ref="F13:J13" si="6">F9-F11</f>
        <v>0.12999999999999989</v>
      </c>
      <c r="G13" s="22">
        <f t="shared" si="6"/>
        <v>0.10999999999999943</v>
      </c>
      <c r="H13" s="22">
        <f t="shared" si="6"/>
        <v>3.0000000000001137E-2</v>
      </c>
      <c r="I13" s="22">
        <f t="shared" si="6"/>
        <v>0.15000000000000213</v>
      </c>
      <c r="J13" s="22">
        <f t="shared" si="6"/>
        <v>0.10000000000000142</v>
      </c>
      <c r="K13" s="22">
        <f t="shared" ref="K13:N13" si="7">K9-K11</f>
        <v>0.11999999999999744</v>
      </c>
      <c r="L13" s="22">
        <f t="shared" si="7"/>
        <v>9.9999999999997868E-2</v>
      </c>
      <c r="M13" s="22">
        <f t="shared" si="7"/>
        <v>0.23000000000000043</v>
      </c>
      <c r="N13" s="22">
        <f t="shared" si="7"/>
        <v>0.12999999999999901</v>
      </c>
      <c r="O13" s="22"/>
      <c r="P13" s="23"/>
      <c r="Q13" s="32"/>
      <c r="R13" s="32">
        <f>AVERAGE(E13:N13)</f>
        <v>0.10999999999999988</v>
      </c>
    </row>
    <row r="15" spans="2:18" x14ac:dyDescent="0.25">
      <c r="B15" s="21"/>
    </row>
    <row r="16" spans="2:18" x14ac:dyDescent="0.25">
      <c r="B16" s="33" t="s">
        <v>56</v>
      </c>
      <c r="C16" s="34">
        <v>-3.96</v>
      </c>
      <c r="D16" s="34">
        <v>1.0900000000000001</v>
      </c>
      <c r="E16" s="34">
        <v>-15.51</v>
      </c>
      <c r="F16" s="34">
        <v>12.76</v>
      </c>
      <c r="G16" s="34">
        <v>31.89</v>
      </c>
      <c r="H16" s="34">
        <v>-13.5</v>
      </c>
      <c r="I16" s="34">
        <v>19.66</v>
      </c>
      <c r="J16" s="34">
        <v>14.66</v>
      </c>
      <c r="K16" s="34">
        <v>-0.66</v>
      </c>
      <c r="L16" s="34">
        <v>-17.5</v>
      </c>
      <c r="M16" s="34">
        <v>7.86</v>
      </c>
      <c r="N16" s="34">
        <v>12.06</v>
      </c>
      <c r="O16" s="34"/>
      <c r="P16" s="34"/>
      <c r="Q16" s="34"/>
    </row>
    <row r="17" spans="2:18" x14ac:dyDescent="0.25">
      <c r="B17" s="33" t="s">
        <v>57</v>
      </c>
      <c r="C17" s="34">
        <v>-3.5</v>
      </c>
      <c r="D17" s="34">
        <v>1.6</v>
      </c>
      <c r="E17" s="34">
        <v>-15.2</v>
      </c>
      <c r="F17" s="34">
        <v>13.5</v>
      </c>
      <c r="G17" s="34">
        <v>32.5</v>
      </c>
      <c r="H17" s="34">
        <v>-13</v>
      </c>
      <c r="I17" s="34">
        <v>20.6</v>
      </c>
      <c r="J17" s="34">
        <v>15.5</v>
      </c>
      <c r="K17" s="34">
        <v>0.1</v>
      </c>
      <c r="L17" s="34">
        <v>-16.899999999999999</v>
      </c>
      <c r="M17" s="34">
        <v>9.1</v>
      </c>
      <c r="N17" s="34">
        <v>12.8</v>
      </c>
      <c r="O17" s="34"/>
      <c r="P17" s="34"/>
      <c r="Q17" s="34"/>
    </row>
    <row r="18" spans="2:18" x14ac:dyDescent="0.25">
      <c r="B18" s="33" t="s">
        <v>58</v>
      </c>
      <c r="C18" s="34">
        <v>-3.79</v>
      </c>
      <c r="D18" s="34">
        <v>1.1200000000000001</v>
      </c>
      <c r="E18" s="34">
        <v>-15.51</v>
      </c>
      <c r="F18" s="34">
        <v>13.14</v>
      </c>
      <c r="G18" s="34">
        <v>32.08</v>
      </c>
      <c r="H18" s="34">
        <v>-13.34</v>
      </c>
      <c r="I18" s="34">
        <v>20.100000000000001</v>
      </c>
      <c r="J18" s="34">
        <v>15.12</v>
      </c>
      <c r="K18" s="34">
        <v>-0.24</v>
      </c>
      <c r="L18" s="34">
        <v>-17.27</v>
      </c>
      <c r="M18" s="34">
        <v>8.64</v>
      </c>
      <c r="N18" s="34">
        <v>12.35</v>
      </c>
      <c r="O18" s="34"/>
      <c r="P18" s="35"/>
    </row>
    <row r="19" spans="2:18" x14ac:dyDescent="0.25">
      <c r="B19" s="33" t="s">
        <v>11</v>
      </c>
      <c r="C19" s="34">
        <f>C17-C16</f>
        <v>0.45999999999999996</v>
      </c>
      <c r="D19" s="34">
        <f t="shared" ref="D19:N19" si="8">D17-D16</f>
        <v>0.51</v>
      </c>
      <c r="E19" s="34">
        <f t="shared" si="8"/>
        <v>0.3100000000000005</v>
      </c>
      <c r="F19" s="34">
        <f t="shared" si="8"/>
        <v>0.74000000000000021</v>
      </c>
      <c r="G19" s="34">
        <f t="shared" si="8"/>
        <v>0.60999999999999943</v>
      </c>
      <c r="H19" s="34">
        <f t="shared" si="8"/>
        <v>0.5</v>
      </c>
      <c r="I19" s="34">
        <f t="shared" si="8"/>
        <v>0.94000000000000128</v>
      </c>
      <c r="J19" s="34">
        <f t="shared" si="8"/>
        <v>0.83999999999999986</v>
      </c>
      <c r="K19" s="34">
        <f t="shared" si="8"/>
        <v>0.76</v>
      </c>
      <c r="L19" s="34">
        <f t="shared" si="8"/>
        <v>0.60000000000000142</v>
      </c>
      <c r="M19" s="34">
        <f t="shared" si="8"/>
        <v>1.2399999999999993</v>
      </c>
      <c r="N19" s="34">
        <f t="shared" si="8"/>
        <v>0.74000000000000021</v>
      </c>
      <c r="O19" s="34"/>
      <c r="Q19" s="35">
        <f>AVERAGE(C19:N19)</f>
        <v>0.68750000000000011</v>
      </c>
      <c r="R19" s="34"/>
    </row>
    <row r="20" spans="2:18" x14ac:dyDescent="0.25">
      <c r="B20" s="33" t="s">
        <v>12</v>
      </c>
      <c r="C20" s="34">
        <f>C16-C18</f>
        <v>-0.16999999999999993</v>
      </c>
      <c r="D20" s="34">
        <f t="shared" ref="D20:N20" si="9">D16-D18</f>
        <v>-3.0000000000000027E-2</v>
      </c>
      <c r="E20" s="34">
        <f t="shared" si="9"/>
        <v>0</v>
      </c>
      <c r="F20" s="34">
        <f t="shared" si="9"/>
        <v>-0.38000000000000078</v>
      </c>
      <c r="G20" s="34">
        <f t="shared" si="9"/>
        <v>-0.18999999999999773</v>
      </c>
      <c r="H20" s="34">
        <f t="shared" si="9"/>
        <v>-0.16000000000000014</v>
      </c>
      <c r="I20" s="34">
        <f t="shared" si="9"/>
        <v>-0.44000000000000128</v>
      </c>
      <c r="J20" s="34">
        <f t="shared" si="9"/>
        <v>-0.45999999999999908</v>
      </c>
      <c r="K20" s="34">
        <f t="shared" si="9"/>
        <v>-0.42000000000000004</v>
      </c>
      <c r="L20" s="34">
        <f t="shared" si="9"/>
        <v>-0.23000000000000043</v>
      </c>
      <c r="M20" s="34">
        <f t="shared" si="9"/>
        <v>-0.78000000000000025</v>
      </c>
      <c r="N20" s="34">
        <f t="shared" si="9"/>
        <v>-0.28999999999999915</v>
      </c>
      <c r="O20" s="34"/>
      <c r="Q20" s="34"/>
      <c r="R20" s="35">
        <f>AVERAGE(C20:N20)</f>
        <v>-0.29583333333333323</v>
      </c>
    </row>
    <row r="23" spans="2:18" x14ac:dyDescent="0.25">
      <c r="B23" s="33" t="s">
        <v>67</v>
      </c>
      <c r="D23">
        <v>7.16</v>
      </c>
      <c r="E23">
        <v>8.93</v>
      </c>
      <c r="F23">
        <v>2.76</v>
      </c>
      <c r="G23">
        <v>10.73</v>
      </c>
      <c r="H23">
        <v>-10.47</v>
      </c>
      <c r="I23">
        <v>26.45</v>
      </c>
      <c r="J23">
        <v>-2.56</v>
      </c>
      <c r="K23">
        <v>25.2</v>
      </c>
    </row>
    <row r="24" spans="2:18" x14ac:dyDescent="0.25">
      <c r="B24" s="33" t="s">
        <v>68</v>
      </c>
      <c r="D24">
        <v>7.4</v>
      </c>
      <c r="E24">
        <v>9.3000000000000007</v>
      </c>
      <c r="F24">
        <v>3.1</v>
      </c>
      <c r="G24">
        <v>11.1</v>
      </c>
      <c r="H24">
        <v>-10.1</v>
      </c>
      <c r="I24">
        <v>26.9</v>
      </c>
      <c r="J24">
        <v>-2.2000000000000002</v>
      </c>
      <c r="K24">
        <v>25.5</v>
      </c>
    </row>
    <row r="25" spans="2:18" x14ac:dyDescent="0.25">
      <c r="B25" s="33" t="s">
        <v>69</v>
      </c>
      <c r="D25">
        <v>6.83</v>
      </c>
      <c r="E25">
        <v>8.67</v>
      </c>
      <c r="F25">
        <v>2.4500000000000002</v>
      </c>
      <c r="G25">
        <v>10.49</v>
      </c>
      <c r="H25">
        <v>-10.68</v>
      </c>
      <c r="I25">
        <v>26.11</v>
      </c>
      <c r="J25">
        <v>-2.71</v>
      </c>
      <c r="K25">
        <v>24.86</v>
      </c>
    </row>
    <row r="26" spans="2:18" x14ac:dyDescent="0.25">
      <c r="B26" s="33" t="s">
        <v>11</v>
      </c>
      <c r="D26" s="34">
        <f t="shared" ref="D26:J26" si="10">D24-D23</f>
        <v>0.24000000000000021</v>
      </c>
      <c r="E26" s="34">
        <f t="shared" si="10"/>
        <v>0.37000000000000099</v>
      </c>
      <c r="F26" s="34">
        <f t="shared" si="10"/>
        <v>0.3400000000000003</v>
      </c>
      <c r="G26" s="34">
        <f t="shared" si="10"/>
        <v>0.36999999999999922</v>
      </c>
      <c r="H26" s="34">
        <f t="shared" si="10"/>
        <v>0.37000000000000099</v>
      </c>
      <c r="I26" s="34">
        <f t="shared" si="10"/>
        <v>0.44999999999999929</v>
      </c>
      <c r="J26" s="34">
        <f t="shared" si="10"/>
        <v>0.35999999999999988</v>
      </c>
      <c r="K26" s="34">
        <f t="shared" ref="K26" si="11">K24-K23</f>
        <v>0.30000000000000071</v>
      </c>
      <c r="L26" s="34"/>
      <c r="M26" s="34"/>
      <c r="N26" s="34"/>
      <c r="O26" s="34"/>
      <c r="Q26" s="35">
        <f>AVERAGE(D26:K26)</f>
        <v>0.3500000000000002</v>
      </c>
      <c r="R26" s="34"/>
    </row>
    <row r="27" spans="2:18" x14ac:dyDescent="0.25">
      <c r="B27" s="33" t="s">
        <v>12</v>
      </c>
      <c r="D27" s="34">
        <f t="shared" ref="D27:J27" si="12">D23-D25</f>
        <v>0.33000000000000007</v>
      </c>
      <c r="E27" s="34">
        <f t="shared" si="12"/>
        <v>0.25999999999999979</v>
      </c>
      <c r="F27" s="34">
        <f t="shared" si="12"/>
        <v>0.30999999999999961</v>
      </c>
      <c r="G27" s="34">
        <f t="shared" si="12"/>
        <v>0.24000000000000021</v>
      </c>
      <c r="H27" s="34">
        <f t="shared" si="12"/>
        <v>0.20999999999999908</v>
      </c>
      <c r="I27" s="34">
        <f t="shared" si="12"/>
        <v>0.33999999999999986</v>
      </c>
      <c r="J27" s="34">
        <f t="shared" si="12"/>
        <v>0.14999999999999991</v>
      </c>
      <c r="K27" s="34">
        <f t="shared" ref="K27" si="13">K23-K25</f>
        <v>0.33999999999999986</v>
      </c>
      <c r="L27" s="34"/>
      <c r="M27" s="34"/>
      <c r="N27" s="34"/>
      <c r="O27" s="34"/>
      <c r="Q27" s="34"/>
      <c r="R27" s="35">
        <f>AVERAGE(D27:K27)</f>
        <v>0.2724999999999998</v>
      </c>
    </row>
    <row r="30" spans="2:18" x14ac:dyDescent="0.25">
      <c r="B30" s="1" t="s">
        <v>70</v>
      </c>
      <c r="D30">
        <v>-3.76</v>
      </c>
      <c r="E30">
        <v>-8.3000000000000007</v>
      </c>
      <c r="F30">
        <v>8.49</v>
      </c>
      <c r="G30">
        <v>32.21</v>
      </c>
      <c r="H30">
        <v>-14.37</v>
      </c>
      <c r="I30">
        <v>16.97</v>
      </c>
      <c r="J30">
        <v>18.670000000000002</v>
      </c>
      <c r="K30">
        <v>1.05</v>
      </c>
    </row>
    <row r="31" spans="2:18" x14ac:dyDescent="0.25">
      <c r="B31" s="33" t="s">
        <v>71</v>
      </c>
      <c r="D31">
        <v>-3.2</v>
      </c>
      <c r="E31">
        <v>-8</v>
      </c>
      <c r="F31">
        <v>8.9</v>
      </c>
      <c r="G31">
        <v>32.700000000000003</v>
      </c>
      <c r="H31">
        <v>-14</v>
      </c>
      <c r="I31">
        <v>17.399999999999999</v>
      </c>
      <c r="J31">
        <v>18.8</v>
      </c>
      <c r="K31">
        <v>1.4</v>
      </c>
    </row>
    <row r="32" spans="2:18" x14ac:dyDescent="0.25">
      <c r="B32" s="33" t="s">
        <v>74</v>
      </c>
      <c r="D32">
        <v>-3.36</v>
      </c>
      <c r="E32">
        <v>-8.17</v>
      </c>
      <c r="F32">
        <v>8.6199999999999992</v>
      </c>
      <c r="G32">
        <v>32.409999999999997</v>
      </c>
      <c r="H32">
        <v>-14.23</v>
      </c>
      <c r="I32">
        <v>17.09</v>
      </c>
      <c r="J32">
        <v>18.59</v>
      </c>
      <c r="K32">
        <v>1.25</v>
      </c>
    </row>
    <row r="33" spans="2:18" x14ac:dyDescent="0.25">
      <c r="B33" s="33" t="s">
        <v>11</v>
      </c>
      <c r="C33" s="34"/>
      <c r="D33" s="34">
        <f t="shared" ref="D33:J33" si="14">D31-D30</f>
        <v>0.55999999999999961</v>
      </c>
      <c r="E33" s="34">
        <f t="shared" si="14"/>
        <v>0.30000000000000071</v>
      </c>
      <c r="F33" s="34">
        <f t="shared" si="14"/>
        <v>0.41000000000000014</v>
      </c>
      <c r="G33" s="34">
        <f t="shared" si="14"/>
        <v>0.49000000000000199</v>
      </c>
      <c r="H33" s="34">
        <f t="shared" si="14"/>
        <v>0.36999999999999922</v>
      </c>
      <c r="I33" s="34">
        <f t="shared" si="14"/>
        <v>0.42999999999999972</v>
      </c>
      <c r="J33" s="34">
        <f t="shared" si="14"/>
        <v>0.12999999999999901</v>
      </c>
      <c r="K33" s="34">
        <f t="shared" ref="K33" si="15">K31-K30</f>
        <v>0.34999999999999987</v>
      </c>
      <c r="L33" s="34"/>
      <c r="M33" s="34"/>
      <c r="N33" s="34"/>
      <c r="O33" s="34"/>
      <c r="Q33" s="35">
        <f>AVERAGE(D33:K33)</f>
        <v>0.38</v>
      </c>
      <c r="R33" s="34"/>
    </row>
    <row r="34" spans="2:18" x14ac:dyDescent="0.25">
      <c r="B34" s="33" t="s">
        <v>12</v>
      </c>
      <c r="C34" s="34"/>
      <c r="D34" s="34">
        <f t="shared" ref="D34:J34" si="16">D30-D32</f>
        <v>-0.39999999999999991</v>
      </c>
      <c r="E34" s="34">
        <f t="shared" si="16"/>
        <v>-0.13000000000000078</v>
      </c>
      <c r="F34" s="34">
        <f t="shared" si="16"/>
        <v>-0.12999999999999901</v>
      </c>
      <c r="G34" s="34">
        <f t="shared" si="16"/>
        <v>-0.19999999999999574</v>
      </c>
      <c r="H34" s="34">
        <f t="shared" si="16"/>
        <v>-0.13999999999999879</v>
      </c>
      <c r="I34" s="34">
        <f t="shared" si="16"/>
        <v>-0.12000000000000099</v>
      </c>
      <c r="J34" s="34">
        <f t="shared" si="16"/>
        <v>8.0000000000001847E-2</v>
      </c>
      <c r="K34" s="34">
        <f t="shared" ref="K34" si="17">K30-K32</f>
        <v>-0.19999999999999996</v>
      </c>
      <c r="L34" s="34"/>
      <c r="M34" s="34"/>
      <c r="N34" s="34"/>
      <c r="O34" s="34"/>
      <c r="Q34" s="34"/>
      <c r="R34" s="35">
        <f>AVERAGE(D34:K34)</f>
        <v>-0.15499999999999917</v>
      </c>
    </row>
    <row r="37" spans="2:18" x14ac:dyDescent="0.25">
      <c r="B37" s="33" t="s">
        <v>72</v>
      </c>
      <c r="D37">
        <v>-3.91</v>
      </c>
      <c r="E37">
        <v>10.59</v>
      </c>
      <c r="F37">
        <v>2.29</v>
      </c>
      <c r="G37">
        <v>24.71</v>
      </c>
      <c r="H37">
        <v>-13.42</v>
      </c>
      <c r="I37">
        <v>18.829999999999998</v>
      </c>
      <c r="J37">
        <v>14.05</v>
      </c>
      <c r="K37">
        <v>1.07</v>
      </c>
    </row>
    <row r="38" spans="2:18" x14ac:dyDescent="0.25">
      <c r="B38" s="33" t="s">
        <v>83</v>
      </c>
      <c r="D38">
        <v>-3.3</v>
      </c>
      <c r="E38">
        <v>11.1</v>
      </c>
      <c r="F38">
        <v>2.8</v>
      </c>
      <c r="G38">
        <v>25.3</v>
      </c>
      <c r="H38">
        <v>-13</v>
      </c>
      <c r="I38">
        <v>19.5</v>
      </c>
      <c r="J38">
        <v>14.6</v>
      </c>
      <c r="K38">
        <v>1.5</v>
      </c>
    </row>
    <row r="39" spans="2:18" x14ac:dyDescent="0.25">
      <c r="B39" s="33" t="s">
        <v>73</v>
      </c>
      <c r="D39">
        <v>-3.59</v>
      </c>
      <c r="E39">
        <v>10.82</v>
      </c>
      <c r="F39">
        <v>2.5</v>
      </c>
      <c r="G39">
        <v>24.89</v>
      </c>
      <c r="H39">
        <v>-13.28</v>
      </c>
      <c r="I39">
        <v>19</v>
      </c>
      <c r="J39">
        <v>14.19</v>
      </c>
      <c r="K39">
        <v>1.2</v>
      </c>
    </row>
    <row r="40" spans="2:18" x14ac:dyDescent="0.25">
      <c r="B40" s="33" t="s">
        <v>11</v>
      </c>
      <c r="D40" s="34">
        <f t="shared" ref="D40:J40" si="18">D38-D37</f>
        <v>0.61000000000000032</v>
      </c>
      <c r="E40" s="34">
        <f t="shared" si="18"/>
        <v>0.50999999999999979</v>
      </c>
      <c r="F40" s="34">
        <f t="shared" si="18"/>
        <v>0.50999999999999979</v>
      </c>
      <c r="G40" s="34">
        <f t="shared" si="18"/>
        <v>0.58999999999999986</v>
      </c>
      <c r="H40" s="34">
        <f t="shared" si="18"/>
        <v>0.41999999999999993</v>
      </c>
      <c r="I40" s="34">
        <f t="shared" si="18"/>
        <v>0.67000000000000171</v>
      </c>
      <c r="J40" s="34">
        <f t="shared" si="18"/>
        <v>0.54999999999999893</v>
      </c>
      <c r="K40" s="34">
        <f t="shared" ref="K40" si="19">K38-K37</f>
        <v>0.42999999999999994</v>
      </c>
      <c r="L40" s="34"/>
      <c r="M40" s="34"/>
      <c r="N40" s="34"/>
      <c r="O40" s="34"/>
      <c r="Q40" s="35">
        <f>AVERAGE(D40:K40)</f>
        <v>0.53625</v>
      </c>
      <c r="R40" s="34"/>
    </row>
    <row r="41" spans="2:18" x14ac:dyDescent="0.25">
      <c r="B41" s="33" t="s">
        <v>12</v>
      </c>
      <c r="D41" s="34">
        <f t="shared" ref="D41:J41" si="20">D37-D39</f>
        <v>-0.32000000000000028</v>
      </c>
      <c r="E41" s="34">
        <f t="shared" si="20"/>
        <v>-0.23000000000000043</v>
      </c>
      <c r="F41" s="34">
        <f t="shared" si="20"/>
        <v>-0.20999999999999996</v>
      </c>
      <c r="G41" s="34">
        <f t="shared" si="20"/>
        <v>-0.17999999999999972</v>
      </c>
      <c r="H41" s="34">
        <f t="shared" si="20"/>
        <v>-0.14000000000000057</v>
      </c>
      <c r="I41" s="34">
        <f t="shared" si="20"/>
        <v>-0.17000000000000171</v>
      </c>
      <c r="J41" s="34">
        <f t="shared" si="20"/>
        <v>-0.13999999999999879</v>
      </c>
      <c r="K41" s="34">
        <f t="shared" ref="K41" si="21">K37-K39</f>
        <v>-0.12999999999999989</v>
      </c>
      <c r="L41" s="34"/>
      <c r="M41" s="34"/>
      <c r="N41" s="34"/>
      <c r="O41" s="34"/>
      <c r="Q41" s="34"/>
      <c r="R41" s="35">
        <f>AVERAGE(D41:K41)</f>
        <v>-0.19000000000000017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topLeftCell="B1" workbookViewId="0">
      <selection activeCell="G9" sqref="G9"/>
    </sheetView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42</v>
      </c>
    </row>
    <row r="2" spans="2:10" x14ac:dyDescent="0.25">
      <c r="B2" s="1" t="s">
        <v>22</v>
      </c>
      <c r="C2" s="4"/>
      <c r="D2" s="4"/>
      <c r="E2" s="4"/>
      <c r="F2" s="4"/>
      <c r="G2" s="4"/>
      <c r="H2" s="4">
        <f>37489/296356</f>
        <v>0.12649988527311748</v>
      </c>
      <c r="J2" s="29">
        <f>AVERAGE(C2:H2)</f>
        <v>0.12649988527311748</v>
      </c>
    </row>
    <row r="3" spans="2:10" x14ac:dyDescent="0.25">
      <c r="B3" s="1" t="s">
        <v>23</v>
      </c>
      <c r="C3" s="4">
        <f>87602/47464893</f>
        <v>1.8456167171808436E-3</v>
      </c>
      <c r="D3" s="4">
        <f>568633/61443719</f>
        <v>9.2545342185423388E-3</v>
      </c>
      <c r="E3" s="4">
        <f>1476432/105359240</f>
        <v>1.4013312928225375E-2</v>
      </c>
      <c r="F3" s="4">
        <f>895025/81673540</f>
        <v>1.0958567487095576E-2</v>
      </c>
      <c r="G3" s="4">
        <f>1522926/110267237</f>
        <v>1.3811228443132206E-2</v>
      </c>
      <c r="H3" s="4">
        <f>1667965/126621109</f>
        <v>1.3172882572052026E-2</v>
      </c>
      <c r="J3" s="29">
        <f t="shared" ref="J3:J13" si="0">AVERAGE(C3:H3)</f>
        <v>1.050935706103806E-2</v>
      </c>
    </row>
    <row r="4" spans="2:10" x14ac:dyDescent="0.25">
      <c r="B4" s="1" t="s">
        <v>24</v>
      </c>
      <c r="C4" s="4"/>
      <c r="D4" s="4"/>
      <c r="E4" s="4"/>
      <c r="F4" s="4"/>
      <c r="G4" s="4"/>
      <c r="H4" s="4"/>
      <c r="J4" s="29">
        <f>VWRL!N12</f>
        <v>0.11605882428458264</v>
      </c>
    </row>
    <row r="5" spans="2:10" x14ac:dyDescent="0.25">
      <c r="B5" s="1" t="s">
        <v>21</v>
      </c>
      <c r="C5" s="4">
        <f>276998/3363386</f>
        <v>8.2356886780167365E-2</v>
      </c>
      <c r="D5" s="4">
        <f>993993/9974527</f>
        <v>9.9653146459977499E-2</v>
      </c>
      <c r="E5" s="4">
        <f>1526539/14343861</f>
        <v>0.10642455333330406</v>
      </c>
      <c r="F5" s="4">
        <f>1933590/18057679</f>
        <v>0.10707854536565857</v>
      </c>
      <c r="G5" s="4">
        <f>2658425/25206083</f>
        <v>0.10546759684953827</v>
      </c>
      <c r="H5" s="4">
        <f>3332714/30787587</f>
        <v>0.10824862630514044</v>
      </c>
      <c r="I5" s="28"/>
      <c r="J5" s="29">
        <f t="shared" si="0"/>
        <v>0.10153822584896437</v>
      </c>
    </row>
    <row r="6" spans="2:10" x14ac:dyDescent="0.25">
      <c r="B6" s="1" t="s">
        <v>13</v>
      </c>
      <c r="C6" s="4">
        <f>38753/1151217</f>
        <v>3.3662637018042646E-2</v>
      </c>
      <c r="D6" s="4">
        <f>95674/2910412</f>
        <v>3.2873009044767545E-2</v>
      </c>
      <c r="E6" s="4">
        <f>135521/3697627</f>
        <v>3.6650803339547226E-2</v>
      </c>
      <c r="F6" s="4">
        <f>217184/6020134</f>
        <v>3.6076273385276809E-2</v>
      </c>
      <c r="G6" s="4">
        <f>396984/12310610</f>
        <v>3.2247305373169971E-2</v>
      </c>
      <c r="H6" s="4">
        <f>725905/14080736</f>
        <v>5.1553058021967031E-2</v>
      </c>
      <c r="I6" s="28"/>
      <c r="J6" s="29">
        <f t="shared" si="0"/>
        <v>3.7177181030461866E-2</v>
      </c>
    </row>
    <row r="7" spans="2:10" x14ac:dyDescent="0.25">
      <c r="B7" s="1" t="s">
        <v>14</v>
      </c>
      <c r="C7" s="4">
        <f>449779/6453840</f>
        <v>6.9691687429499341E-2</v>
      </c>
      <c r="D7" s="4">
        <f>98042/1768698</f>
        <v>5.5431735660921196E-2</v>
      </c>
      <c r="E7" s="4">
        <f>1214196/16699948</f>
        <v>7.2706573697115709E-2</v>
      </c>
      <c r="F7" s="4">
        <f>2137859/28612288</f>
        <v>7.4718211979412488E-2</v>
      </c>
      <c r="G7" s="4">
        <f>4211322/55451908</f>
        <v>7.5945484148173939E-2</v>
      </c>
      <c r="H7" s="4">
        <f>4497447/63355725</f>
        <v>7.0987223333013716E-2</v>
      </c>
      <c r="I7" s="28"/>
      <c r="J7" s="29">
        <f t="shared" si="0"/>
        <v>6.9913486041356068E-2</v>
      </c>
    </row>
    <row r="8" spans="2:10" x14ac:dyDescent="0.25">
      <c r="B8" s="1" t="s">
        <v>15</v>
      </c>
      <c r="C8" s="4"/>
      <c r="D8" s="4">
        <f>146930/1398033</f>
        <v>0.10509766221541265</v>
      </c>
      <c r="E8" s="4">
        <f>721453/6516531</f>
        <v>0.1107112050874921</v>
      </c>
      <c r="F8" s="4">
        <f>1277534/12552233</f>
        <v>0.10177742876506515</v>
      </c>
      <c r="G8" s="4">
        <f>3575141/33665380</f>
        <v>0.1061963655244646</v>
      </c>
      <c r="H8" s="4">
        <f>3893883/38411323</f>
        <v>0.10137331119784652</v>
      </c>
      <c r="J8" s="29">
        <f t="shared" si="0"/>
        <v>0.10503119455805621</v>
      </c>
    </row>
    <row r="9" spans="2:10" x14ac:dyDescent="0.25">
      <c r="B9" s="1" t="s">
        <v>16</v>
      </c>
      <c r="C9" s="4"/>
      <c r="D9" s="4">
        <f>66149/572890</f>
        <v>0.11546544711899318</v>
      </c>
      <c r="E9" s="4">
        <f>156844/1316266</f>
        <v>0.11915828563527434</v>
      </c>
      <c r="F9" s="4">
        <f>255100/2129637</f>
        <v>0.1197856723939338</v>
      </c>
      <c r="G9" s="4">
        <f>487837/3930173</f>
        <v>0.12412608808823429</v>
      </c>
      <c r="H9" s="4">
        <f>877262/7446153</f>
        <v>0.11781412495821668</v>
      </c>
      <c r="I9" s="28"/>
      <c r="J9" s="29">
        <f t="shared" si="0"/>
        <v>0.11926992363893045</v>
      </c>
    </row>
    <row r="10" spans="2:10" x14ac:dyDescent="0.25">
      <c r="B10" s="1" t="s">
        <v>17</v>
      </c>
      <c r="C10" s="4">
        <f>298586/3325881</f>
        <v>8.9776513350898604E-2</v>
      </c>
      <c r="D10" s="4">
        <f>1274164/13386831</f>
        <v>9.5180405280383379E-2</v>
      </c>
      <c r="E10" s="4">
        <f>1706810/17405209</f>
        <v>9.8063171778057942E-2</v>
      </c>
      <c r="F10" s="4">
        <f>3013440/29020960</f>
        <v>0.10383667528572453</v>
      </c>
      <c r="G10" s="4">
        <f>4856073/44723633</f>
        <v>0.10857957357802306</v>
      </c>
      <c r="H10" s="4">
        <f>5576288/55691122</f>
        <v>0.10012884998079227</v>
      </c>
      <c r="I10" s="28"/>
      <c r="J10" s="29">
        <f t="shared" si="0"/>
        <v>9.9260864875646629E-2</v>
      </c>
    </row>
    <row r="11" spans="2:10" x14ac:dyDescent="0.25">
      <c r="B11" s="1" t="s">
        <v>18</v>
      </c>
      <c r="C11" s="4">
        <f>160529/1233458</f>
        <v>0.1301454934014778</v>
      </c>
      <c r="D11" s="4">
        <f>1532098/10217727</f>
        <v>0.14994509052747251</v>
      </c>
      <c r="E11" s="4">
        <f>2439137/16266986</f>
        <v>0.14994400314846279</v>
      </c>
      <c r="F11" s="4">
        <f>2650584/17759481</f>
        <v>0.14924895609280475</v>
      </c>
      <c r="G11" s="4">
        <f>5929674/39527484</f>
        <v>0.15001394978744409</v>
      </c>
      <c r="H11" s="4">
        <f>6964518/46429139</f>
        <v>0.15000316934587135</v>
      </c>
      <c r="I11" s="28"/>
      <c r="J11" s="29">
        <f t="shared" si="0"/>
        <v>0.14655011038392221</v>
      </c>
    </row>
    <row r="12" spans="2:10" x14ac:dyDescent="0.25">
      <c r="B12" s="1" t="s">
        <v>19</v>
      </c>
      <c r="C12" s="4"/>
      <c r="D12" s="4">
        <f>39362/256875</f>
        <v>0.15323406326034064</v>
      </c>
      <c r="E12" s="4">
        <f>65794/408533</f>
        <v>0.16104941338888168</v>
      </c>
      <c r="F12" s="4">
        <f>133040/825605</f>
        <v>0.16114243494164884</v>
      </c>
      <c r="G12" s="4">
        <f>433061/2477912</f>
        <v>0.17476851478180017</v>
      </c>
      <c r="H12" s="4">
        <f>689318/4448721</f>
        <v>0.15494745568445403</v>
      </c>
      <c r="I12" s="28"/>
      <c r="J12" s="29">
        <f t="shared" si="0"/>
        <v>0.16102837641142506</v>
      </c>
    </row>
    <row r="13" spans="2:10" x14ac:dyDescent="0.25">
      <c r="B13" s="1" t="s">
        <v>20</v>
      </c>
      <c r="C13" s="4">
        <f>7721652/52371805</f>
        <v>0.14743910392242543</v>
      </c>
      <c r="D13" s="4">
        <f>27863194/196059743</f>
        <v>0.14211583455967297</v>
      </c>
      <c r="E13" s="4">
        <f>41287532/271884091</f>
        <v>0.15185710884422435</v>
      </c>
      <c r="F13" s="4">
        <f>52477342/354919338</f>
        <v>0.14785709422234974</v>
      </c>
      <c r="G13" s="4">
        <f>62709293/420900920</f>
        <v>0.1489882535775878</v>
      </c>
      <c r="H13" s="4">
        <f>79389011/484099232</f>
        <v>0.16399325954724919</v>
      </c>
      <c r="I13" s="28"/>
      <c r="J13" s="29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J13"/>
  <sheetViews>
    <sheetView zoomScale="130" zoomScaleNormal="130" workbookViewId="0">
      <selection activeCell="J7" sqref="J7:J8"/>
    </sheetView>
  </sheetViews>
  <sheetFormatPr defaultRowHeight="15" x14ac:dyDescent="0.25"/>
  <cols>
    <col min="2" max="2" width="24.7109375" customWidth="1"/>
  </cols>
  <sheetData>
    <row r="1" spans="2:10" x14ac:dyDescent="0.25"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</row>
    <row r="2" spans="2:10" x14ac:dyDescent="0.25">
      <c r="B2" s="1" t="s">
        <v>51</v>
      </c>
      <c r="C2" s="1"/>
      <c r="D2" s="1"/>
      <c r="E2" s="1"/>
      <c r="F2" s="1"/>
    </row>
    <row r="3" spans="2:10" x14ac:dyDescent="0.25">
      <c r="B3" t="s">
        <v>49</v>
      </c>
      <c r="C3" s="6">
        <v>0.05</v>
      </c>
      <c r="D3" s="6">
        <v>0.05</v>
      </c>
      <c r="E3" s="6">
        <v>0.06</v>
      </c>
      <c r="F3" s="6">
        <v>0.08</v>
      </c>
      <c r="G3" s="6">
        <v>0.08</v>
      </c>
      <c r="H3" s="6">
        <v>0.08</v>
      </c>
      <c r="I3" s="6">
        <v>7.0000000000000007E-2</v>
      </c>
      <c r="J3" s="6">
        <v>7.0000000000000007E-2</v>
      </c>
    </row>
    <row r="4" spans="2:10" x14ac:dyDescent="0.25">
      <c r="B4" t="s">
        <v>50</v>
      </c>
      <c r="C4" s="6">
        <f>100%-C3</f>
        <v>0.95</v>
      </c>
      <c r="D4" s="6">
        <f t="shared" ref="D4:F4" si="0">100%-D3</f>
        <v>0.95</v>
      </c>
      <c r="E4" s="6">
        <f t="shared" si="0"/>
        <v>0.94</v>
      </c>
      <c r="F4" s="6">
        <f t="shared" si="0"/>
        <v>0.92</v>
      </c>
      <c r="G4" s="6">
        <f t="shared" ref="G4:H4" si="1">100%-G3</f>
        <v>0.92</v>
      </c>
      <c r="H4" s="6">
        <f t="shared" si="1"/>
        <v>0.92</v>
      </c>
      <c r="I4" s="6">
        <v>0.93</v>
      </c>
      <c r="J4" s="6">
        <v>0.93</v>
      </c>
    </row>
    <row r="6" spans="2:10" x14ac:dyDescent="0.25">
      <c r="B6" s="1" t="s">
        <v>52</v>
      </c>
    </row>
    <row r="7" spans="2:10" x14ac:dyDescent="0.25">
      <c r="B7" t="s">
        <v>49</v>
      </c>
      <c r="C7" s="6">
        <v>0.05</v>
      </c>
      <c r="D7" s="6">
        <v>0.05</v>
      </c>
      <c r="E7" s="6">
        <v>7.0000000000000007E-2</v>
      </c>
      <c r="F7" s="6">
        <v>7.0000000000000007E-2</v>
      </c>
      <c r="G7" s="6">
        <v>0.08</v>
      </c>
      <c r="H7" s="6">
        <v>0.06</v>
      </c>
      <c r="I7" s="6">
        <v>7.0000000000000007E-2</v>
      </c>
      <c r="J7" s="6">
        <v>0.06</v>
      </c>
    </row>
    <row r="8" spans="2:10" x14ac:dyDescent="0.25">
      <c r="B8" t="s">
        <v>50</v>
      </c>
      <c r="C8" s="6">
        <f>100%-C7</f>
        <v>0.95</v>
      </c>
      <c r="D8" s="6">
        <f t="shared" ref="D8" si="2">100%-D7</f>
        <v>0.95</v>
      </c>
      <c r="E8" s="6">
        <f t="shared" ref="E8:G8" si="3">100%-E7</f>
        <v>0.92999999999999994</v>
      </c>
      <c r="F8" s="6">
        <f t="shared" si="3"/>
        <v>0.92999999999999994</v>
      </c>
      <c r="G8" s="6">
        <f t="shared" si="3"/>
        <v>0.92</v>
      </c>
      <c r="H8" s="6">
        <v>0.94</v>
      </c>
      <c r="I8" s="6">
        <v>0.93</v>
      </c>
      <c r="J8" s="6">
        <v>0.94</v>
      </c>
    </row>
    <row r="10" spans="2:10" x14ac:dyDescent="0.25">
      <c r="B10" t="s">
        <v>63</v>
      </c>
    </row>
    <row r="12" spans="2:10" x14ac:dyDescent="0.25">
      <c r="B12" t="s">
        <v>88</v>
      </c>
    </row>
    <row r="13" spans="2:10" x14ac:dyDescent="0.25">
      <c r="B13" s="31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VWRL</vt:lpstr>
      <vt:lpstr>VEVE</vt:lpstr>
      <vt:lpstr>VFEM</vt:lpstr>
      <vt:lpstr>VWCG</vt:lpstr>
      <vt:lpstr>VGEK</vt:lpstr>
      <vt:lpstr>VJPA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2025-03-13T19:49:44Z</dcterms:modified>
</cp:coreProperties>
</file>